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 defaultThemeVersion="124226"/>
  <bookViews>
    <workbookView xWindow="0" yWindow="0" windowWidth="19440" windowHeight="7410" tabRatio="923" activeTab="1"/>
  </bookViews>
  <sheets>
    <sheet name="Y类" sheetId="1" r:id="rId1"/>
    <sheet name="A类" sheetId="12" r:id="rId2"/>
    <sheet name="T类" sheetId="2" r:id="rId3"/>
    <sheet name="M类" sheetId="3" r:id="rId4"/>
    <sheet name="Z类" sheetId="15" r:id="rId5"/>
    <sheet name="H类" sheetId="4" r:id="rId6"/>
    <sheet name="V类" sheetId="5" r:id="rId7"/>
    <sheet name="B类" sheetId="6" r:id="rId8"/>
    <sheet name="K类" sheetId="9" r:id="rId9"/>
    <sheet name="D类" sheetId="10" r:id="rId10"/>
    <sheet name="C类打底裤" sheetId="16" r:id="rId11"/>
    <sheet name="Q类" sheetId="17" r:id="rId12"/>
    <sheet name="L类" sheetId="18" r:id="rId13"/>
    <sheet name="E类" sheetId="20" r:id="rId14"/>
    <sheet name="F类" sheetId="23" r:id="rId15"/>
    <sheet name="G类" sheetId="19" r:id="rId16"/>
    <sheet name="N类" sheetId="21" r:id="rId17"/>
    <sheet name="J类" sheetId="22" r:id="rId18"/>
    <sheet name="W类" sheetId="24" r:id="rId19"/>
    <sheet name="MS类" sheetId="13" r:id="rId20"/>
    <sheet name="C类刷头" sheetId="14" r:id="rId21"/>
    <sheet name="S类" sheetId="11" r:id="rId22"/>
    <sheet name="头花" sheetId="7" r:id="rId23"/>
    <sheet name="提成汇总1" sheetId="8" r:id="rId24"/>
  </sheets>
  <externalReferences>
    <externalReference r:id="rId25"/>
  </externalReferences>
  <definedNames>
    <definedName name="_xlnm._FilterDatabase" localSheetId="1" hidden="1">A类!$A$2:$Y$2</definedName>
    <definedName name="_xlnm._FilterDatabase" localSheetId="10" hidden="1">C类打底裤!$A$2:$Y$2</definedName>
    <definedName name="_xlnm._FilterDatabase" localSheetId="13" hidden="1">E类!$A$2:$Y$2</definedName>
    <definedName name="_xlnm._FilterDatabase" localSheetId="14" hidden="1">F类!$A$1:$K$77</definedName>
    <definedName name="_xlnm._FilterDatabase" localSheetId="15" hidden="1">G类!$A$2:$Y$2</definedName>
    <definedName name="_xlnm._FilterDatabase" localSheetId="17" hidden="1">J类!$A$2:$Y$2</definedName>
    <definedName name="_xlnm._FilterDatabase" localSheetId="12" hidden="1">L类!$A$2:$Y$2</definedName>
    <definedName name="_xlnm._FilterDatabase" localSheetId="16" hidden="1">N类!$A$1:$K$100</definedName>
    <definedName name="_xlnm._FilterDatabase" localSheetId="2" hidden="1">T类!$A$2:$Y$2</definedName>
    <definedName name="_xlnm._FilterDatabase" localSheetId="18" hidden="1">W类!$A$2:$Y$2</definedName>
    <definedName name="_xlnm._FilterDatabase" localSheetId="0" hidden="1">Y类!$A$2:$Y$2</definedName>
    <definedName name="_xlnm._FilterDatabase" localSheetId="4" hidden="1">Z类!$A$2:$Y$2</definedName>
    <definedName name="_xlnm.Print_Area" localSheetId="1">A类!$C$1:$M$104</definedName>
    <definedName name="_xlnm.Print_Area" localSheetId="7">B类!$C$1:$N$165</definedName>
    <definedName name="_xlnm.Print_Area" localSheetId="10">C类打底裤!$C$1:$N$98</definedName>
    <definedName name="_xlnm.Print_Area" localSheetId="20">C类刷头!$B$1:$L$21</definedName>
    <definedName name="_xlnm.Print_Area" localSheetId="9">D类!$C$1:$N$159</definedName>
    <definedName name="_xlnm.Print_Area" localSheetId="5">H类!$C$2:$L$144</definedName>
    <definedName name="_xlnm.Print_Area" localSheetId="8">K类!$C$1:$M$116</definedName>
    <definedName name="_xlnm.Print_Area" localSheetId="19">MS类!$B$1:$L$24</definedName>
    <definedName name="_xlnm.Print_Area" localSheetId="3">M类!$C$1:$N$188</definedName>
    <definedName name="_xlnm.Print_Area" localSheetId="11">Q类!$C$1:$M$105</definedName>
    <definedName name="_xlnm.Print_Area" localSheetId="21">S类!$B$1:$L$19</definedName>
    <definedName name="_xlnm.Print_Area" localSheetId="2">T类!$C$1:$N$152</definedName>
    <definedName name="_xlnm.Print_Area" localSheetId="6">V类!$C$1:$N$61</definedName>
    <definedName name="_xlnm.Print_Area" localSheetId="0">Y类!$C$1:$M$187</definedName>
    <definedName name="_xlnm.Print_Area" localSheetId="4">Z类!$C$1:$N$160</definedName>
    <definedName name="_xlnm.Print_Area" localSheetId="23">提成汇总1!$A$2:$Y$58</definedName>
  </definedNames>
  <calcPr calcId="125725" concurrentCalc="0"/>
</workbook>
</file>

<file path=xl/calcChain.xml><?xml version="1.0" encoding="utf-8"?>
<calcChain xmlns="http://schemas.openxmlformats.org/spreadsheetml/2006/main">
  <c r="J3" i="1"/>
  <c r="J4"/>
  <c r="J5"/>
  <c r="K3"/>
  <c r="L3"/>
  <c r="M3"/>
  <c r="J6"/>
  <c r="J7"/>
  <c r="J8"/>
  <c r="J9"/>
  <c r="K7"/>
  <c r="L7"/>
  <c r="M7"/>
  <c r="J10"/>
  <c r="J11"/>
  <c r="J12"/>
  <c r="J13"/>
  <c r="J14"/>
  <c r="J15"/>
  <c r="J16"/>
  <c r="J17"/>
  <c r="K15"/>
  <c r="L15"/>
  <c r="M15"/>
  <c r="J18"/>
  <c r="J19"/>
  <c r="J20"/>
  <c r="J21"/>
  <c r="J22"/>
  <c r="J23"/>
  <c r="K19"/>
  <c r="J24"/>
  <c r="J25"/>
  <c r="J26"/>
  <c r="J27"/>
  <c r="J28"/>
  <c r="K25"/>
  <c r="L25"/>
  <c r="M25"/>
  <c r="N25"/>
  <c r="J29"/>
  <c r="J30"/>
  <c r="J31"/>
  <c r="J32"/>
  <c r="J38"/>
  <c r="J39"/>
  <c r="K29"/>
  <c r="L29"/>
  <c r="M29"/>
  <c r="J33"/>
  <c r="J34"/>
  <c r="J35"/>
  <c r="K34"/>
  <c r="L34"/>
  <c r="M34"/>
  <c r="J36"/>
  <c r="J37"/>
  <c r="J40"/>
  <c r="K36"/>
  <c r="L36"/>
  <c r="M36"/>
  <c r="J41"/>
  <c r="J42"/>
  <c r="J43"/>
  <c r="J44"/>
  <c r="K42"/>
  <c r="L42"/>
  <c r="M42"/>
  <c r="N42"/>
  <c r="J45"/>
  <c r="K45"/>
  <c r="L45"/>
  <c r="M45"/>
  <c r="J46"/>
  <c r="J47"/>
  <c r="J48"/>
  <c r="K46"/>
  <c r="L46"/>
  <c r="M46"/>
  <c r="J49"/>
  <c r="J50"/>
  <c r="J51"/>
  <c r="J52"/>
  <c r="J53"/>
  <c r="K49"/>
  <c r="L49"/>
  <c r="M49"/>
  <c r="J54"/>
  <c r="J55"/>
  <c r="J56"/>
  <c r="J57"/>
  <c r="K55"/>
  <c r="L55"/>
  <c r="M55"/>
  <c r="J58"/>
  <c r="J59"/>
  <c r="K58"/>
  <c r="J60"/>
  <c r="J61"/>
  <c r="J62"/>
  <c r="J63"/>
  <c r="J64"/>
  <c r="J67"/>
  <c r="J68"/>
  <c r="J69"/>
  <c r="J72"/>
  <c r="J73"/>
  <c r="J74"/>
  <c r="J75"/>
  <c r="K64"/>
  <c r="J65"/>
  <c r="J66"/>
  <c r="J76"/>
  <c r="J77"/>
  <c r="K65"/>
  <c r="L65"/>
  <c r="M65"/>
  <c r="J70"/>
  <c r="J71"/>
  <c r="J78"/>
  <c r="J79"/>
  <c r="K78"/>
  <c r="L78"/>
  <c r="M78"/>
  <c r="J80"/>
  <c r="L80"/>
  <c r="J81"/>
  <c r="J82"/>
  <c r="J83"/>
  <c r="J109"/>
  <c r="J110"/>
  <c r="K82"/>
  <c r="L82"/>
  <c r="M82"/>
  <c r="J84"/>
  <c r="J85"/>
  <c r="J86"/>
  <c r="J87"/>
  <c r="J96"/>
  <c r="J97"/>
  <c r="J101"/>
  <c r="J102"/>
  <c r="K86"/>
  <c r="J88"/>
  <c r="J90"/>
  <c r="J91"/>
  <c r="J92"/>
  <c r="J89"/>
  <c r="J93"/>
  <c r="K88"/>
  <c r="L88"/>
  <c r="M88"/>
  <c r="J94"/>
  <c r="J95"/>
  <c r="J98"/>
  <c r="J99"/>
  <c r="J100"/>
  <c r="J103"/>
  <c r="J104"/>
  <c r="K103"/>
  <c r="L103"/>
  <c r="M103"/>
  <c r="J105"/>
  <c r="J106"/>
  <c r="J107"/>
  <c r="J108"/>
  <c r="J111"/>
  <c r="J112"/>
  <c r="J118"/>
  <c r="J119"/>
  <c r="J120"/>
  <c r="K111"/>
  <c r="L111"/>
  <c r="M111"/>
  <c r="J113"/>
  <c r="J114"/>
  <c r="J115"/>
  <c r="J131"/>
  <c r="J132"/>
  <c r="J133"/>
  <c r="J134"/>
  <c r="K113"/>
  <c r="L113"/>
  <c r="M113"/>
  <c r="J116"/>
  <c r="J117"/>
  <c r="J128"/>
  <c r="J129"/>
  <c r="J130"/>
  <c r="J123"/>
  <c r="J124"/>
  <c r="J125"/>
  <c r="K116"/>
  <c r="J121"/>
  <c r="J122"/>
  <c r="L124"/>
  <c r="J126"/>
  <c r="J127"/>
  <c r="K126"/>
  <c r="L126"/>
  <c r="M126"/>
  <c r="J135"/>
  <c r="J136"/>
  <c r="J138"/>
  <c r="J137"/>
  <c r="J140"/>
  <c r="J139"/>
  <c r="K136"/>
  <c r="L136"/>
  <c r="M136"/>
  <c r="J141"/>
  <c r="J142"/>
  <c r="J143"/>
  <c r="J144"/>
  <c r="J145"/>
  <c r="K144"/>
  <c r="L144"/>
  <c r="M144"/>
  <c r="J146"/>
  <c r="J147"/>
  <c r="J148"/>
  <c r="K146"/>
  <c r="L146"/>
  <c r="M146"/>
  <c r="J149"/>
  <c r="J150"/>
  <c r="J151"/>
  <c r="J156"/>
  <c r="K151"/>
  <c r="L151"/>
  <c r="M151"/>
  <c r="J152"/>
  <c r="J153"/>
  <c r="J155"/>
  <c r="K153"/>
  <c r="L153"/>
  <c r="M153"/>
  <c r="J154"/>
  <c r="K154"/>
  <c r="J157"/>
  <c r="J160"/>
  <c r="J161"/>
  <c r="J159"/>
  <c r="J158"/>
  <c r="K157"/>
  <c r="L159"/>
  <c r="M159"/>
  <c r="J162"/>
  <c r="J163"/>
  <c r="J164"/>
  <c r="K163"/>
  <c r="J165"/>
  <c r="J166"/>
  <c r="K165"/>
  <c r="J167"/>
  <c r="J168"/>
  <c r="K167"/>
  <c r="J169"/>
  <c r="J170"/>
  <c r="K169"/>
  <c r="J171"/>
  <c r="J172"/>
  <c r="K171"/>
  <c r="J173"/>
  <c r="K173"/>
  <c r="J174"/>
  <c r="K174"/>
  <c r="J175"/>
  <c r="K175"/>
  <c r="J176"/>
  <c r="K176"/>
  <c r="K177"/>
  <c r="K178"/>
  <c r="K179"/>
  <c r="K180"/>
  <c r="G181"/>
  <c r="I181"/>
  <c r="J181"/>
  <c r="K181"/>
  <c r="K183"/>
  <c r="K184"/>
  <c r="K185"/>
  <c r="K186"/>
  <c r="J3" i="1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6"/>
  <c r="J3" i="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5"/>
  <c r="J3" i="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80"/>
  <c r="J3" i="1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52"/>
  <c r="J3" i="4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33"/>
  <c r="J3" i="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53"/>
  <c r="J3" i="6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5"/>
  <c r="J3" i="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7"/>
  <c r="J3" i="10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50"/>
  <c r="J3" i="16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9"/>
  <c r="J3" i="17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5"/>
  <c r="J3" i="18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4"/>
  <c r="J3" i="20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4"/>
  <c r="J3" i="2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5"/>
  <c r="J3" i="1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9"/>
  <c r="J3" i="2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8"/>
  <c r="J3" i="2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33"/>
  <c r="J3" i="24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6"/>
  <c r="H187" i="1"/>
  <c r="K187"/>
  <c r="K188"/>
  <c r="K189"/>
  <c r="K190"/>
  <c r="K191"/>
  <c r="K193"/>
  <c r="K194"/>
  <c r="K3" i="12"/>
  <c r="L3"/>
  <c r="M3"/>
  <c r="K6"/>
  <c r="L6"/>
  <c r="M6"/>
  <c r="K9"/>
  <c r="L9"/>
  <c r="M9"/>
  <c r="K13"/>
  <c r="K17"/>
  <c r="L17"/>
  <c r="M17"/>
  <c r="K19"/>
  <c r="L19"/>
  <c r="M19"/>
  <c r="K21"/>
  <c r="L21"/>
  <c r="M21"/>
  <c r="L23"/>
  <c r="M23"/>
  <c r="K25"/>
  <c r="L25"/>
  <c r="M25"/>
  <c r="K29"/>
  <c r="L30"/>
  <c r="M30"/>
  <c r="K31"/>
  <c r="L31"/>
  <c r="M31"/>
  <c r="K34"/>
  <c r="L34"/>
  <c r="M34"/>
  <c r="K37"/>
  <c r="K38"/>
  <c r="L38"/>
  <c r="M38"/>
  <c r="K42"/>
  <c r="K43"/>
  <c r="L43"/>
  <c r="M43"/>
  <c r="K48"/>
  <c r="L48"/>
  <c r="M48"/>
  <c r="K55"/>
  <c r="L55"/>
  <c r="M55"/>
  <c r="L57"/>
  <c r="M57"/>
  <c r="L58"/>
  <c r="M58"/>
  <c r="K60"/>
  <c r="L60"/>
  <c r="M60"/>
  <c r="K63"/>
  <c r="L64"/>
  <c r="M64"/>
  <c r="K68"/>
  <c r="K70"/>
  <c r="L70"/>
  <c r="M70"/>
  <c r="K71"/>
  <c r="K72"/>
  <c r="L72"/>
  <c r="M72"/>
  <c r="K75"/>
  <c r="L75"/>
  <c r="M75"/>
  <c r="K77"/>
  <c r="L77"/>
  <c r="M77"/>
  <c r="K79"/>
  <c r="L79"/>
  <c r="M79"/>
  <c r="K80"/>
  <c r="K82"/>
  <c r="L82"/>
  <c r="M82"/>
  <c r="K84"/>
  <c r="L84"/>
  <c r="M84"/>
  <c r="K86"/>
  <c r="K88"/>
  <c r="K89"/>
  <c r="K90"/>
  <c r="K91"/>
  <c r="K92"/>
  <c r="K93"/>
  <c r="K94"/>
  <c r="K95"/>
  <c r="G96"/>
  <c r="I96"/>
  <c r="K96"/>
  <c r="K97"/>
  <c r="K98"/>
  <c r="K100"/>
  <c r="K101"/>
  <c r="K102"/>
  <c r="K103"/>
  <c r="K104"/>
  <c r="K105"/>
  <c r="K106"/>
  <c r="K107"/>
  <c r="K3" i="2"/>
  <c r="K6"/>
  <c r="L6"/>
  <c r="M6"/>
  <c r="K20"/>
  <c r="L20"/>
  <c r="M20"/>
  <c r="K26"/>
  <c r="L26"/>
  <c r="M26"/>
  <c r="K31"/>
  <c r="L31"/>
  <c r="M31"/>
  <c r="K41"/>
  <c r="K46"/>
  <c r="L46"/>
  <c r="M46"/>
  <c r="K48"/>
  <c r="L53"/>
  <c r="M53"/>
  <c r="L56"/>
  <c r="M56"/>
  <c r="K63"/>
  <c r="L63"/>
  <c r="M63"/>
  <c r="K65"/>
  <c r="L65"/>
  <c r="M65"/>
  <c r="L81"/>
  <c r="K84"/>
  <c r="L84"/>
  <c r="M84"/>
  <c r="K90"/>
  <c r="K92"/>
  <c r="L92"/>
  <c r="M92"/>
  <c r="K95"/>
  <c r="L95"/>
  <c r="M95"/>
  <c r="K103"/>
  <c r="L103"/>
  <c r="M103"/>
  <c r="K106"/>
  <c r="L106"/>
  <c r="M106"/>
  <c r="K109"/>
  <c r="L109"/>
  <c r="M109"/>
  <c r="L115"/>
  <c r="M115"/>
  <c r="K121"/>
  <c r="L121"/>
  <c r="M121"/>
  <c r="K125"/>
  <c r="L125"/>
  <c r="M125"/>
  <c r="K126"/>
  <c r="K129"/>
  <c r="K131"/>
  <c r="K133"/>
  <c r="K135"/>
  <c r="K137"/>
  <c r="K138"/>
  <c r="K139"/>
  <c r="K140"/>
  <c r="K141"/>
  <c r="K142"/>
  <c r="K143"/>
  <c r="K144"/>
  <c r="G145"/>
  <c r="I145"/>
  <c r="K145"/>
  <c r="K146"/>
  <c r="K147"/>
  <c r="K148"/>
  <c r="K150"/>
  <c r="K151"/>
  <c r="K152"/>
  <c r="K153"/>
  <c r="K154"/>
  <c r="K3" i="3"/>
  <c r="L3"/>
  <c r="M3"/>
  <c r="K7"/>
  <c r="L7"/>
  <c r="M7"/>
  <c r="N7"/>
  <c r="K10"/>
  <c r="L10"/>
  <c r="M10"/>
  <c r="K12"/>
  <c r="L12"/>
  <c r="M12"/>
  <c r="K17"/>
  <c r="L17"/>
  <c r="M17"/>
  <c r="N17"/>
  <c r="K22"/>
  <c r="L22"/>
  <c r="M22"/>
  <c r="N22"/>
  <c r="L23"/>
  <c r="M23"/>
  <c r="K28"/>
  <c r="K43"/>
  <c r="L43"/>
  <c r="M43"/>
  <c r="K58"/>
  <c r="L58"/>
  <c r="M58"/>
  <c r="L60"/>
  <c r="M60"/>
  <c r="K63"/>
  <c r="L63"/>
  <c r="M63"/>
  <c r="K70"/>
  <c r="K84"/>
  <c r="L84"/>
  <c r="M84"/>
  <c r="K86"/>
  <c r="L86"/>
  <c r="M86"/>
  <c r="K89"/>
  <c r="L89"/>
  <c r="M89"/>
  <c r="K94"/>
  <c r="L94"/>
  <c r="M94"/>
  <c r="K101"/>
  <c r="L103"/>
  <c r="M103"/>
  <c r="K115"/>
  <c r="L115"/>
  <c r="M115"/>
  <c r="K118"/>
  <c r="L118"/>
  <c r="M118"/>
  <c r="L121"/>
  <c r="M121"/>
  <c r="L124"/>
  <c r="M124"/>
  <c r="K126"/>
  <c r="L126"/>
  <c r="M126"/>
  <c r="K127"/>
  <c r="L127"/>
  <c r="M127"/>
  <c r="K129"/>
  <c r="L134"/>
  <c r="M134"/>
  <c r="K141"/>
  <c r="L141"/>
  <c r="M141"/>
  <c r="L145"/>
  <c r="M145"/>
  <c r="K154"/>
  <c r="K159"/>
  <c r="L159"/>
  <c r="M159"/>
  <c r="L162"/>
  <c r="K163"/>
  <c r="K165"/>
  <c r="K166"/>
  <c r="K168"/>
  <c r="K169"/>
  <c r="K171"/>
  <c r="K172"/>
  <c r="K173"/>
  <c r="K174"/>
  <c r="K175"/>
  <c r="K176"/>
  <c r="K177"/>
  <c r="K178"/>
  <c r="K179"/>
  <c r="G180"/>
  <c r="I180"/>
  <c r="K180"/>
  <c r="K181"/>
  <c r="K182"/>
  <c r="K183"/>
  <c r="K184"/>
  <c r="K185"/>
  <c r="K186"/>
  <c r="K187"/>
  <c r="K188"/>
  <c r="K189"/>
  <c r="K190"/>
  <c r="K3" i="15"/>
  <c r="L3"/>
  <c r="M3"/>
  <c r="K5"/>
  <c r="L5"/>
  <c r="M5"/>
  <c r="L8"/>
  <c r="M8"/>
  <c r="K9"/>
  <c r="L9"/>
  <c r="M9"/>
  <c r="K12"/>
  <c r="L12"/>
  <c r="M12"/>
  <c r="K16"/>
  <c r="K20"/>
  <c r="L20"/>
  <c r="M20"/>
  <c r="K25"/>
  <c r="L25"/>
  <c r="M25"/>
  <c r="K27"/>
  <c r="L27"/>
  <c r="M27"/>
  <c r="K30"/>
  <c r="L30"/>
  <c r="M30"/>
  <c r="K34"/>
  <c r="L34"/>
  <c r="M34"/>
  <c r="K35"/>
  <c r="L35"/>
  <c r="M35"/>
  <c r="K37"/>
  <c r="L37"/>
  <c r="M37"/>
  <c r="K43"/>
  <c r="L43"/>
  <c r="M43"/>
  <c r="K44"/>
  <c r="K45"/>
  <c r="K47"/>
  <c r="L47"/>
  <c r="M47"/>
  <c r="L49"/>
  <c r="M49"/>
  <c r="K52"/>
  <c r="L52"/>
  <c r="M52"/>
  <c r="K57"/>
  <c r="K61"/>
  <c r="L61"/>
  <c r="M61"/>
  <c r="K65"/>
  <c r="K67"/>
  <c r="L67"/>
  <c r="M67"/>
  <c r="L73"/>
  <c r="M73"/>
  <c r="K79"/>
  <c r="L79"/>
  <c r="M79"/>
  <c r="L88"/>
  <c r="M88"/>
  <c r="K92"/>
  <c r="L94"/>
  <c r="M94"/>
  <c r="K97"/>
  <c r="L97"/>
  <c r="M97"/>
  <c r="K98"/>
  <c r="L98"/>
  <c r="M98"/>
  <c r="K105"/>
  <c r="L105"/>
  <c r="M105"/>
  <c r="K107"/>
  <c r="L107"/>
  <c r="M107"/>
  <c r="K109"/>
  <c r="L109"/>
  <c r="M109"/>
  <c r="L111"/>
  <c r="M111"/>
  <c r="L117"/>
  <c r="M117"/>
  <c r="K119"/>
  <c r="L119"/>
  <c r="M119"/>
  <c r="K124"/>
  <c r="K129"/>
  <c r="K132"/>
  <c r="L132"/>
  <c r="M132"/>
  <c r="K134"/>
  <c r="L134"/>
  <c r="M134"/>
  <c r="K135"/>
  <c r="K137"/>
  <c r="K138"/>
  <c r="K139"/>
  <c r="K140"/>
  <c r="K144"/>
  <c r="K145"/>
  <c r="K146"/>
  <c r="K147"/>
  <c r="K148"/>
  <c r="K149"/>
  <c r="K150"/>
  <c r="K151"/>
  <c r="G152"/>
  <c r="I152"/>
  <c r="K152"/>
  <c r="K154"/>
  <c r="K155"/>
  <c r="K156"/>
  <c r="K157"/>
  <c r="K158"/>
  <c r="K159"/>
  <c r="K160"/>
  <c r="K161"/>
  <c r="K3" i="4"/>
  <c r="L3"/>
  <c r="M3"/>
  <c r="K4"/>
  <c r="L4"/>
  <c r="M4"/>
  <c r="K6"/>
  <c r="L6"/>
  <c r="M6"/>
  <c r="K12"/>
  <c r="K24"/>
  <c r="L24"/>
  <c r="M24"/>
  <c r="K26"/>
  <c r="K34"/>
  <c r="L34"/>
  <c r="M34"/>
  <c r="K38"/>
  <c r="L38"/>
  <c r="M38"/>
  <c r="K39"/>
  <c r="L43"/>
  <c r="M43"/>
  <c r="K45"/>
  <c r="L45"/>
  <c r="M45"/>
  <c r="L47"/>
  <c r="M47"/>
  <c r="K51"/>
  <c r="L51"/>
  <c r="M51"/>
  <c r="L53"/>
  <c r="M53"/>
  <c r="L56"/>
  <c r="M56"/>
  <c r="K59"/>
  <c r="L59"/>
  <c r="M59"/>
  <c r="K71"/>
  <c r="L71"/>
  <c r="M71"/>
  <c r="K74"/>
  <c r="L74"/>
  <c r="M74"/>
  <c r="K81"/>
  <c r="L84"/>
  <c r="M84"/>
  <c r="K88"/>
  <c r="L88"/>
  <c r="M88"/>
  <c r="K90"/>
  <c r="L90"/>
  <c r="M90"/>
  <c r="K96"/>
  <c r="L96"/>
  <c r="M96"/>
  <c r="L102"/>
  <c r="M102"/>
  <c r="K111"/>
  <c r="L111"/>
  <c r="M111"/>
  <c r="K115"/>
  <c r="L115"/>
  <c r="M115"/>
  <c r="K118"/>
  <c r="L118"/>
  <c r="M118"/>
  <c r="K121"/>
  <c r="K123"/>
  <c r="K125"/>
  <c r="K126"/>
  <c r="K127"/>
  <c r="K128"/>
  <c r="K129"/>
  <c r="K130"/>
  <c r="K131"/>
  <c r="K132"/>
  <c r="G133"/>
  <c r="I133"/>
  <c r="K133"/>
  <c r="K134"/>
  <c r="K135"/>
  <c r="K136"/>
  <c r="K137"/>
  <c r="K138"/>
  <c r="K139"/>
  <c r="K140"/>
  <c r="K141"/>
  <c r="K142"/>
  <c r="K143"/>
  <c r="K3" i="5"/>
  <c r="L3"/>
  <c r="M3"/>
  <c r="K4"/>
  <c r="K6"/>
  <c r="K7"/>
  <c r="L7"/>
  <c r="M7"/>
  <c r="K10"/>
  <c r="L10"/>
  <c r="M10"/>
  <c r="L11"/>
  <c r="M11"/>
  <c r="K12"/>
  <c r="L12"/>
  <c r="M12"/>
  <c r="K13"/>
  <c r="K14"/>
  <c r="L14"/>
  <c r="M14"/>
  <c r="K15"/>
  <c r="L15"/>
  <c r="M15"/>
  <c r="K16"/>
  <c r="L16"/>
  <c r="M16"/>
  <c r="K19"/>
  <c r="L20"/>
  <c r="M20"/>
  <c r="K21"/>
  <c r="L21"/>
  <c r="M21"/>
  <c r="K25"/>
  <c r="L25"/>
  <c r="M25"/>
  <c r="K27"/>
  <c r="L27"/>
  <c r="M27"/>
  <c r="K30"/>
  <c r="K32"/>
  <c r="L32"/>
  <c r="M32"/>
  <c r="K33"/>
  <c r="L33"/>
  <c r="M33"/>
  <c r="K34"/>
  <c r="L34"/>
  <c r="M34"/>
  <c r="K35"/>
  <c r="L35"/>
  <c r="M35"/>
  <c r="K36"/>
  <c r="L36"/>
  <c r="M36"/>
  <c r="K37"/>
  <c r="L37"/>
  <c r="M37"/>
  <c r="K40"/>
  <c r="L40"/>
  <c r="M40"/>
  <c r="K43"/>
  <c r="K45"/>
  <c r="K46"/>
  <c r="K47"/>
  <c r="K48"/>
  <c r="K49"/>
  <c r="K50"/>
  <c r="K51"/>
  <c r="K52"/>
  <c r="G53"/>
  <c r="I53"/>
  <c r="K53"/>
  <c r="K54"/>
  <c r="K55"/>
  <c r="K56"/>
  <c r="K57"/>
  <c r="K58"/>
  <c r="K59"/>
  <c r="K60"/>
  <c r="K61"/>
  <c r="K62"/>
  <c r="K63"/>
  <c r="K3" i="6"/>
  <c r="L3"/>
  <c r="M3"/>
  <c r="K6"/>
  <c r="K11"/>
  <c r="L11"/>
  <c r="M11"/>
  <c r="K14"/>
  <c r="K18"/>
  <c r="L18"/>
  <c r="M18"/>
  <c r="K20"/>
  <c r="L20"/>
  <c r="M20"/>
  <c r="K22"/>
  <c r="L22"/>
  <c r="M22"/>
  <c r="K28"/>
  <c r="L28"/>
  <c r="M28"/>
  <c r="N28"/>
  <c r="K32"/>
  <c r="L32"/>
  <c r="M32"/>
  <c r="K35"/>
  <c r="L35"/>
  <c r="M35"/>
  <c r="K37"/>
  <c r="L37"/>
  <c r="M37"/>
  <c r="K44"/>
  <c r="L44"/>
  <c r="M44"/>
  <c r="K47"/>
  <c r="L47"/>
  <c r="M47"/>
  <c r="K48"/>
  <c r="L48"/>
  <c r="M48"/>
  <c r="N48"/>
  <c r="K53"/>
  <c r="K56"/>
  <c r="L56"/>
  <c r="M56"/>
  <c r="K58"/>
  <c r="L58"/>
  <c r="M58"/>
  <c r="L64"/>
  <c r="M64"/>
  <c r="L66"/>
  <c r="M66"/>
  <c r="K67"/>
  <c r="L71"/>
  <c r="M71"/>
  <c r="K72"/>
  <c r="L72"/>
  <c r="M72"/>
  <c r="K76"/>
  <c r="L78"/>
  <c r="M78"/>
  <c r="K82"/>
  <c r="L82"/>
  <c r="M82"/>
  <c r="K88"/>
  <c r="L88"/>
  <c r="M88"/>
  <c r="K98"/>
  <c r="L98"/>
  <c r="M98"/>
  <c r="K104"/>
  <c r="L104"/>
  <c r="M104"/>
  <c r="K106"/>
  <c r="L106"/>
  <c r="M106"/>
  <c r="L110"/>
  <c r="M110"/>
  <c r="K112"/>
  <c r="L112"/>
  <c r="M112"/>
  <c r="K115"/>
  <c r="L115"/>
  <c r="M115"/>
  <c r="L122"/>
  <c r="M122"/>
  <c r="K126"/>
  <c r="K129"/>
  <c r="L129"/>
  <c r="M129"/>
  <c r="L132"/>
  <c r="M132"/>
  <c r="K136"/>
  <c r="K138"/>
  <c r="L138"/>
  <c r="M138"/>
  <c r="K141"/>
  <c r="K142"/>
  <c r="L142"/>
  <c r="M142"/>
  <c r="K144"/>
  <c r="K146"/>
  <c r="K147"/>
  <c r="K148"/>
  <c r="K149"/>
  <c r="K150"/>
  <c r="K151"/>
  <c r="K152"/>
  <c r="K153"/>
  <c r="K154"/>
  <c r="G155"/>
  <c r="I155"/>
  <c r="K155"/>
  <c r="K156"/>
  <c r="K157"/>
  <c r="K158"/>
  <c r="K159"/>
  <c r="K160"/>
  <c r="K161"/>
  <c r="K162"/>
  <c r="K163"/>
  <c r="K164"/>
  <c r="K165"/>
  <c r="K166"/>
  <c r="K167"/>
  <c r="K3" i="9"/>
  <c r="L15"/>
  <c r="M15"/>
  <c r="K22"/>
  <c r="L22"/>
  <c r="M22"/>
  <c r="K25"/>
  <c r="L25"/>
  <c r="M25"/>
  <c r="K29"/>
  <c r="L29"/>
  <c r="M29"/>
  <c r="K36"/>
  <c r="K42"/>
  <c r="L42"/>
  <c r="M42"/>
  <c r="K45"/>
  <c r="L45"/>
  <c r="M45"/>
  <c r="L47"/>
  <c r="M47"/>
  <c r="L49"/>
  <c r="M49"/>
  <c r="K55"/>
  <c r="L55"/>
  <c r="M55"/>
  <c r="L57"/>
  <c r="M57"/>
  <c r="L65"/>
  <c r="M65"/>
  <c r="K67"/>
  <c r="L67"/>
  <c r="M67"/>
  <c r="L69"/>
  <c r="M69"/>
  <c r="K71"/>
  <c r="L71"/>
  <c r="M71"/>
  <c r="L74"/>
  <c r="M74"/>
  <c r="K78"/>
  <c r="L78"/>
  <c r="M78"/>
  <c r="K81"/>
  <c r="L81"/>
  <c r="M81"/>
  <c r="K82"/>
  <c r="L82"/>
  <c r="M82"/>
  <c r="K85"/>
  <c r="K86"/>
  <c r="L86"/>
  <c r="M86"/>
  <c r="K92"/>
  <c r="L92"/>
  <c r="M92"/>
  <c r="K97"/>
  <c r="L97"/>
  <c r="M97"/>
  <c r="K98"/>
  <c r="L98"/>
  <c r="M98"/>
  <c r="K99"/>
  <c r="K100"/>
  <c r="K101"/>
  <c r="K102"/>
  <c r="K103"/>
  <c r="K104"/>
  <c r="K105"/>
  <c r="K106"/>
  <c r="G107"/>
  <c r="I107"/>
  <c r="K107"/>
  <c r="K108"/>
  <c r="K109"/>
  <c r="K111"/>
  <c r="K112"/>
  <c r="K114"/>
  <c r="K115"/>
  <c r="K116"/>
  <c r="K117"/>
  <c r="K118"/>
  <c r="K3" i="10"/>
  <c r="L3"/>
  <c r="M3"/>
  <c r="K5"/>
  <c r="K12"/>
  <c r="L12"/>
  <c r="M12"/>
  <c r="K13"/>
  <c r="L13"/>
  <c r="M13"/>
  <c r="N13"/>
  <c r="K17"/>
  <c r="L17"/>
  <c r="M17"/>
  <c r="N17"/>
  <c r="K26"/>
  <c r="L26"/>
  <c r="M26"/>
  <c r="K40"/>
  <c r="K46"/>
  <c r="L46"/>
  <c r="M46"/>
  <c r="K50"/>
  <c r="L50"/>
  <c r="M50"/>
  <c r="L55"/>
  <c r="M55"/>
  <c r="L61"/>
  <c r="M61"/>
  <c r="K64"/>
  <c r="L64"/>
  <c r="M64"/>
  <c r="K70"/>
  <c r="L70"/>
  <c r="M70"/>
  <c r="K73"/>
  <c r="L73"/>
  <c r="M73"/>
  <c r="K79"/>
  <c r="L79"/>
  <c r="M79"/>
  <c r="K89"/>
  <c r="L89"/>
  <c r="M89"/>
  <c r="K91"/>
  <c r="L91"/>
  <c r="M91"/>
  <c r="L93"/>
  <c r="M93"/>
  <c r="K95"/>
  <c r="L95"/>
  <c r="M95"/>
  <c r="K99"/>
  <c r="L99"/>
  <c r="M99"/>
  <c r="K113"/>
  <c r="L117"/>
  <c r="M117"/>
  <c r="K123"/>
  <c r="L123"/>
  <c r="M123"/>
  <c r="K126"/>
  <c r="L126"/>
  <c r="M126"/>
  <c r="K128"/>
  <c r="L128"/>
  <c r="M128"/>
  <c r="K129"/>
  <c r="K133"/>
  <c r="K135"/>
  <c r="K137"/>
  <c r="K138"/>
  <c r="K140"/>
  <c r="K142"/>
  <c r="K143"/>
  <c r="K144"/>
  <c r="K145"/>
  <c r="K146"/>
  <c r="J147"/>
  <c r="K147"/>
  <c r="K148"/>
  <c r="J149"/>
  <c r="K149"/>
  <c r="G150"/>
  <c r="I150"/>
  <c r="K150"/>
  <c r="K151"/>
  <c r="K152"/>
  <c r="K154"/>
  <c r="K155"/>
  <c r="K156"/>
  <c r="K157"/>
  <c r="K158"/>
  <c r="K159"/>
  <c r="K160"/>
  <c r="K161"/>
  <c r="K3" i="16"/>
  <c r="L3"/>
  <c r="M3"/>
  <c r="K5"/>
  <c r="L5"/>
  <c r="M5"/>
  <c r="K6"/>
  <c r="L6"/>
  <c r="M6"/>
  <c r="K9"/>
  <c r="L9"/>
  <c r="M9"/>
  <c r="K16"/>
  <c r="L16"/>
  <c r="M16"/>
  <c r="K17"/>
  <c r="K19"/>
  <c r="L19"/>
  <c r="M19"/>
  <c r="K20"/>
  <c r="L20"/>
  <c r="M20"/>
  <c r="K21"/>
  <c r="L21"/>
  <c r="M21"/>
  <c r="K23"/>
  <c r="K24"/>
  <c r="K26"/>
  <c r="L26"/>
  <c r="M26"/>
  <c r="L28"/>
  <c r="M28"/>
  <c r="K30"/>
  <c r="L30"/>
  <c r="M30"/>
  <c r="L32"/>
  <c r="M32"/>
  <c r="K38"/>
  <c r="L38"/>
  <c r="M38"/>
  <c r="K41"/>
  <c r="L41"/>
  <c r="M41"/>
  <c r="K43"/>
  <c r="L43"/>
  <c r="M43"/>
  <c r="K46"/>
  <c r="L46"/>
  <c r="M46"/>
  <c r="K48"/>
  <c r="L48"/>
  <c r="M48"/>
  <c r="K50"/>
  <c r="L50"/>
  <c r="M50"/>
  <c r="L52"/>
  <c r="M52"/>
  <c r="L56"/>
  <c r="M56"/>
  <c r="K58"/>
  <c r="K62"/>
  <c r="L62"/>
  <c r="M62"/>
  <c r="L65"/>
  <c r="M65"/>
  <c r="K70"/>
  <c r="L70"/>
  <c r="M70"/>
  <c r="L76"/>
  <c r="M76"/>
  <c r="K79"/>
  <c r="L79"/>
  <c r="M79"/>
  <c r="K80"/>
  <c r="K81"/>
  <c r="K82"/>
  <c r="K83"/>
  <c r="K84"/>
  <c r="K85"/>
  <c r="K86"/>
  <c r="K87"/>
  <c r="K88"/>
  <c r="G89"/>
  <c r="I89"/>
  <c r="K89"/>
  <c r="K90"/>
  <c r="K91"/>
  <c r="K93"/>
  <c r="K94"/>
  <c r="K95"/>
  <c r="K96"/>
  <c r="K97"/>
  <c r="K99"/>
  <c r="K100"/>
  <c r="K101"/>
  <c r="L3" i="17"/>
  <c r="M3"/>
  <c r="K5"/>
  <c r="L5"/>
  <c r="M5"/>
  <c r="L14"/>
  <c r="M14"/>
  <c r="K17"/>
  <c r="L17"/>
  <c r="M17"/>
  <c r="K18"/>
  <c r="L18"/>
  <c r="M18"/>
  <c r="K21"/>
  <c r="K24"/>
  <c r="L24"/>
  <c r="M24"/>
  <c r="K25"/>
  <c r="L25"/>
  <c r="M25"/>
  <c r="K26"/>
  <c r="L26"/>
  <c r="M26"/>
  <c r="K27"/>
  <c r="L27"/>
  <c r="M27"/>
  <c r="K30"/>
  <c r="L30"/>
  <c r="M30"/>
  <c r="K31"/>
  <c r="K32"/>
  <c r="L32"/>
  <c r="M32"/>
  <c r="K33"/>
  <c r="K35"/>
  <c r="L35"/>
  <c r="M35"/>
  <c r="K37"/>
  <c r="L37"/>
  <c r="M37"/>
  <c r="K39"/>
  <c r="L39"/>
  <c r="M39"/>
  <c r="L42"/>
  <c r="M42"/>
  <c r="K44"/>
  <c r="L46"/>
  <c r="M46"/>
  <c r="L52"/>
  <c r="M52"/>
  <c r="K54"/>
  <c r="L54"/>
  <c r="M54"/>
  <c r="K60"/>
  <c r="L60"/>
  <c r="M60"/>
  <c r="K63"/>
  <c r="L63"/>
  <c r="M63"/>
  <c r="K65"/>
  <c r="L65"/>
  <c r="M65"/>
  <c r="L70"/>
  <c r="M70"/>
  <c r="K72"/>
  <c r="L72"/>
  <c r="M72"/>
  <c r="K73"/>
  <c r="K75"/>
  <c r="L75"/>
  <c r="M75"/>
  <c r="K81"/>
  <c r="L81"/>
  <c r="M81"/>
  <c r="K83"/>
  <c r="L83"/>
  <c r="M83"/>
  <c r="K85"/>
  <c r="K87"/>
  <c r="K88"/>
  <c r="K89"/>
  <c r="K90"/>
  <c r="K91"/>
  <c r="K92"/>
  <c r="K93"/>
  <c r="K94"/>
  <c r="G95"/>
  <c r="I95"/>
  <c r="K95"/>
  <c r="K96"/>
  <c r="K97"/>
  <c r="K99"/>
  <c r="K100"/>
  <c r="K101"/>
  <c r="K102"/>
  <c r="K103"/>
  <c r="K105"/>
  <c r="K106"/>
  <c r="K107"/>
  <c r="K3" i="18"/>
  <c r="K7"/>
  <c r="K8"/>
  <c r="K11"/>
  <c r="L11"/>
  <c r="M11"/>
  <c r="K13"/>
  <c r="L13"/>
  <c r="M13"/>
  <c r="K17"/>
  <c r="K18"/>
  <c r="L18"/>
  <c r="M18"/>
  <c r="L24"/>
  <c r="M24"/>
  <c r="K26"/>
  <c r="L26"/>
  <c r="M26"/>
  <c r="L28"/>
  <c r="M28"/>
  <c r="K35"/>
  <c r="L35"/>
  <c r="M35"/>
  <c r="K37"/>
  <c r="K42"/>
  <c r="L42"/>
  <c r="M42"/>
  <c r="K43"/>
  <c r="L43"/>
  <c r="M43"/>
  <c r="K44"/>
  <c r="L44"/>
  <c r="M44"/>
  <c r="K46"/>
  <c r="K47"/>
  <c r="K48"/>
  <c r="L48"/>
  <c r="M48"/>
  <c r="K51"/>
  <c r="L51"/>
  <c r="M51"/>
  <c r="K53"/>
  <c r="L53"/>
  <c r="M53"/>
  <c r="K56"/>
  <c r="L56"/>
  <c r="M56"/>
  <c r="K57"/>
  <c r="K59"/>
  <c r="K61"/>
  <c r="L61"/>
  <c r="M61"/>
  <c r="K64"/>
  <c r="K66"/>
  <c r="K67"/>
  <c r="K68"/>
  <c r="K69"/>
  <c r="K70"/>
  <c r="K71"/>
  <c r="K72"/>
  <c r="K73"/>
  <c r="G74"/>
  <c r="I74"/>
  <c r="K74"/>
  <c r="K75"/>
  <c r="K76"/>
  <c r="K78"/>
  <c r="K79"/>
  <c r="K80"/>
  <c r="K81"/>
  <c r="K82"/>
  <c r="K83"/>
  <c r="K84"/>
  <c r="K85"/>
  <c r="K3" i="20"/>
  <c r="K7"/>
  <c r="L7"/>
  <c r="M7"/>
  <c r="K12"/>
  <c r="L12"/>
  <c r="M12"/>
  <c r="K14"/>
  <c r="L14"/>
  <c r="M14"/>
  <c r="K17"/>
  <c r="L17"/>
  <c r="M17"/>
  <c r="K19"/>
  <c r="L19"/>
  <c r="M19"/>
  <c r="K24"/>
  <c r="L24"/>
  <c r="M24"/>
  <c r="K26"/>
  <c r="L26"/>
  <c r="M26"/>
  <c r="K28"/>
  <c r="L28"/>
  <c r="M28"/>
  <c r="K31"/>
  <c r="L31"/>
  <c r="M31"/>
  <c r="K33"/>
  <c r="L33"/>
  <c r="M33"/>
  <c r="K37"/>
  <c r="K38"/>
  <c r="L38"/>
  <c r="M38"/>
  <c r="L39"/>
  <c r="M39"/>
  <c r="K42"/>
  <c r="L44"/>
  <c r="M44"/>
  <c r="K57"/>
  <c r="L57"/>
  <c r="M57"/>
  <c r="L61"/>
  <c r="M61"/>
  <c r="K64"/>
  <c r="L64"/>
  <c r="M64"/>
  <c r="K65"/>
  <c r="L65"/>
  <c r="M65"/>
  <c r="K70"/>
  <c r="L70"/>
  <c r="M70"/>
  <c r="K71"/>
  <c r="L71"/>
  <c r="M71"/>
  <c r="K76"/>
  <c r="L76"/>
  <c r="M76"/>
  <c r="L77"/>
  <c r="M77"/>
  <c r="K79"/>
  <c r="L79"/>
  <c r="M79"/>
  <c r="K82"/>
  <c r="L82"/>
  <c r="M82"/>
  <c r="K84"/>
  <c r="L84"/>
  <c r="M84"/>
  <c r="L86"/>
  <c r="M86"/>
  <c r="K88"/>
  <c r="L91"/>
  <c r="M91"/>
  <c r="L96"/>
  <c r="M96"/>
  <c r="K99"/>
  <c r="L99"/>
  <c r="M99"/>
  <c r="K106"/>
  <c r="L106"/>
  <c r="M106"/>
  <c r="K108"/>
  <c r="L108"/>
  <c r="M108"/>
  <c r="N108"/>
  <c r="K109"/>
  <c r="L109"/>
  <c r="M109"/>
  <c r="K112"/>
  <c r="L112"/>
  <c r="M112"/>
  <c r="K115"/>
  <c r="L115"/>
  <c r="M115"/>
  <c r="K116"/>
  <c r="K117"/>
  <c r="K118"/>
  <c r="K119"/>
  <c r="K120"/>
  <c r="K121"/>
  <c r="K122"/>
  <c r="K123"/>
  <c r="G124"/>
  <c r="I124"/>
  <c r="K124"/>
  <c r="K125"/>
  <c r="K126"/>
  <c r="K128"/>
  <c r="K129"/>
  <c r="K130"/>
  <c r="K131"/>
  <c r="K132"/>
  <c r="K134"/>
  <c r="K135"/>
  <c r="K136"/>
  <c r="K3" i="23"/>
  <c r="L3"/>
  <c r="M3"/>
  <c r="K6"/>
  <c r="K10"/>
  <c r="L10"/>
  <c r="M10"/>
  <c r="K11"/>
  <c r="L11"/>
  <c r="M11"/>
  <c r="K13"/>
  <c r="L13"/>
  <c r="M13"/>
  <c r="K15"/>
  <c r="L15"/>
  <c r="M15"/>
  <c r="K17"/>
  <c r="L17"/>
  <c r="M17"/>
  <c r="K20"/>
  <c r="K24"/>
  <c r="L24"/>
  <c r="M24"/>
  <c r="L26"/>
  <c r="M26"/>
  <c r="K28"/>
  <c r="L28"/>
  <c r="M28"/>
  <c r="K31"/>
  <c r="L31"/>
  <c r="M31"/>
  <c r="K35"/>
  <c r="L35"/>
  <c r="M35"/>
  <c r="K37"/>
  <c r="L37"/>
  <c r="M37"/>
  <c r="K38"/>
  <c r="L38"/>
  <c r="M38"/>
  <c r="K41"/>
  <c r="L41"/>
  <c r="M41"/>
  <c r="K44"/>
  <c r="L44"/>
  <c r="M44"/>
  <c r="L46"/>
  <c r="M46"/>
  <c r="L48"/>
  <c r="M48"/>
  <c r="K50"/>
  <c r="K51"/>
  <c r="L51"/>
  <c r="M51"/>
  <c r="K53"/>
  <c r="L53"/>
  <c r="M53"/>
  <c r="L54"/>
  <c r="M54"/>
  <c r="K55"/>
  <c r="L55"/>
  <c r="M55"/>
  <c r="K57"/>
  <c r="L57"/>
  <c r="M57"/>
  <c r="L59"/>
  <c r="M59"/>
  <c r="K61"/>
  <c r="L61"/>
  <c r="M61"/>
  <c r="K63"/>
  <c r="L63"/>
  <c r="M63"/>
  <c r="K65"/>
  <c r="K67"/>
  <c r="K68"/>
  <c r="K69"/>
  <c r="K70"/>
  <c r="K71"/>
  <c r="K72"/>
  <c r="K73"/>
  <c r="K74"/>
  <c r="G75"/>
  <c r="I75"/>
  <c r="K75"/>
  <c r="K76"/>
  <c r="K77"/>
  <c r="K79"/>
  <c r="K80"/>
  <c r="K81"/>
  <c r="K82"/>
  <c r="K83"/>
  <c r="K85"/>
  <c r="K86"/>
  <c r="K3" i="19"/>
  <c r="K4"/>
  <c r="L4"/>
  <c r="M4"/>
  <c r="K7"/>
  <c r="L7"/>
  <c r="M7"/>
  <c r="K8"/>
  <c r="K10"/>
  <c r="L10"/>
  <c r="M10"/>
  <c r="K11"/>
  <c r="L11"/>
  <c r="M11"/>
  <c r="K14"/>
  <c r="L14"/>
  <c r="M14"/>
  <c r="K16"/>
  <c r="L16"/>
  <c r="M16"/>
  <c r="K19"/>
  <c r="K22"/>
  <c r="L22"/>
  <c r="M22"/>
  <c r="K27"/>
  <c r="L27"/>
  <c r="M27"/>
  <c r="K28"/>
  <c r="L28"/>
  <c r="M28"/>
  <c r="K29"/>
  <c r="K32"/>
  <c r="K34"/>
  <c r="L34"/>
  <c r="M34"/>
  <c r="L36"/>
  <c r="M36"/>
  <c r="K38"/>
  <c r="L38"/>
  <c r="M38"/>
  <c r="K43"/>
  <c r="L43"/>
  <c r="M43"/>
  <c r="L45"/>
  <c r="M45"/>
  <c r="L47"/>
  <c r="M47"/>
  <c r="L54"/>
  <c r="M54"/>
  <c r="L56"/>
  <c r="M56"/>
  <c r="K61"/>
  <c r="L61"/>
  <c r="M61"/>
  <c r="K64"/>
  <c r="L64"/>
  <c r="M64"/>
  <c r="K70"/>
  <c r="L70"/>
  <c r="M70"/>
  <c r="L72"/>
  <c r="M72"/>
  <c r="N72"/>
  <c r="K75"/>
  <c r="K78"/>
  <c r="L78"/>
  <c r="M78"/>
  <c r="L84"/>
  <c r="M84"/>
  <c r="K87"/>
  <c r="L87"/>
  <c r="M87"/>
  <c r="L94"/>
  <c r="M94"/>
  <c r="L98"/>
  <c r="M98"/>
  <c r="K100"/>
  <c r="L100"/>
  <c r="M100"/>
  <c r="L105"/>
  <c r="M105"/>
  <c r="K108"/>
  <c r="L108"/>
  <c r="M108"/>
  <c r="K110"/>
  <c r="L110"/>
  <c r="M110"/>
  <c r="K112"/>
  <c r="K115"/>
  <c r="K118"/>
  <c r="L118"/>
  <c r="M118"/>
  <c r="K120"/>
  <c r="L120"/>
  <c r="M120"/>
  <c r="K121"/>
  <c r="K122"/>
  <c r="K123"/>
  <c r="K124"/>
  <c r="K125"/>
  <c r="K126"/>
  <c r="K127"/>
  <c r="K128"/>
  <c r="G129"/>
  <c r="I129"/>
  <c r="K129"/>
  <c r="K130"/>
  <c r="K131"/>
  <c r="K133"/>
  <c r="K134"/>
  <c r="K135"/>
  <c r="K136"/>
  <c r="K137"/>
  <c r="K139"/>
  <c r="K140"/>
  <c r="K141"/>
  <c r="K3" i="21"/>
  <c r="K4"/>
  <c r="L4"/>
  <c r="M4"/>
  <c r="K6"/>
  <c r="L6"/>
  <c r="M6"/>
  <c r="K8"/>
  <c r="L8"/>
  <c r="M8"/>
  <c r="K9"/>
  <c r="L9"/>
  <c r="M9"/>
  <c r="K12"/>
  <c r="L12"/>
  <c r="M12"/>
  <c r="K15"/>
  <c r="K16"/>
  <c r="L16"/>
  <c r="M16"/>
  <c r="K17"/>
  <c r="L17"/>
  <c r="M17"/>
  <c r="K20"/>
  <c r="K21"/>
  <c r="L21"/>
  <c r="M21"/>
  <c r="K22"/>
  <c r="L22"/>
  <c r="M22"/>
  <c r="K23"/>
  <c r="K26"/>
  <c r="L26"/>
  <c r="M26"/>
  <c r="K28"/>
  <c r="L28"/>
  <c r="M28"/>
  <c r="K31"/>
  <c r="L31"/>
  <c r="M31"/>
  <c r="K35"/>
  <c r="L37"/>
  <c r="M37"/>
  <c r="K39"/>
  <c r="L39"/>
  <c r="M39"/>
  <c r="L41"/>
  <c r="M41"/>
  <c r="K46"/>
  <c r="L46"/>
  <c r="M46"/>
  <c r="L48"/>
  <c r="M48"/>
  <c r="K50"/>
  <c r="L50"/>
  <c r="M50"/>
  <c r="K55"/>
  <c r="L55"/>
  <c r="M55"/>
  <c r="L58"/>
  <c r="M58"/>
  <c r="K61"/>
  <c r="L61"/>
  <c r="M61"/>
  <c r="K67"/>
  <c r="L67"/>
  <c r="M67"/>
  <c r="K70"/>
  <c r="L70"/>
  <c r="M70"/>
  <c r="K72"/>
  <c r="K74"/>
  <c r="L74"/>
  <c r="M74"/>
  <c r="L75"/>
  <c r="M75"/>
  <c r="K82"/>
  <c r="K83"/>
  <c r="K84"/>
  <c r="K88"/>
  <c r="L88"/>
  <c r="M88"/>
  <c r="K90"/>
  <c r="L90"/>
  <c r="M90"/>
  <c r="K91"/>
  <c r="K92"/>
  <c r="K93"/>
  <c r="K94"/>
  <c r="K95"/>
  <c r="K96"/>
  <c r="K97"/>
  <c r="G98"/>
  <c r="I98"/>
  <c r="K98"/>
  <c r="K99"/>
  <c r="K100"/>
  <c r="K102"/>
  <c r="K103"/>
  <c r="K104"/>
  <c r="K105"/>
  <c r="K106"/>
  <c r="K108"/>
  <c r="K109"/>
  <c r="K3" i="22"/>
  <c r="L3"/>
  <c r="M3"/>
  <c r="K4"/>
  <c r="L4"/>
  <c r="M4"/>
  <c r="K5"/>
  <c r="L5"/>
  <c r="M5"/>
  <c r="K6"/>
  <c r="L6"/>
  <c r="M6"/>
  <c r="K7"/>
  <c r="L7"/>
  <c r="M7"/>
  <c r="K8"/>
  <c r="L8"/>
  <c r="M8"/>
  <c r="K9"/>
  <c r="K10"/>
  <c r="K11"/>
  <c r="L11"/>
  <c r="M11"/>
  <c r="K12"/>
  <c r="L12"/>
  <c r="M12"/>
  <c r="L13"/>
  <c r="M13"/>
  <c r="L15"/>
  <c r="M15"/>
  <c r="K16"/>
  <c r="L16"/>
  <c r="M16"/>
  <c r="K18"/>
  <c r="L18"/>
  <c r="M18"/>
  <c r="K20"/>
  <c r="L20"/>
  <c r="M20"/>
  <c r="L21"/>
  <c r="M21"/>
  <c r="K22"/>
  <c r="L22"/>
  <c r="M22"/>
  <c r="K23"/>
  <c r="L23"/>
  <c r="M23"/>
  <c r="K24"/>
  <c r="L24"/>
  <c r="M24"/>
  <c r="K25"/>
  <c r="K26"/>
  <c r="K27"/>
  <c r="K28"/>
  <c r="K29"/>
  <c r="K30"/>
  <c r="K31"/>
  <c r="K32"/>
  <c r="G33"/>
  <c r="I33"/>
  <c r="K33"/>
  <c r="K34"/>
  <c r="K35"/>
  <c r="K37"/>
  <c r="K38"/>
  <c r="K39"/>
  <c r="K40"/>
  <c r="K41"/>
  <c r="K43"/>
  <c r="K44"/>
  <c r="K3" i="24"/>
  <c r="L3"/>
  <c r="M3"/>
  <c r="K4"/>
  <c r="L4"/>
  <c r="M4"/>
  <c r="K5"/>
  <c r="L5"/>
  <c r="M5"/>
  <c r="K6"/>
  <c r="L6"/>
  <c r="M6"/>
  <c r="K7"/>
  <c r="L7"/>
  <c r="M7"/>
  <c r="K10"/>
  <c r="K12"/>
  <c r="L12"/>
  <c r="M12"/>
  <c r="K13"/>
  <c r="L13"/>
  <c r="M13"/>
  <c r="K15"/>
  <c r="L15"/>
  <c r="M15"/>
  <c r="K16"/>
  <c r="L16"/>
  <c r="M16"/>
  <c r="K17"/>
  <c r="K18"/>
  <c r="K19"/>
  <c r="K20"/>
  <c r="K21"/>
  <c r="K22"/>
  <c r="K23"/>
  <c r="K24"/>
  <c r="K25"/>
  <c r="G26"/>
  <c r="I26"/>
  <c r="K26"/>
  <c r="K27"/>
  <c r="K28"/>
  <c r="K30"/>
  <c r="K31"/>
  <c r="K32"/>
  <c r="K33"/>
  <c r="K36"/>
  <c r="K37"/>
  <c r="I3" i="13"/>
  <c r="I4"/>
  <c r="I5"/>
  <c r="J3"/>
  <c r="K3"/>
  <c r="L3"/>
  <c r="I6"/>
  <c r="I7"/>
  <c r="I8"/>
  <c r="J8"/>
  <c r="I9"/>
  <c r="J9"/>
  <c r="I10"/>
  <c r="J10"/>
  <c r="I11"/>
  <c r="J12"/>
  <c r="J14"/>
  <c r="F15"/>
  <c r="H15"/>
  <c r="I15"/>
  <c r="J15"/>
  <c r="J16"/>
  <c r="J17"/>
  <c r="J19"/>
  <c r="J25"/>
  <c r="I3" i="14"/>
  <c r="I4"/>
  <c r="J3"/>
  <c r="J4"/>
  <c r="I5"/>
  <c r="J5"/>
  <c r="K5"/>
  <c r="L5"/>
  <c r="I6"/>
  <c r="J6"/>
  <c r="I7"/>
  <c r="J7"/>
  <c r="I8"/>
  <c r="J8"/>
  <c r="I9"/>
  <c r="J9"/>
  <c r="F11"/>
  <c r="H11"/>
  <c r="I11"/>
  <c r="J11"/>
  <c r="J12"/>
  <c r="J13"/>
  <c r="J15"/>
  <c r="J21"/>
  <c r="I3" i="11"/>
  <c r="J3"/>
  <c r="I4"/>
  <c r="J4"/>
  <c r="I5"/>
  <c r="J5"/>
  <c r="I6"/>
  <c r="J6"/>
  <c r="I7"/>
  <c r="J7"/>
  <c r="J8"/>
  <c r="J9"/>
  <c r="J10"/>
  <c r="F11"/>
  <c r="H11"/>
  <c r="I11"/>
  <c r="J11"/>
  <c r="J12"/>
  <c r="J13"/>
  <c r="J15"/>
  <c r="J16"/>
  <c r="J17"/>
  <c r="J18"/>
  <c r="J19"/>
  <c r="H3" i="7"/>
  <c r="H4"/>
  <c r="E5"/>
  <c r="G5"/>
  <c r="H5"/>
  <c r="I5"/>
  <c r="C3" i="8"/>
  <c r="D3"/>
  <c r="E3"/>
  <c r="F3"/>
  <c r="G3"/>
  <c r="H3"/>
  <c r="I3"/>
  <c r="J3"/>
  <c r="K3"/>
  <c r="L3"/>
  <c r="M3"/>
  <c r="N3"/>
  <c r="O3"/>
  <c r="P3"/>
  <c r="Q3"/>
  <c r="R3"/>
  <c r="S3"/>
  <c r="T3"/>
  <c r="U3"/>
  <c r="V3"/>
  <c r="Y3"/>
  <c r="Z3"/>
  <c r="AA3"/>
  <c r="AB3"/>
  <c r="AC3"/>
  <c r="AD3"/>
  <c r="AE3"/>
  <c r="AF3"/>
  <c r="AG3"/>
  <c r="AH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Y4"/>
  <c r="Z4"/>
  <c r="AA4"/>
  <c r="AB4"/>
  <c r="AC4"/>
  <c r="AD4"/>
  <c r="AE4"/>
  <c r="AF4"/>
  <c r="AG4"/>
  <c r="AH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Y5"/>
  <c r="Z5"/>
  <c r="AA5"/>
  <c r="AB5"/>
  <c r="AC5"/>
  <c r="AD5"/>
  <c r="AE5"/>
  <c r="AF5"/>
  <c r="AG5"/>
  <c r="AH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Y6"/>
  <c r="Z6"/>
  <c r="AA6"/>
  <c r="AB6"/>
  <c r="AC6"/>
  <c r="AD6"/>
  <c r="AE6"/>
  <c r="AF6"/>
  <c r="AG6"/>
  <c r="AH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Y7"/>
  <c r="Z7"/>
  <c r="AA7"/>
  <c r="AB7"/>
  <c r="AC7"/>
  <c r="AD7"/>
  <c r="AE7"/>
  <c r="AF7"/>
  <c r="AG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Y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Y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Y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Y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Y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Y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Y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Y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Y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Y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Y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Y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Y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Y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Y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Y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Y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Y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Y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Y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Y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Y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Y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Y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Y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Y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Y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Y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Y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Y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Y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Y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Y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Y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Y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Y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Y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Y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Y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Y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Y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Y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Y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Y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Y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Y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Y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Y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Y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Y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U62"/>
  <c r="U63"/>
  <c r="U64"/>
  <c r="U69"/>
  <c r="V62"/>
  <c r="V63"/>
  <c r="V64"/>
  <c r="V69"/>
  <c r="W69"/>
  <c r="X62"/>
  <c r="X63"/>
  <c r="X64"/>
  <c r="X69"/>
  <c r="Y62"/>
  <c r="Y63"/>
  <c r="Y64"/>
  <c r="Y69"/>
  <c r="Z69"/>
  <c r="Z58"/>
  <c r="AA69"/>
  <c r="AB69"/>
  <c r="U71"/>
  <c r="V71"/>
  <c r="W71"/>
  <c r="X71"/>
  <c r="Y71"/>
  <c r="U74"/>
  <c r="V74"/>
  <c r="X74"/>
  <c r="Y74"/>
  <c r="U75"/>
  <c r="V75"/>
  <c r="X75"/>
  <c r="Y75"/>
  <c r="U76"/>
  <c r="V76"/>
  <c r="X76"/>
  <c r="Y76"/>
  <c r="U77"/>
  <c r="U78"/>
  <c r="U81"/>
  <c r="V81"/>
  <c r="W81"/>
  <c r="X81"/>
  <c r="Y81"/>
  <c r="Z81"/>
  <c r="Z82"/>
  <c r="Z83"/>
</calcChain>
</file>

<file path=xl/sharedStrings.xml><?xml version="1.0" encoding="utf-8"?>
<sst xmlns="http://schemas.openxmlformats.org/spreadsheetml/2006/main" count="8508" uniqueCount="502">
  <si>
    <t>Y类</t>
  </si>
  <si>
    <t>渠道</t>
  </si>
  <si>
    <t>账号</t>
  </si>
  <si>
    <t>销售人员</t>
  </si>
  <si>
    <t>销售额（USD）</t>
  </si>
  <si>
    <t>利润率</t>
  </si>
  <si>
    <t>退款金额（USD）</t>
  </si>
  <si>
    <t>毛利（USD)</t>
  </si>
  <si>
    <t>提成(RMB)</t>
  </si>
  <si>
    <t>汇率:</t>
  </si>
  <si>
    <t>AM</t>
  </si>
  <si>
    <t>NC</t>
  </si>
  <si>
    <t>关文静</t>
  </si>
  <si>
    <t>关文静 CN</t>
  </si>
  <si>
    <t>关文静 US</t>
  </si>
  <si>
    <t>关文静 FBA</t>
  </si>
  <si>
    <t>DXUK</t>
  </si>
  <si>
    <t>杜与宁</t>
  </si>
  <si>
    <t>杜与宁 CN</t>
  </si>
  <si>
    <t>LYZ</t>
  </si>
  <si>
    <t>罗金城</t>
  </si>
  <si>
    <t>罗金城 CN</t>
  </si>
  <si>
    <t>罗金城 US</t>
  </si>
  <si>
    <t>罗金城 FBA</t>
  </si>
  <si>
    <t>JS</t>
  </si>
  <si>
    <t>欧曼洁</t>
  </si>
  <si>
    <t>欧曼洁 CN</t>
  </si>
  <si>
    <t>欧曼洁 US</t>
  </si>
  <si>
    <t>欧曼洁 FBA</t>
  </si>
  <si>
    <t>SAYIN</t>
  </si>
  <si>
    <t>LHY</t>
  </si>
  <si>
    <t>FS</t>
  </si>
  <si>
    <t>FUT</t>
  </si>
  <si>
    <t>赖家雄</t>
  </si>
  <si>
    <t>赖家雄 CN</t>
  </si>
  <si>
    <t>赖家雄 US</t>
  </si>
  <si>
    <t>赖家雄 FBA</t>
  </si>
  <si>
    <t>公司奖励</t>
  </si>
  <si>
    <t>SF</t>
  </si>
  <si>
    <t>DDA</t>
  </si>
  <si>
    <t>梁晓文</t>
  </si>
  <si>
    <t>梁晓文 CN</t>
  </si>
  <si>
    <t>梁晓文 US</t>
  </si>
  <si>
    <t>梁晓文 FBA</t>
  </si>
  <si>
    <t>ZQDE</t>
  </si>
  <si>
    <t>FE</t>
  </si>
  <si>
    <t>唐进锋</t>
  </si>
  <si>
    <t>唐进锋 CN</t>
  </si>
  <si>
    <t>唐进锋 US</t>
  </si>
  <si>
    <t>唐进锋 FBA</t>
  </si>
  <si>
    <t>PPS</t>
  </si>
  <si>
    <t>FLOUK</t>
  </si>
  <si>
    <t>张志华</t>
  </si>
  <si>
    <t>张志华 CN</t>
  </si>
  <si>
    <t>张志华 FBA</t>
  </si>
  <si>
    <t>张志华 UK</t>
  </si>
  <si>
    <t>SAYAU</t>
  </si>
  <si>
    <t>黄海明</t>
  </si>
  <si>
    <t>黄海明 CN</t>
  </si>
  <si>
    <t>黄海明 FBA</t>
  </si>
  <si>
    <t>ZQUK</t>
  </si>
  <si>
    <t>AFUK</t>
  </si>
  <si>
    <t>HOJP</t>
  </si>
  <si>
    <t>梁海鲜</t>
  </si>
  <si>
    <t>梁海鲜 CN</t>
  </si>
  <si>
    <t>梁海鲜 FBA</t>
  </si>
  <si>
    <t>FLOJP</t>
  </si>
  <si>
    <t>FUTJP</t>
  </si>
  <si>
    <t>王敏芝</t>
  </si>
  <si>
    <t>王敏芝 CN</t>
  </si>
  <si>
    <t>OMG</t>
  </si>
  <si>
    <t>WZJUS</t>
  </si>
  <si>
    <t>AFDE</t>
  </si>
  <si>
    <t>WZJDE</t>
  </si>
  <si>
    <t>杜与宁 FBA</t>
  </si>
  <si>
    <t>WZJUK</t>
  </si>
  <si>
    <t>杜与宁 UK</t>
  </si>
  <si>
    <t>HI</t>
  </si>
  <si>
    <t>FL</t>
  </si>
  <si>
    <t>WZJJP</t>
  </si>
  <si>
    <t>赖嘉怡</t>
  </si>
  <si>
    <t>赖嘉怡 CN</t>
  </si>
  <si>
    <t>赖嘉怡 FBA</t>
  </si>
  <si>
    <t>SMT</t>
  </si>
  <si>
    <t>LJX</t>
  </si>
  <si>
    <t>陈慧宁</t>
  </si>
  <si>
    <t>陈慧宁 CN</t>
  </si>
  <si>
    <t>陈慧宁 US</t>
  </si>
  <si>
    <t>NK</t>
  </si>
  <si>
    <t>梁小丽</t>
  </si>
  <si>
    <t>梁小丽 CN</t>
  </si>
  <si>
    <t>梁小丽 US</t>
  </si>
  <si>
    <t>LWS</t>
  </si>
  <si>
    <t>黎咏芝</t>
  </si>
  <si>
    <t>黎咏芝 CN</t>
  </si>
  <si>
    <t>FI</t>
  </si>
  <si>
    <t>NK2</t>
  </si>
  <si>
    <t>黎咏芝 US</t>
  </si>
  <si>
    <t>DDS</t>
  </si>
  <si>
    <t>黄海兰</t>
  </si>
  <si>
    <t>黄海兰 CN</t>
  </si>
  <si>
    <t>黄海兰 US</t>
  </si>
  <si>
    <t>FYC</t>
  </si>
  <si>
    <t>CTG</t>
  </si>
  <si>
    <t>MYLYE</t>
  </si>
  <si>
    <t>BD</t>
  </si>
  <si>
    <t>WISH</t>
  </si>
  <si>
    <t>AIG</t>
  </si>
  <si>
    <t>邓花儿</t>
  </si>
  <si>
    <t>邓花儿 CN</t>
  </si>
  <si>
    <t>邓花儿 US</t>
  </si>
  <si>
    <t>FC</t>
  </si>
  <si>
    <t>FQL</t>
  </si>
  <si>
    <t>/</t>
  </si>
  <si>
    <t>/ CN</t>
  </si>
  <si>
    <t>/ US</t>
  </si>
  <si>
    <t>HCD</t>
  </si>
  <si>
    <t>陈小凤</t>
  </si>
  <si>
    <t>陈小凤 CN</t>
  </si>
  <si>
    <t>陈小凤 US</t>
  </si>
  <si>
    <t>AFS</t>
  </si>
  <si>
    <t>杨梅花</t>
  </si>
  <si>
    <t>杨梅花 CN</t>
  </si>
  <si>
    <t>LQX</t>
  </si>
  <si>
    <t>杨梅花 US</t>
  </si>
  <si>
    <t>MMW</t>
  </si>
  <si>
    <t>CW</t>
  </si>
  <si>
    <t>DDW</t>
  </si>
  <si>
    <t>LQ</t>
  </si>
  <si>
    <t>杨春梅</t>
  </si>
  <si>
    <t>杨春梅 CN</t>
  </si>
  <si>
    <t>杨春梅 US</t>
  </si>
  <si>
    <t>杨春梅 UK</t>
  </si>
  <si>
    <t>SD</t>
  </si>
  <si>
    <t>XM</t>
  </si>
  <si>
    <t>CN</t>
  </si>
  <si>
    <t>US</t>
  </si>
  <si>
    <t>YD</t>
  </si>
  <si>
    <t>JYS</t>
  </si>
  <si>
    <t>EBAY</t>
  </si>
  <si>
    <t>AS</t>
  </si>
  <si>
    <t>廖牧原</t>
  </si>
  <si>
    <t>廖牧原 US</t>
  </si>
  <si>
    <t>廖牧原 UK</t>
  </si>
  <si>
    <t>谢志坚</t>
  </si>
  <si>
    <t>谢志坚 US</t>
  </si>
  <si>
    <t>EG</t>
  </si>
  <si>
    <t>谢志坚 UK</t>
  </si>
  <si>
    <t>NY</t>
  </si>
  <si>
    <t>吴小婷</t>
  </si>
  <si>
    <t>吴小婷 US</t>
  </si>
  <si>
    <t>吴小婷 UK</t>
  </si>
  <si>
    <t>EU</t>
  </si>
  <si>
    <t>廖牧原 CN</t>
  </si>
  <si>
    <t>ZYL</t>
  </si>
  <si>
    <t>袁星辉</t>
  </si>
  <si>
    <t>袁星辉 US</t>
  </si>
  <si>
    <t>袁星辉 UK</t>
  </si>
  <si>
    <t>DY</t>
  </si>
  <si>
    <t>吴小婷 CN</t>
  </si>
  <si>
    <t>HYE</t>
  </si>
  <si>
    <t>黄楚军</t>
  </si>
  <si>
    <t>黄楚军 US</t>
  </si>
  <si>
    <t>黄楚军 UK</t>
  </si>
  <si>
    <t>YJ</t>
  </si>
  <si>
    <t>NJ</t>
  </si>
  <si>
    <t>FULL</t>
  </si>
  <si>
    <t>谢志坚 CN</t>
  </si>
  <si>
    <t>GSY</t>
  </si>
  <si>
    <t>LB</t>
  </si>
  <si>
    <t>刘巧金</t>
  </si>
  <si>
    <t>刘巧金 CN</t>
  </si>
  <si>
    <t>刘巧金 US</t>
  </si>
  <si>
    <t>刘巧金 UK</t>
  </si>
  <si>
    <t>LZ</t>
  </si>
  <si>
    <t>LM</t>
  </si>
  <si>
    <t>郑华静</t>
  </si>
  <si>
    <t>郑华静 CN</t>
  </si>
  <si>
    <t>郑华静 US</t>
  </si>
  <si>
    <t>郑华静 UK</t>
  </si>
  <si>
    <t>NCK</t>
  </si>
  <si>
    <t>黄婉华</t>
  </si>
  <si>
    <t>黄婉华 CN</t>
  </si>
  <si>
    <t>黄婉华 US</t>
  </si>
  <si>
    <t>黄婉华 UK</t>
  </si>
  <si>
    <t>Walmart</t>
  </si>
  <si>
    <t>LGI</t>
  </si>
  <si>
    <t>李文婷</t>
  </si>
  <si>
    <t>李文婷 US</t>
  </si>
  <si>
    <t>LGS</t>
  </si>
  <si>
    <t>李文婷 CN</t>
  </si>
  <si>
    <t>陈宇琼</t>
  </si>
  <si>
    <t>陈宇琼 CN</t>
  </si>
  <si>
    <t>陈宇琼 US</t>
  </si>
  <si>
    <t>LGI（CA）</t>
  </si>
  <si>
    <t>詹凤娟</t>
  </si>
  <si>
    <t>詹凤娟 CN</t>
  </si>
  <si>
    <t>LGI/测试款</t>
  </si>
  <si>
    <t>SEARS</t>
  </si>
  <si>
    <t>SHOPPE</t>
  </si>
  <si>
    <t>MY</t>
  </si>
  <si>
    <t>SG</t>
  </si>
  <si>
    <t>TW</t>
  </si>
  <si>
    <t>ID</t>
  </si>
  <si>
    <t>Souq</t>
  </si>
  <si>
    <t>黄楚军 沙特</t>
  </si>
  <si>
    <t>House</t>
  </si>
  <si>
    <t>杨春梅 沙特</t>
  </si>
  <si>
    <t>杨春梅 沙特FBS</t>
  </si>
  <si>
    <t>Oasis-city</t>
  </si>
  <si>
    <t>谢志坚 沙特</t>
  </si>
  <si>
    <t>谢志坚 沙特FBS</t>
  </si>
  <si>
    <t>黎咏芝 阿联酋</t>
  </si>
  <si>
    <t>黎咏芝 阿联酋FBS</t>
  </si>
  <si>
    <t>Charm lady</t>
  </si>
  <si>
    <t>黄楚军 阿联酋</t>
  </si>
  <si>
    <t>黄楚军 阿联酋FBS</t>
  </si>
  <si>
    <t>Easy-buy-uae</t>
  </si>
  <si>
    <t>客服</t>
  </si>
  <si>
    <t>王晓虹</t>
  </si>
  <si>
    <t>何楚然</t>
  </si>
  <si>
    <t>朱晓琦</t>
  </si>
  <si>
    <t>陈子婷</t>
  </si>
  <si>
    <t>石冲</t>
  </si>
  <si>
    <t>莫珊连</t>
  </si>
  <si>
    <t>周慧雯</t>
  </si>
  <si>
    <t>王佳敏</t>
  </si>
  <si>
    <t>总数</t>
  </si>
  <si>
    <t>投资者风险与收益</t>
  </si>
  <si>
    <t>amazon服装管理</t>
  </si>
  <si>
    <t>待定</t>
  </si>
  <si>
    <t>ebay服装管理</t>
  </si>
  <si>
    <t>smt服装管理</t>
  </si>
  <si>
    <t>黎咏芝管</t>
  </si>
  <si>
    <t>wish服装管理</t>
  </si>
  <si>
    <t>沃尔玛</t>
  </si>
  <si>
    <t>产品</t>
  </si>
  <si>
    <t>A类</t>
  </si>
  <si>
    <t>林施延</t>
  </si>
  <si>
    <t>林施延 CN</t>
  </si>
  <si>
    <t>陈梦婷</t>
  </si>
  <si>
    <t>陈梦婷 CN</t>
  </si>
  <si>
    <t>杜与宁 US</t>
  </si>
  <si>
    <t>wish</t>
  </si>
  <si>
    <t>曾金龙</t>
  </si>
  <si>
    <t>曾金龙 US</t>
  </si>
  <si>
    <t>郑晓萍</t>
  </si>
  <si>
    <t>郑晓萍 CN</t>
  </si>
  <si>
    <t xml:space="preserve"> CN</t>
  </si>
  <si>
    <t>李秀丽</t>
  </si>
  <si>
    <t>李秀丽 US</t>
  </si>
  <si>
    <t>李秀丽 CN线下单</t>
  </si>
  <si>
    <t>陈嘉霓</t>
  </si>
  <si>
    <t>陈嘉霓 CN</t>
  </si>
  <si>
    <t>李秀丽 CN</t>
  </si>
  <si>
    <t>CHENS</t>
  </si>
  <si>
    <t>JIAO</t>
  </si>
  <si>
    <t>VOVA</t>
  </si>
  <si>
    <t>GZ</t>
  </si>
  <si>
    <t>WALMART</t>
  </si>
  <si>
    <t>shopper</t>
  </si>
  <si>
    <t>公司收益</t>
  </si>
  <si>
    <t>产品经理</t>
  </si>
  <si>
    <t>T类</t>
  </si>
  <si>
    <t>冯琼灵</t>
  </si>
  <si>
    <t>冯琼灵 CN</t>
  </si>
  <si>
    <t>冯琼灵 US</t>
  </si>
  <si>
    <t>冯琼灵 FBA</t>
  </si>
  <si>
    <t>黄丹丽</t>
  </si>
  <si>
    <t>黄丹丽 CN</t>
  </si>
  <si>
    <t>黄丹丽 US</t>
  </si>
  <si>
    <t>黄丹丽 FBA</t>
  </si>
  <si>
    <t>OL</t>
  </si>
  <si>
    <t>陈梦婷 US</t>
  </si>
  <si>
    <t>陈梦婷 FBA</t>
  </si>
  <si>
    <t>冯琼灵 UK</t>
  </si>
  <si>
    <t>SLE</t>
  </si>
  <si>
    <t>张志华 US</t>
  </si>
  <si>
    <t>陈红萍</t>
  </si>
  <si>
    <t>陈红萍 UK</t>
  </si>
  <si>
    <t>CTGW</t>
  </si>
  <si>
    <t>陈小凤  CN</t>
  </si>
  <si>
    <t>陈小凤  US</t>
  </si>
  <si>
    <t>陈小凤  UK</t>
  </si>
  <si>
    <t>曾金龙 UK</t>
  </si>
  <si>
    <t>LYZW</t>
  </si>
  <si>
    <t>WWZW</t>
  </si>
  <si>
    <t>黄晓华</t>
  </si>
  <si>
    <t>黄晓华 US</t>
  </si>
  <si>
    <t>黄晓华 UK</t>
  </si>
  <si>
    <t>黄楚军 CN</t>
  </si>
  <si>
    <t>曾燕青</t>
  </si>
  <si>
    <t>曾燕青 CN</t>
  </si>
  <si>
    <t>amazon发品管理</t>
  </si>
  <si>
    <t>ebay发品管理</t>
  </si>
  <si>
    <t>smt发品管理</t>
  </si>
  <si>
    <t>wish发品管理</t>
  </si>
  <si>
    <t>M类</t>
  </si>
  <si>
    <t>叶松玲</t>
  </si>
  <si>
    <t>叶松玲 CN</t>
  </si>
  <si>
    <t>叶松玲 US</t>
  </si>
  <si>
    <t>叶松玲 FBA</t>
  </si>
  <si>
    <t>陈红萍 CN</t>
  </si>
  <si>
    <t>王敏芝 FBA</t>
  </si>
  <si>
    <t>WWZ</t>
  </si>
  <si>
    <t>陈红萍 FBA</t>
  </si>
  <si>
    <t>林施延  CN</t>
  </si>
  <si>
    <t>林施延  FBA</t>
  </si>
  <si>
    <t>林施延  UK</t>
  </si>
  <si>
    <t>ZQES</t>
  </si>
  <si>
    <t>邵冬莹</t>
  </si>
  <si>
    <t>邵冬莹 CN</t>
  </si>
  <si>
    <t>邵冬莹 US</t>
  </si>
  <si>
    <t>邵冬莹 FBA</t>
  </si>
  <si>
    <t>蔡林珊</t>
  </si>
  <si>
    <t>蔡林珊 CN</t>
  </si>
  <si>
    <t>林施延 US</t>
  </si>
  <si>
    <t>林施延 FBA</t>
  </si>
  <si>
    <t>SLTY</t>
  </si>
  <si>
    <t>陈红萍 US</t>
  </si>
  <si>
    <t>OJAJU</t>
  </si>
  <si>
    <t>MNS</t>
  </si>
  <si>
    <t>陈慧宁  CN</t>
  </si>
  <si>
    <t>陈慧宁  US</t>
  </si>
  <si>
    <t>MYLEY</t>
  </si>
  <si>
    <t>谢志坚  CN</t>
  </si>
  <si>
    <t>谢志坚  US</t>
  </si>
  <si>
    <t>谢志坚  UK</t>
  </si>
  <si>
    <t>郑华静  CN</t>
  </si>
  <si>
    <t>郑华静  UK</t>
  </si>
  <si>
    <t>ZY66</t>
  </si>
  <si>
    <t>张泽珊</t>
  </si>
  <si>
    <t>张泽珊  UK</t>
  </si>
  <si>
    <t>黄婉华  CN</t>
  </si>
  <si>
    <t>黄婉华  US</t>
  </si>
  <si>
    <t>黄婉华  UK</t>
  </si>
  <si>
    <t>廖牧原  CN</t>
  </si>
  <si>
    <t>廖牧原  US</t>
  </si>
  <si>
    <t>廖牧原  UK</t>
  </si>
  <si>
    <t>吴小婷  CN</t>
  </si>
  <si>
    <t>吴小婷  US</t>
  </si>
  <si>
    <t>吴小婷  UK</t>
  </si>
  <si>
    <t>HHW</t>
  </si>
  <si>
    <t>黄楚军  CN</t>
  </si>
  <si>
    <t>黄楚军  US</t>
  </si>
  <si>
    <t>黄楚军  UK</t>
  </si>
  <si>
    <r>
      <rPr>
        <sz val="11"/>
        <color indexed="8"/>
        <rFont val="宋体"/>
        <charset val="134"/>
      </rPr>
      <t>F</t>
    </r>
    <r>
      <rPr>
        <sz val="11"/>
        <color indexed="8"/>
        <rFont val="宋体"/>
        <charset val="134"/>
      </rPr>
      <t>QL</t>
    </r>
  </si>
  <si>
    <t>陈小凤 UK</t>
  </si>
  <si>
    <t>UK</t>
  </si>
  <si>
    <t>符荣珠</t>
  </si>
  <si>
    <t>符荣珠 CN</t>
  </si>
  <si>
    <t>符荣珠 US</t>
  </si>
  <si>
    <t>莫世婷</t>
  </si>
  <si>
    <t>莫世婷 阿联酋</t>
  </si>
  <si>
    <t>陈晓静</t>
  </si>
  <si>
    <t>amazon家居管理</t>
  </si>
  <si>
    <t>ebay家居管理</t>
  </si>
  <si>
    <t>smt家居管理</t>
  </si>
  <si>
    <t>wish家居管理</t>
  </si>
  <si>
    <t>Z类</t>
  </si>
  <si>
    <t>黎咏芝 RU</t>
  </si>
  <si>
    <t>杨春梅 CK</t>
  </si>
  <si>
    <t>LGI测试款</t>
  </si>
  <si>
    <t>产品管理</t>
  </si>
  <si>
    <t>H类</t>
  </si>
  <si>
    <t>吴林炬</t>
  </si>
  <si>
    <t>吴林炬 CN</t>
  </si>
  <si>
    <t>MMS</t>
  </si>
  <si>
    <t>DODOING</t>
  </si>
  <si>
    <t>吴利平</t>
  </si>
  <si>
    <t>吴利平 CN</t>
  </si>
  <si>
    <t>OTS</t>
  </si>
  <si>
    <t>ZL66</t>
  </si>
  <si>
    <t>张泽姗</t>
  </si>
  <si>
    <t>张泽姗 CN</t>
  </si>
  <si>
    <t>V类</t>
  </si>
  <si>
    <t>钟为坎</t>
  </si>
  <si>
    <t>钟为坎 CN</t>
  </si>
  <si>
    <t>石可怀</t>
  </si>
  <si>
    <t>石可怀 CN</t>
  </si>
  <si>
    <t>丘玉萍</t>
  </si>
  <si>
    <t>丘玉萍 CN</t>
  </si>
  <si>
    <t>B类</t>
  </si>
  <si>
    <t>唐进锋 UK</t>
  </si>
  <si>
    <t>王敏芝  CN</t>
  </si>
  <si>
    <t>LXJ</t>
  </si>
  <si>
    <t>何宝茵</t>
  </si>
  <si>
    <t>何宝茵 CN</t>
  </si>
  <si>
    <r>
      <rPr>
        <sz val="11"/>
        <color indexed="8"/>
        <rFont val="宋体"/>
        <charset val="134"/>
      </rPr>
      <t>L</t>
    </r>
    <r>
      <rPr>
        <sz val="11"/>
        <color indexed="8"/>
        <rFont val="宋体"/>
        <charset val="134"/>
      </rPr>
      <t>GI</t>
    </r>
  </si>
  <si>
    <r>
      <rPr>
        <sz val="11"/>
        <rFont val="宋体"/>
        <charset val="134"/>
      </rPr>
      <t xml:space="preserve">李文婷 </t>
    </r>
    <r>
      <rPr>
        <sz val="11"/>
        <rFont val="宋体"/>
        <charset val="134"/>
      </rPr>
      <t>US</t>
    </r>
  </si>
  <si>
    <t>总</t>
  </si>
  <si>
    <t>K类</t>
  </si>
  <si>
    <t>曾金龙 CN</t>
  </si>
  <si>
    <t>张泽珊 CN</t>
  </si>
  <si>
    <t>张泽珊 US</t>
  </si>
  <si>
    <t>D类</t>
  </si>
  <si>
    <t>销售</t>
  </si>
  <si>
    <t>Ebay</t>
  </si>
  <si>
    <t>Sears</t>
  </si>
  <si>
    <t>C类打底裤</t>
  </si>
  <si>
    <t xml:space="preserve">吴小婷 UK </t>
  </si>
  <si>
    <t>叶婷婷</t>
  </si>
  <si>
    <t>叶婷婷 CN</t>
  </si>
  <si>
    <t xml:space="preserve"> US</t>
  </si>
  <si>
    <t>walmart</t>
  </si>
  <si>
    <t>amazon服装带队</t>
  </si>
  <si>
    <t>ebay服装带队</t>
  </si>
  <si>
    <t>smt服装带队</t>
  </si>
  <si>
    <t>wish服装带队</t>
  </si>
  <si>
    <t>Q类</t>
  </si>
  <si>
    <t>郑晓萍 US</t>
  </si>
  <si>
    <t xml:space="preserve">EBAY </t>
  </si>
  <si>
    <t>丘玉萍 US</t>
  </si>
  <si>
    <t>shoppe</t>
  </si>
  <si>
    <t>L类</t>
  </si>
  <si>
    <t>汤林君</t>
  </si>
  <si>
    <t>汤林君 CN</t>
  </si>
  <si>
    <t>蔡福泽</t>
  </si>
  <si>
    <t>蔡福泽 CN</t>
  </si>
  <si>
    <t>黄志鹏</t>
  </si>
  <si>
    <t>黄志鹏 US</t>
  </si>
  <si>
    <t>石可怀 US</t>
  </si>
  <si>
    <t>黄美珍</t>
  </si>
  <si>
    <t>黄美珍 CN</t>
  </si>
  <si>
    <t>amazon家居带队</t>
  </si>
  <si>
    <t>ebay家居带队</t>
  </si>
  <si>
    <t>smt家居带队</t>
  </si>
  <si>
    <t>wish家居带队</t>
  </si>
  <si>
    <t>E类</t>
  </si>
  <si>
    <t>刘洁</t>
  </si>
  <si>
    <t>刘洁 CN</t>
  </si>
  <si>
    <t>F类</t>
  </si>
  <si>
    <t>陈嘉霓 US</t>
  </si>
  <si>
    <t>G类</t>
  </si>
  <si>
    <t>梁晓晴</t>
  </si>
  <si>
    <t>梁晓晴 US</t>
  </si>
  <si>
    <t>8月杨梅花 CN</t>
  </si>
  <si>
    <t>OTG</t>
  </si>
  <si>
    <t>黄惠芳</t>
  </si>
  <si>
    <t>黄惠芳 CN</t>
  </si>
  <si>
    <t>L4B</t>
  </si>
  <si>
    <t>ZHIS</t>
  </si>
  <si>
    <t>amazon带队</t>
  </si>
  <si>
    <t>ebay带队</t>
  </si>
  <si>
    <t>smt带队</t>
  </si>
  <si>
    <t>wish带队</t>
  </si>
  <si>
    <t>N类</t>
  </si>
  <si>
    <t>SOUQ</t>
  </si>
  <si>
    <t>J类</t>
  </si>
  <si>
    <t>W类</t>
  </si>
  <si>
    <t>MS类</t>
  </si>
  <si>
    <t>am</t>
  </si>
  <si>
    <t>龚福连</t>
  </si>
  <si>
    <t>龚福连 CN</t>
  </si>
  <si>
    <t>龚福连 FBA</t>
  </si>
  <si>
    <t>李玉笑</t>
  </si>
  <si>
    <t>李玉笑 CN</t>
  </si>
  <si>
    <t>林祉婷</t>
  </si>
  <si>
    <t>黎佩好</t>
  </si>
  <si>
    <t>陈虹萍</t>
  </si>
  <si>
    <t>何宏伟</t>
  </si>
  <si>
    <t>C类刷头</t>
  </si>
  <si>
    <t>龚福莲 CN</t>
  </si>
  <si>
    <t>S类</t>
  </si>
  <si>
    <t>头花</t>
  </si>
  <si>
    <t>奖励</t>
  </si>
  <si>
    <t>ebay</t>
  </si>
  <si>
    <t>黄志鹏 UK</t>
  </si>
  <si>
    <t>陈志勇</t>
  </si>
  <si>
    <t>石燕玲</t>
  </si>
  <si>
    <t>雷耀良</t>
  </si>
  <si>
    <r>
      <rPr>
        <sz val="11"/>
        <color indexed="8"/>
        <rFont val="宋体"/>
        <charset val="134"/>
      </rPr>
      <t xml:space="preserve"> </t>
    </r>
    <r>
      <rPr>
        <sz val="11"/>
        <color indexed="8"/>
        <rFont val="宋体"/>
        <charset val="134"/>
      </rPr>
      <t xml:space="preserve">   </t>
    </r>
  </si>
  <si>
    <t>服装</t>
  </si>
  <si>
    <t>发品</t>
  </si>
  <si>
    <t>家居</t>
  </si>
  <si>
    <t>名字</t>
  </si>
  <si>
    <t>部门</t>
  </si>
  <si>
    <t>塑身衣Y</t>
  </si>
  <si>
    <t>塑身衣Z</t>
  </si>
  <si>
    <t>护具</t>
  </si>
  <si>
    <t>假发</t>
  </si>
  <si>
    <t>五金</t>
  </si>
  <si>
    <t>内裤</t>
  </si>
  <si>
    <t>比基尼</t>
  </si>
  <si>
    <t>真发</t>
  </si>
  <si>
    <t>室内装饰</t>
  </si>
  <si>
    <t>打底裤</t>
  </si>
  <si>
    <t>鞋子</t>
  </si>
  <si>
    <t>LED灯</t>
  </si>
  <si>
    <t>销售提成合计</t>
  </si>
  <si>
    <t>抽点</t>
  </si>
  <si>
    <t>奖金</t>
  </si>
  <si>
    <t>合计</t>
  </si>
  <si>
    <t>amzzon销售</t>
  </si>
  <si>
    <t>SMT销售</t>
  </si>
  <si>
    <t>wish销售</t>
  </si>
  <si>
    <t>ebay销售</t>
  </si>
  <si>
    <t>walmart销售</t>
  </si>
  <si>
    <t>助理</t>
  </si>
  <si>
    <t>amazon</t>
  </si>
  <si>
    <t>smt</t>
  </si>
  <si>
    <t>FQL</t>
    <phoneticPr fontId="37" type="noConversion"/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</si>
</sst>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176" formatCode="0.00_ "/>
    <numFmt numFmtId="177" formatCode="0.00_);[Red]\(0.00\)"/>
    <numFmt numFmtId="178" formatCode="\$#,##0.00;\-\$#,##0.00"/>
    <numFmt numFmtId="179" formatCode="_-\$* #,##0.00_ ;_-\$* \-#,##0.00\ ;_-\$* &quot;-&quot;??_ ;_-@_ "/>
    <numFmt numFmtId="180" formatCode="\¥#,##0.00;\¥\-#,##0.00"/>
    <numFmt numFmtId="181" formatCode="#,##0.00_ "/>
    <numFmt numFmtId="182" formatCode="\¥#,##0.00;[Red]\¥\-#,##0.00"/>
    <numFmt numFmtId="183" formatCode="\¥#,##0.00_);[Red]\(\¥#,##0.00\)"/>
    <numFmt numFmtId="184" formatCode="#,##0.00;[Red]#,##0.00"/>
  </numFmts>
  <fonts count="39">
    <font>
      <sz val="11"/>
      <color indexed="8"/>
      <name val="宋体"/>
      <charset val="134"/>
    </font>
    <font>
      <sz val="11"/>
      <color indexed="10"/>
      <name val="宋体"/>
      <charset val="134"/>
    </font>
    <font>
      <b/>
      <sz val="11"/>
      <color indexed="8"/>
      <name val="宋体"/>
      <charset val="134"/>
    </font>
    <font>
      <b/>
      <sz val="12"/>
      <color indexed="8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b/>
      <sz val="11"/>
      <color indexed="10"/>
      <name val="宋体"/>
      <charset val="134"/>
    </font>
    <font>
      <sz val="10"/>
      <color indexed="8"/>
      <name val="宋体"/>
      <charset val="134"/>
    </font>
    <font>
      <sz val="10"/>
      <color indexed="10"/>
      <name val="宋体"/>
      <charset val="134"/>
    </font>
    <font>
      <sz val="9"/>
      <color indexed="8"/>
      <name val="宋体"/>
      <charset val="134"/>
    </font>
    <font>
      <b/>
      <sz val="11"/>
      <color indexed="62"/>
      <name val="宋体"/>
      <charset val="134"/>
    </font>
    <font>
      <sz val="11"/>
      <color indexed="42"/>
      <name val="宋体"/>
      <charset val="134"/>
    </font>
    <font>
      <i/>
      <sz val="11"/>
      <color indexed="23"/>
      <name val="宋体"/>
      <charset val="134"/>
    </font>
    <font>
      <sz val="11"/>
      <color indexed="9"/>
      <name val="宋体"/>
      <charset val="134"/>
    </font>
    <font>
      <sz val="11"/>
      <color indexed="8"/>
      <name val="Tahoma"/>
      <family val="2"/>
      <charset val="134"/>
    </font>
    <font>
      <i/>
      <sz val="11"/>
      <color indexed="23"/>
      <name val="Tahoma"/>
      <family val="2"/>
      <charset val="134"/>
    </font>
    <font>
      <sz val="11"/>
      <color indexed="60"/>
      <name val="宋体"/>
      <charset val="134"/>
    </font>
    <font>
      <sz val="11"/>
      <color indexed="9"/>
      <name val="Tahoma"/>
      <family val="2"/>
      <charset val="134"/>
    </font>
    <font>
      <b/>
      <sz val="18"/>
      <color indexed="62"/>
      <name val="宋体"/>
      <charset val="134"/>
    </font>
    <font>
      <b/>
      <sz val="11"/>
      <color indexed="52"/>
      <name val="宋体"/>
      <charset val="134"/>
    </font>
    <font>
      <b/>
      <sz val="11"/>
      <color indexed="42"/>
      <name val="宋体"/>
      <charset val="134"/>
    </font>
    <font>
      <b/>
      <sz val="13"/>
      <color indexed="62"/>
      <name val="宋体"/>
      <charset val="134"/>
    </font>
    <font>
      <b/>
      <sz val="11"/>
      <color indexed="9"/>
      <name val="Tahoma"/>
      <family val="2"/>
      <charset val="134"/>
    </font>
    <font>
      <sz val="11"/>
      <color indexed="17"/>
      <name val="宋体"/>
      <charset val="134"/>
    </font>
    <font>
      <b/>
      <sz val="11"/>
      <color indexed="9"/>
      <name val="宋体"/>
      <charset val="134"/>
    </font>
    <font>
      <b/>
      <sz val="18"/>
      <color indexed="56"/>
      <name val="宋体"/>
      <charset val="134"/>
    </font>
    <font>
      <b/>
      <sz val="15"/>
      <color indexed="62"/>
      <name val="宋体"/>
      <charset val="134"/>
    </font>
    <font>
      <sz val="11"/>
      <color indexed="44"/>
      <name val="宋体"/>
      <charset val="134"/>
    </font>
    <font>
      <sz val="11"/>
      <color indexed="52"/>
      <name val="宋体"/>
      <charset val="134"/>
    </font>
    <font>
      <b/>
      <sz val="15"/>
      <color indexed="56"/>
      <name val="宋体"/>
      <charset val="134"/>
    </font>
    <font>
      <b/>
      <sz val="11"/>
      <color indexed="63"/>
      <name val="宋体"/>
      <charset val="134"/>
    </font>
    <font>
      <b/>
      <sz val="11"/>
      <color indexed="63"/>
      <name val="Tahoma"/>
      <family val="2"/>
      <charset val="134"/>
    </font>
    <font>
      <sz val="11"/>
      <color indexed="60"/>
      <name val="Tahoma"/>
      <family val="2"/>
      <charset val="134"/>
    </font>
    <font>
      <b/>
      <sz val="13"/>
      <color indexed="62"/>
      <name val="Tahoma"/>
      <family val="2"/>
      <charset val="134"/>
    </font>
    <font>
      <b/>
      <sz val="11"/>
      <color indexed="8"/>
      <name val="Tahoma"/>
      <family val="2"/>
      <charset val="134"/>
    </font>
    <font>
      <b/>
      <sz val="11"/>
      <color indexed="44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0"/>
        <bgColor indexed="64"/>
      </patternFill>
    </fill>
  </fills>
  <borders count="23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998">
    <xf numFmtId="0" fontId="0" fillId="0" borderId="0">
      <alignment vertical="center"/>
    </xf>
    <xf numFmtId="0" fontId="38" fillId="0" borderId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8" fillId="4" borderId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23" fillId="6" borderId="1" applyNumberFormat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38" fillId="2" borderId="0" applyNumberFormat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38" fillId="0" borderId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0" borderId="0">
      <alignment vertical="center"/>
    </xf>
    <xf numFmtId="0" fontId="6" fillId="0" borderId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38" fillId="0" borderId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2" borderId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17" borderId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2" borderId="2" applyNumberFormat="0" applyAlignment="0" applyProtection="0">
      <alignment vertical="center"/>
    </xf>
    <xf numFmtId="0" fontId="6" fillId="0" borderId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38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8" fillId="0" borderId="0">
      <alignment vertical="center"/>
    </xf>
    <xf numFmtId="0" fontId="6" fillId="0" borderId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8" fillId="0" borderId="0">
      <alignment vertical="center"/>
    </xf>
    <xf numFmtId="0" fontId="6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8" fillId="0" borderId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" borderId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3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8" fillId="0" borderId="0">
      <alignment vertical="center"/>
    </xf>
    <xf numFmtId="0" fontId="38" fillId="3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2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0" borderId="0">
      <alignment vertical="center"/>
    </xf>
    <xf numFmtId="0" fontId="6" fillId="0" borderId="0">
      <alignment vertical="center"/>
    </xf>
    <xf numFmtId="0" fontId="38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6" fillId="0" borderId="0">
      <alignment vertical="center"/>
    </xf>
    <xf numFmtId="0" fontId="38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3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2" fillId="0" borderId="3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38" fillId="0" borderId="0" applyProtection="0">
      <alignment vertical="center"/>
    </xf>
    <xf numFmtId="0" fontId="6" fillId="0" borderId="0">
      <alignment vertical="center"/>
    </xf>
    <xf numFmtId="0" fontId="19" fillId="0" borderId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Protection="0">
      <alignment vertical="center"/>
    </xf>
    <xf numFmtId="0" fontId="38" fillId="0" borderId="0">
      <alignment vertical="center"/>
    </xf>
    <xf numFmtId="0" fontId="6" fillId="0" borderId="0">
      <alignment vertical="center"/>
    </xf>
    <xf numFmtId="0" fontId="19" fillId="0" borderId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3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2" borderId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25" fillId="6" borderId="1" applyNumberForma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8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28" fillId="18" borderId="0" applyProtection="0">
      <alignment vertical="center"/>
    </xf>
    <xf numFmtId="0" fontId="38" fillId="2" borderId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38" fillId="0" borderId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8" fillId="0" borderId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38" fillId="0" borderId="0">
      <alignment vertical="center"/>
    </xf>
    <xf numFmtId="0" fontId="38" fillId="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8" fillId="0" borderId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38" fillId="0" borderId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8" fillId="0" borderId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8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4" borderId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38" fillId="0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17" borderId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38" fillId="0" borderId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6" fillId="0" borderId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4" borderId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38" fillId="0" borderId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38" fillId="0" borderId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2" fillId="2" borderId="4" applyNumberFormat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1" fillId="2" borderId="4" applyNumberFormat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2" fillId="2" borderId="4" applyNumberFormat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28" fillId="13" borderId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38" fillId="0" borderId="0">
      <alignment vertical="center"/>
    </xf>
    <xf numFmtId="0" fontId="18" fillId="20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38" fillId="0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8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8" fillId="0" borderId="0">
      <alignment vertical="center"/>
    </xf>
    <xf numFmtId="0" fontId="38" fillId="2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8" fillId="0" borderId="0">
      <alignment vertical="center"/>
    </xf>
    <xf numFmtId="0" fontId="38" fillId="2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8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20" fillId="2" borderId="2" applyNumberFormat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0" borderId="0">
      <alignment vertical="center"/>
    </xf>
    <xf numFmtId="0" fontId="28" fillId="14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8" fillId="0" borderId="0">
      <alignment vertical="center"/>
    </xf>
    <xf numFmtId="0" fontId="28" fillId="14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9" borderId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8" fillId="2" borderId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28" fillId="18" borderId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24" fillId="10" borderId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8" fillId="0" borderId="0">
      <alignment vertical="center"/>
    </xf>
    <xf numFmtId="0" fontId="2" fillId="0" borderId="6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0" borderId="0">
      <alignment vertical="center"/>
    </xf>
    <xf numFmtId="0" fontId="2" fillId="0" borderId="6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0" borderId="0">
      <alignment vertical="center"/>
    </xf>
    <xf numFmtId="0" fontId="2" fillId="0" borderId="6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0" borderId="0">
      <alignment vertical="center"/>
    </xf>
    <xf numFmtId="0" fontId="2" fillId="0" borderId="6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2" borderId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2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2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38" fillId="0" borderId="0">
      <alignment vertical="center"/>
    </xf>
    <xf numFmtId="0" fontId="38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8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2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2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8" fillId="17" borderId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38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38" fillId="2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20" fillId="2" borderId="2" applyNumberFormat="0" applyAlignment="0" applyProtection="0">
      <alignment vertical="center"/>
    </xf>
    <xf numFmtId="0" fontId="20" fillId="2" borderId="2" applyNumberFormat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4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4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20" fillId="2" borderId="2" applyNumberFormat="0" applyAlignment="0" applyProtection="0">
      <alignment vertical="center"/>
    </xf>
    <xf numFmtId="0" fontId="20" fillId="2" borderId="2" applyNumberFormat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1" fillId="2" borderId="4" applyNumberFormat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4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20" fillId="2" borderId="2" applyNumberFormat="0" applyAlignment="0" applyProtection="0">
      <alignment vertical="center"/>
    </xf>
    <xf numFmtId="0" fontId="20" fillId="2" borderId="2" applyNumberFormat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4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4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4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38" fillId="0" borderId="0" applyProtection="0">
      <alignment vertical="center"/>
    </xf>
    <xf numFmtId="0" fontId="38" fillId="0" borderId="0" applyProtection="0">
      <alignment vertical="center"/>
    </xf>
    <xf numFmtId="0" fontId="38" fillId="0" borderId="0">
      <alignment vertical="center"/>
    </xf>
    <xf numFmtId="0" fontId="38" fillId="4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11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4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4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4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4" borderId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38" fillId="4" borderId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8" fillId="3" borderId="0" applyNumberFormat="0" applyBorder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8" fillId="3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4" borderId="0" applyProtection="0">
      <alignment vertical="center"/>
    </xf>
    <xf numFmtId="0" fontId="6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38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38" fillId="4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8" fillId="4" borderId="0" applyProtection="0">
      <alignment vertical="center"/>
    </xf>
    <xf numFmtId="0" fontId="38" fillId="4" borderId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8" fillId="7" borderId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38" fillId="4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38" fillId="0" borderId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4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8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8" fillId="16" borderId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38" fillId="0" borderId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7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7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38" fillId="0" borderId="0">
      <alignment vertical="center"/>
    </xf>
    <xf numFmtId="0" fontId="38" fillId="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38" fillId="0" borderId="0">
      <alignment vertical="center"/>
    </xf>
    <xf numFmtId="0" fontId="38" fillId="7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1" fillId="2" borderId="4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1" fillId="2" borderId="4" applyNumberFormat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7" borderId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8" fillId="7" borderId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38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8" fillId="7" borderId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28" fillId="16" borderId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8" fillId="0" borderId="0">
      <alignment vertical="center"/>
    </xf>
    <xf numFmtId="0" fontId="38" fillId="10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8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38" fillId="0" borderId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1" fillId="2" borderId="4" applyNumberFormat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0" borderId="0">
      <alignment vertical="center"/>
    </xf>
    <xf numFmtId="0" fontId="21" fillId="6" borderId="1" applyNumberFormat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0" borderId="0">
      <alignment vertical="center"/>
    </xf>
    <xf numFmtId="0" fontId="21" fillId="6" borderId="1" applyNumberFormat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7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8" fillId="7" borderId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7" borderId="0" applyProtection="0">
      <alignment vertical="center"/>
    </xf>
    <xf numFmtId="0" fontId="38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8" fillId="2" borderId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6" fillId="0" borderId="0" applyProtection="0">
      <alignment vertical="center"/>
    </xf>
    <xf numFmtId="0" fontId="38" fillId="0" borderId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38" fillId="0" borderId="0" applyProtection="0">
      <alignment vertical="center"/>
    </xf>
    <xf numFmtId="0" fontId="38" fillId="0" borderId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38" fillId="0" borderId="0" applyProtection="0">
      <alignment vertical="center"/>
    </xf>
    <xf numFmtId="0" fontId="38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3" borderId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8" fillId="0" borderId="0">
      <alignment vertical="center"/>
    </xf>
    <xf numFmtId="0" fontId="13" fillId="0" borderId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0" borderId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38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7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6" fillId="6" borderId="1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28" fillId="3" borderId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10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6" fillId="0" borderId="0">
      <alignment vertical="center"/>
    </xf>
    <xf numFmtId="0" fontId="21" fillId="6" borderId="1" applyNumberFormat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21" fillId="6" borderId="1" applyNumberFormat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38" fillId="0" borderId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28" fillId="12" borderId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8" fillId="16" borderId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7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28" fillId="5" borderId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8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38" fillId="0" borderId="0">
      <alignment vertical="center"/>
    </xf>
    <xf numFmtId="0" fontId="38" fillId="7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28" fillId="16" borderId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5" borderId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28" fillId="4" borderId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2" fillId="2" borderId="4" applyNumberFormat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38" fillId="2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38" fillId="2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38" fillId="0" borderId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38" fillId="0" borderId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38" fillId="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38" fillId="0" borderId="0">
      <alignment vertical="center"/>
    </xf>
    <xf numFmtId="0" fontId="38" fillId="2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5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38" fillId="2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2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38" fillId="0" borderId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6" fillId="0" borderId="0">
      <alignment vertical="center"/>
    </xf>
    <xf numFmtId="0" fontId="38" fillId="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6" fillId="0" borderId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8" fillId="2" borderId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38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38" fillId="0" borderId="0">
      <alignment vertical="center"/>
    </xf>
    <xf numFmtId="0" fontId="38" fillId="2" borderId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38" fillId="0" borderId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8" fillId="2" borderId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27" fillId="0" borderId="9" applyProtection="0">
      <alignment vertical="center"/>
    </xf>
    <xf numFmtId="0" fontId="38" fillId="0" borderId="0">
      <alignment vertical="center"/>
    </xf>
    <xf numFmtId="0" fontId="38" fillId="2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38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8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8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2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6" fillId="0" borderId="0" applyProtection="0">
      <alignment vertical="center"/>
    </xf>
    <xf numFmtId="0" fontId="38" fillId="0" borderId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38" fillId="2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7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7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7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38" fillId="0" borderId="0">
      <alignment vertical="center"/>
    </xf>
    <xf numFmtId="0" fontId="38" fillId="17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38" fillId="17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5" borderId="0" applyProtection="0">
      <alignment vertical="center"/>
    </xf>
    <xf numFmtId="0" fontId="6" fillId="0" borderId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8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7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8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6" fillId="0" borderId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6" fillId="0" borderId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0" borderId="0" applyProtection="0">
      <alignment vertical="center"/>
    </xf>
    <xf numFmtId="0" fontId="38" fillId="0" borderId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0" borderId="0"/>
    <xf numFmtId="0" fontId="38" fillId="0" borderId="0"/>
  </cellStyleXfs>
  <cellXfs count="116">
    <xf numFmtId="0" fontId="0" fillId="0" borderId="0" xfId="0">
      <alignment vertical="center"/>
    </xf>
    <xf numFmtId="0" fontId="0" fillId="5" borderId="0" xfId="0" applyFill="1">
      <alignment vertical="center"/>
    </xf>
    <xf numFmtId="0" fontId="0" fillId="0" borderId="11" xfId="0" applyBorder="1">
      <alignment vertical="center"/>
    </xf>
    <xf numFmtId="0" fontId="0" fillId="4" borderId="11" xfId="0" applyFill="1" applyBorder="1">
      <alignment vertical="center"/>
    </xf>
    <xf numFmtId="176" fontId="0" fillId="0" borderId="11" xfId="0" applyNumberFormat="1" applyBorder="1">
      <alignment vertical="center"/>
    </xf>
    <xf numFmtId="0" fontId="0" fillId="5" borderId="11" xfId="0" applyFill="1" applyBorder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24" borderId="0" xfId="0" applyFont="1" applyFill="1" applyBorder="1" applyAlignment="1">
      <alignment vertical="center"/>
    </xf>
    <xf numFmtId="177" fontId="38" fillId="0" borderId="11" xfId="3548" applyNumberFormat="1" applyFill="1" applyBorder="1">
      <alignment vertical="center"/>
    </xf>
    <xf numFmtId="0" fontId="0" fillId="0" borderId="11" xfId="0" applyFont="1" applyFill="1" applyBorder="1" applyAlignment="1">
      <alignment horizontal="center" vertical="center"/>
    </xf>
    <xf numFmtId="177" fontId="38" fillId="0" borderId="12" xfId="3548" applyNumberFormat="1" applyFill="1" applyBorder="1">
      <alignment vertical="center"/>
    </xf>
    <xf numFmtId="176" fontId="0" fillId="4" borderId="11" xfId="0" applyNumberFormat="1" applyFill="1" applyBorder="1">
      <alignment vertical="center"/>
    </xf>
    <xf numFmtId="0" fontId="0" fillId="4" borderId="0" xfId="0" applyFill="1">
      <alignment vertical="center"/>
    </xf>
    <xf numFmtId="0" fontId="0" fillId="0" borderId="11" xfId="0" applyFont="1" applyFill="1" applyBorder="1" applyAlignment="1">
      <alignment vertical="center"/>
    </xf>
    <xf numFmtId="0" fontId="0" fillId="0" borderId="12" xfId="0" applyBorder="1">
      <alignment vertical="center"/>
    </xf>
    <xf numFmtId="176" fontId="0" fillId="0" borderId="11" xfId="0" applyNumberFormat="1" applyFont="1" applyFill="1" applyBorder="1" applyAlignment="1">
      <alignment horizontal="center" vertical="center"/>
    </xf>
    <xf numFmtId="176" fontId="38" fillId="0" borderId="12" xfId="3548" applyNumberFormat="1" applyFill="1" applyBorder="1">
      <alignment vertical="center"/>
    </xf>
    <xf numFmtId="176" fontId="0" fillId="0" borderId="0" xfId="0" applyNumberFormat="1" applyFont="1" applyFill="1" applyBorder="1" applyAlignment="1">
      <alignment horizontal="center" vertical="center"/>
    </xf>
    <xf numFmtId="176" fontId="0" fillId="0" borderId="11" xfId="0" applyNumberFormat="1" applyFont="1" applyFill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49" fontId="2" fillId="21" borderId="11" xfId="0" applyNumberFormat="1" applyFont="1" applyFill="1" applyBorder="1" applyAlignment="1">
      <alignment horizontal="center" vertical="center"/>
    </xf>
    <xf numFmtId="49" fontId="3" fillId="21" borderId="11" xfId="0" applyNumberFormat="1" applyFont="1" applyFill="1" applyBorder="1" applyAlignment="1">
      <alignment horizontal="center" vertical="center"/>
    </xf>
    <xf numFmtId="0" fontId="3" fillId="21" borderId="11" xfId="0" applyNumberFormat="1" applyFont="1" applyFill="1" applyBorder="1" applyAlignment="1">
      <alignment horizontal="center" vertical="center"/>
    </xf>
    <xf numFmtId="178" fontId="3" fillId="21" borderId="11" xfId="0" applyNumberFormat="1" applyFont="1" applyFill="1" applyBorder="1" applyAlignment="1">
      <alignment horizontal="center" vertical="center"/>
    </xf>
    <xf numFmtId="10" fontId="3" fillId="21" borderId="11" xfId="0" applyNumberFormat="1" applyFont="1" applyFill="1" applyBorder="1" applyAlignment="1">
      <alignment horizontal="center" vertical="center"/>
    </xf>
    <xf numFmtId="179" fontId="3" fillId="21" borderId="11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8" fontId="0" fillId="17" borderId="11" xfId="0" applyNumberFormat="1" applyFill="1" applyBorder="1" applyAlignment="1">
      <alignment horizontal="center" vertical="center"/>
    </xf>
    <xf numFmtId="10" fontId="0" fillId="17" borderId="11" xfId="0" applyNumberFormat="1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180" fontId="4" fillId="21" borderId="11" xfId="259" applyNumberFormat="1" applyFont="1" applyFill="1" applyBorder="1" applyAlignment="1">
      <alignment horizontal="center" vertical="center"/>
    </xf>
    <xf numFmtId="181" fontId="2" fillId="21" borderId="11" xfId="0" applyNumberFormat="1" applyFont="1" applyFill="1" applyBorder="1" applyAlignment="1">
      <alignment horizontal="center" vertical="center"/>
    </xf>
    <xf numFmtId="182" fontId="3" fillId="21" borderId="11" xfId="0" applyNumberFormat="1" applyFont="1" applyFill="1" applyBorder="1" applyAlignment="1">
      <alignment horizontal="center" vertical="center"/>
    </xf>
    <xf numFmtId="182" fontId="3" fillId="21" borderId="12" xfId="0" applyNumberFormat="1" applyFont="1" applyFill="1" applyBorder="1" applyAlignment="1">
      <alignment horizontal="center" vertical="center"/>
    </xf>
    <xf numFmtId="43" fontId="3" fillId="21" borderId="12" xfId="0" applyNumberFormat="1" applyFont="1" applyFill="1" applyBorder="1" applyAlignment="1">
      <alignment horizontal="center" vertical="center"/>
    </xf>
    <xf numFmtId="0" fontId="3" fillId="21" borderId="12" xfId="0" applyFont="1" applyFill="1" applyBorder="1" applyAlignment="1">
      <alignment horizontal="center" vertical="center"/>
    </xf>
    <xf numFmtId="183" fontId="2" fillId="21" borderId="11" xfId="0" applyNumberFormat="1" applyFont="1" applyFill="1" applyBorder="1" applyAlignment="1">
      <alignment horizontal="center" vertical="center"/>
    </xf>
    <xf numFmtId="10" fontId="2" fillId="21" borderId="11" xfId="0" applyNumberFormat="1" applyFont="1" applyFill="1" applyBorder="1" applyAlignment="1">
      <alignment horizontal="center" vertical="center"/>
    </xf>
    <xf numFmtId="0" fontId="2" fillId="21" borderId="11" xfId="0" applyFont="1" applyFill="1" applyBorder="1" applyAlignment="1">
      <alignment horizontal="center" vertical="center"/>
    </xf>
    <xf numFmtId="0" fontId="2" fillId="21" borderId="1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17" borderId="11" xfId="0" applyFont="1" applyFill="1" applyBorder="1" applyAlignment="1">
      <alignment horizontal="center" vertical="center"/>
    </xf>
    <xf numFmtId="0" fontId="5" fillId="21" borderId="11" xfId="0" applyNumberFormat="1" applyFont="1" applyFill="1" applyBorder="1" applyAlignment="1">
      <alignment horizontal="center" vertical="center"/>
    </xf>
    <xf numFmtId="178" fontId="2" fillId="21" borderId="11" xfId="0" applyNumberFormat="1" applyFont="1" applyFill="1" applyBorder="1" applyAlignment="1">
      <alignment horizontal="center" vertical="center"/>
    </xf>
    <xf numFmtId="179" fontId="6" fillId="21" borderId="11" xfId="373" applyNumberFormat="1" applyFont="1" applyFill="1" applyBorder="1" applyAlignment="1">
      <alignment horizontal="center" vertical="center"/>
    </xf>
    <xf numFmtId="184" fontId="4" fillId="21" borderId="11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17" borderId="11" xfId="0" applyNumberFormat="1" applyFont="1" applyFill="1" applyBorder="1" applyAlignment="1">
      <alignment horizontal="center" vertical="center"/>
    </xf>
    <xf numFmtId="10" fontId="2" fillId="17" borderId="11" xfId="0" applyNumberFormat="1" applyFont="1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1" fillId="21" borderId="11" xfId="0" applyFont="1" applyFill="1" applyBorder="1" applyAlignment="1">
      <alignment horizontal="center" vertical="center"/>
    </xf>
    <xf numFmtId="176" fontId="2" fillId="17" borderId="11" xfId="0" applyNumberFormat="1" applyFont="1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0" fontId="2" fillId="0" borderId="11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57" fontId="0" fillId="0" borderId="13" xfId="0" applyNumberFormat="1" applyBorder="1" applyAlignment="1">
      <alignment horizontal="center" vertical="center"/>
    </xf>
    <xf numFmtId="57" fontId="0" fillId="0" borderId="14" xfId="0" applyNumberFormat="1" applyBorder="1" applyAlignment="1">
      <alignment horizontal="center" vertical="center"/>
    </xf>
    <xf numFmtId="57" fontId="0" fillId="0" borderId="11" xfId="0" applyNumberFormat="1" applyBorder="1" applyAlignment="1">
      <alignment horizontal="center" vertical="center"/>
    </xf>
    <xf numFmtId="176" fontId="2" fillId="24" borderId="11" xfId="0" applyNumberFormat="1" applyFont="1" applyFill="1" applyBorder="1" applyAlignment="1">
      <alignment horizontal="center" vertical="center"/>
    </xf>
    <xf numFmtId="10" fontId="2" fillId="24" borderId="11" xfId="0" applyNumberFormat="1" applyFont="1" applyFill="1" applyBorder="1" applyAlignment="1">
      <alignment horizontal="center" vertical="center"/>
    </xf>
    <xf numFmtId="0" fontId="7" fillId="17" borderId="11" xfId="0" applyFont="1" applyFill="1" applyBorder="1" applyAlignment="1">
      <alignment horizontal="center" vertical="center"/>
    </xf>
    <xf numFmtId="176" fontId="7" fillId="17" borderId="11" xfId="0" applyNumberFormat="1" applyFont="1" applyFill="1" applyBorder="1" applyAlignment="1">
      <alignment horizontal="center" vertical="center"/>
    </xf>
    <xf numFmtId="176" fontId="7" fillId="24" borderId="11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8" fontId="2" fillId="17" borderId="11" xfId="0" applyNumberFormat="1" applyFont="1" applyFill="1" applyBorder="1" applyAlignment="1">
      <alignment horizontal="center" vertical="center"/>
    </xf>
    <xf numFmtId="0" fontId="0" fillId="25" borderId="11" xfId="0" applyFill="1" applyBorder="1" applyAlignment="1">
      <alignment horizontal="center" vertical="center"/>
    </xf>
    <xf numFmtId="176" fontId="2" fillId="25" borderId="11" xfId="0" applyNumberFormat="1" applyFont="1" applyFill="1" applyBorder="1" applyAlignment="1">
      <alignment horizontal="center" vertical="center"/>
    </xf>
    <xf numFmtId="10" fontId="2" fillId="25" borderId="11" xfId="0" applyNumberFormat="1" applyFont="1" applyFill="1" applyBorder="1" applyAlignment="1">
      <alignment horizontal="center" vertical="center"/>
    </xf>
    <xf numFmtId="178" fontId="2" fillId="25" borderId="11" xfId="0" applyNumberFormat="1" applyFont="1" applyFill="1" applyBorder="1" applyAlignment="1">
      <alignment horizontal="center" vertical="center"/>
    </xf>
    <xf numFmtId="0" fontId="7" fillId="17" borderId="11" xfId="0" applyNumberFormat="1" applyFont="1" applyFill="1" applyBorder="1" applyAlignment="1">
      <alignment horizontal="center" vertical="center"/>
    </xf>
    <xf numFmtId="0" fontId="8" fillId="24" borderId="11" xfId="0" applyFont="1" applyFill="1" applyBorder="1" applyAlignment="1">
      <alignment horizontal="center" vertical="center"/>
    </xf>
    <xf numFmtId="0" fontId="9" fillId="24" borderId="11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176" fontId="0" fillId="0" borderId="11" xfId="0" applyNumberFormat="1" applyBorder="1" applyAlignment="1">
      <alignment horizontal="center" vertical="center"/>
    </xf>
    <xf numFmtId="0" fontId="7" fillId="17" borderId="0" xfId="0" applyFont="1" applyFill="1" applyAlignment="1">
      <alignment horizontal="center" vertical="center"/>
    </xf>
    <xf numFmtId="0" fontId="7" fillId="17" borderId="0" xfId="0" applyFont="1" applyFill="1" applyBorder="1" applyAlignment="1">
      <alignment horizontal="center" vertical="center"/>
    </xf>
    <xf numFmtId="176" fontId="7" fillId="17" borderId="0" xfId="0" applyNumberFormat="1" applyFont="1" applyFill="1" applyAlignment="1">
      <alignment horizontal="center" vertical="center"/>
    </xf>
    <xf numFmtId="0" fontId="5" fillId="17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24" borderId="22" xfId="0" applyFill="1" applyBorder="1" applyAlignment="1">
      <alignment horizontal="center" vertical="center"/>
    </xf>
    <xf numFmtId="0" fontId="8" fillId="17" borderId="11" xfId="0" applyFont="1" applyFill="1" applyBorder="1" applyAlignment="1">
      <alignment horizontal="center" vertical="center"/>
    </xf>
    <xf numFmtId="57" fontId="0" fillId="0" borderId="16" xfId="0" applyNumberForma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7" fillId="24" borderId="11" xfId="0" applyFont="1" applyFill="1" applyBorder="1" applyAlignment="1">
      <alignment horizontal="center" vertical="center"/>
    </xf>
    <xf numFmtId="176" fontId="2" fillId="17" borderId="11" xfId="0" applyNumberFormat="1" applyFont="1" applyFill="1" applyBorder="1" applyAlignment="1">
      <alignment horizontal="left" vertical="center" indent="1"/>
    </xf>
    <xf numFmtId="0" fontId="0" fillId="18" borderId="11" xfId="0" applyFill="1" applyBorder="1" applyAlignment="1">
      <alignment horizontal="center" vertical="center"/>
    </xf>
    <xf numFmtId="176" fontId="2" fillId="0" borderId="11" xfId="0" applyNumberFormat="1" applyFont="1" applyFill="1" applyBorder="1" applyAlignment="1">
      <alignment horizontal="center" vertical="center"/>
    </xf>
    <xf numFmtId="176" fontId="0" fillId="0" borderId="1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76" fontId="7" fillId="17" borderId="0" xfId="0" applyNumberFormat="1" applyFont="1" applyFill="1" applyBorder="1" applyAlignment="1">
      <alignment horizontal="center" vertical="center"/>
    </xf>
    <xf numFmtId="176" fontId="2" fillId="26" borderId="11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57" fontId="0" fillId="0" borderId="13" xfId="0" applyNumberFormat="1" applyBorder="1" applyAlignment="1">
      <alignment horizontal="center" vertical="center"/>
    </xf>
    <xf numFmtId="57" fontId="0" fillId="0" borderId="14" xfId="0" applyNumberFormat="1" applyBorder="1" applyAlignment="1">
      <alignment horizontal="center" vertical="center"/>
    </xf>
  </cellXfs>
  <cellStyles count="3998">
    <cellStyle name="20% - 强调文字颜色 1 10" xfId="218"/>
    <cellStyle name="20% - 强调文字颜色 1 10 10" xfId="206"/>
    <cellStyle name="20% - 强调文字颜色 1 10 2" xfId="234"/>
    <cellStyle name="20% - 强调文字颜色 1 10 2 2" xfId="243"/>
    <cellStyle name="20% - 强调文字颜色 1 10 3" xfId="250"/>
    <cellStyle name="20% - 强调文字颜色 1 10 4" xfId="182"/>
    <cellStyle name="20% - 强调文字颜色 1 10 5" xfId="195"/>
    <cellStyle name="20% - 强调文字颜色 1 10 6" xfId="203"/>
    <cellStyle name="20% - 强调文字颜色 1 10 7" xfId="254"/>
    <cellStyle name="20% - 强调文字颜色 1 10 8" xfId="213"/>
    <cellStyle name="20% - 强调文字颜色 1 10 9" xfId="170"/>
    <cellStyle name="20% - 强调文字颜色 1 11" xfId="34"/>
    <cellStyle name="20% - 强调文字颜色 1 11 10" xfId="208"/>
    <cellStyle name="20% - 强调文字颜色 1 11 2" xfId="177"/>
    <cellStyle name="20% - 强调文字颜色 1 11 2 2" xfId="187"/>
    <cellStyle name="20% - 强调文字颜色 1 11 3" xfId="260"/>
    <cellStyle name="20% - 强调文字颜色 1 11 4" xfId="77"/>
    <cellStyle name="20% - 强调文字颜色 1 11 5" xfId="80"/>
    <cellStyle name="20% - 强调文字颜色 1 11 6" xfId="89"/>
    <cellStyle name="20% - 强调文字颜色 1 11 7" xfId="59"/>
    <cellStyle name="20% - 强调文字颜色 1 11 8" xfId="266"/>
    <cellStyle name="20% - 强调文字颜色 1 11 9" xfId="275"/>
    <cellStyle name="20% - 强调文字颜色 1 12" xfId="282"/>
    <cellStyle name="20% - 强调文字颜色 1 12 10" xfId="298"/>
    <cellStyle name="20% - 强调文字颜色 1 12 2" xfId="302"/>
    <cellStyle name="20% - 强调文字颜色 1 12 2 2" xfId="311"/>
    <cellStyle name="20% - 强调文字颜色 1 12 3" xfId="319"/>
    <cellStyle name="20% - 强调文字颜色 1 12 4" xfId="321"/>
    <cellStyle name="20% - 强调文字颜色 1 12 5" xfId="323"/>
    <cellStyle name="20% - 强调文字颜色 1 12 6" xfId="325"/>
    <cellStyle name="20% - 强调文字颜色 1 12 7" xfId="328"/>
    <cellStyle name="20% - 强调文字颜色 1 12 8" xfId="331"/>
    <cellStyle name="20% - 强调文字颜色 1 12 9" xfId="338"/>
    <cellStyle name="20% - 强调文字颜色 1 13" xfId="344"/>
    <cellStyle name="20% - 强调文字颜色 1 13 10" xfId="357"/>
    <cellStyle name="20% - 强调文字颜色 1 13 2" xfId="16"/>
    <cellStyle name="20% - 强调文字颜色 1 13 2 2" xfId="362"/>
    <cellStyle name="20% - 强调文字颜色 1 13 3" xfId="375"/>
    <cellStyle name="20% - 强调文字颜色 1 13 4" xfId="378"/>
    <cellStyle name="20% - 强调文字颜色 1 13 5" xfId="382"/>
    <cellStyle name="20% - 强调文字颜色 1 13 6" xfId="386"/>
    <cellStyle name="20% - 强调文字颜色 1 13 7" xfId="390"/>
    <cellStyle name="20% - 强调文字颜色 1 13 8" xfId="397"/>
    <cellStyle name="20% - 强调文字颜色 1 13 9" xfId="405"/>
    <cellStyle name="20% - 强调文字颜色 1 14" xfId="412"/>
    <cellStyle name="20% - 强调文字颜色 1 14 10" xfId="199"/>
    <cellStyle name="20% - 强调文字颜色 1 14 2" xfId="426"/>
    <cellStyle name="20% - 强调文字颜色 1 14 2 2" xfId="434"/>
    <cellStyle name="20% - 强调文字颜色 1 14 3" xfId="440"/>
    <cellStyle name="20% - 强调文字颜色 1 14 4" xfId="445"/>
    <cellStyle name="20% - 强调文字颜色 1 14 5" xfId="449"/>
    <cellStyle name="20% - 强调文字颜色 1 14 6" xfId="452"/>
    <cellStyle name="20% - 强调文字颜色 1 14 7" xfId="456"/>
    <cellStyle name="20% - 强调文字颜色 1 14 8" xfId="457"/>
    <cellStyle name="20% - 强调文字颜色 1 14 9" xfId="471"/>
    <cellStyle name="20% - 强调文字颜色 1 15" xfId="482"/>
    <cellStyle name="20% - 强调文字颜色 1 15 2" xfId="497"/>
    <cellStyle name="20% - 强调文字颜色 1 15 3" xfId="505"/>
    <cellStyle name="20% - 强调文字颜色 1 15 4" xfId="512"/>
    <cellStyle name="20% - 强调文字颜色 1 15 5" xfId="516"/>
    <cellStyle name="20% - 强调文字颜色 1 15 6" xfId="521"/>
    <cellStyle name="20% - 强调文字颜色 1 15 7" xfId="525"/>
    <cellStyle name="20% - 强调文字颜色 1 15 8" xfId="530"/>
    <cellStyle name="20% - 强调文字颜色 1 15 9" xfId="115"/>
    <cellStyle name="20% - 强调文字颜色 1 16" xfId="545"/>
    <cellStyle name="20% - 强调文字颜色 1 16 2" xfId="564"/>
    <cellStyle name="20% - 强调文字颜色 1 16 3" xfId="575"/>
    <cellStyle name="20% - 强调文字颜色 1 16 4" xfId="585"/>
    <cellStyle name="20% - 强调文字颜色 1 16 5" xfId="593"/>
    <cellStyle name="20% - 强调文字颜色 1 16 6" xfId="599"/>
    <cellStyle name="20% - 强调文字颜色 1 16 7" xfId="191"/>
    <cellStyle name="20% - 强调文字颜色 1 16 8" xfId="605"/>
    <cellStyle name="20% - 强调文字颜色 1 16 9" xfId="614"/>
    <cellStyle name="20% - 强调文字颜色 1 17" xfId="622"/>
    <cellStyle name="20% - 强调文字颜色 1 17 2" xfId="637"/>
    <cellStyle name="20% - 强调文字颜色 1 17 3" xfId="645"/>
    <cellStyle name="20% - 强调文字颜色 1 17 4" xfId="657"/>
    <cellStyle name="20% - 强调文字颜色 1 17 5" xfId="664"/>
    <cellStyle name="20% - 强调文字颜色 1 17 6" xfId="669"/>
    <cellStyle name="20% - 强调文字颜色 1 17 7" xfId="674"/>
    <cellStyle name="20% - 强调文字颜色 1 17 8" xfId="678"/>
    <cellStyle name="20% - 强调文字颜色 1 17 9" xfId="682"/>
    <cellStyle name="20% - 强调文字颜色 1 18" xfId="686"/>
    <cellStyle name="20% - 强调文字颜色 1 18 2" xfId="700"/>
    <cellStyle name="20% - 强调文字颜色 1 18 3" xfId="707"/>
    <cellStyle name="20% - 强调文字颜色 1 18 4" xfId="713"/>
    <cellStyle name="20% - 强调文字颜色 1 18 5" xfId="3"/>
    <cellStyle name="20% - 强调文字颜色 1 18 6" xfId="719"/>
    <cellStyle name="20% - 强调文字颜色 1 18 7" xfId="724"/>
    <cellStyle name="20% - 强调文字颜色 1 18 8" xfId="728"/>
    <cellStyle name="20% - 强调文字颜色 1 18 9" xfId="732"/>
    <cellStyle name="20% - 强调文字颜色 1 19" xfId="736"/>
    <cellStyle name="20% - 强调文字颜色 1 19 2" xfId="751"/>
    <cellStyle name="20% - 强调文字颜色 1 19 3" xfId="758"/>
    <cellStyle name="20% - 强调文字颜色 1 19 4" xfId="764"/>
    <cellStyle name="20% - 强调文字颜色 1 19 5" xfId="768"/>
    <cellStyle name="20% - 强调文字颜色 1 19 6" xfId="772"/>
    <cellStyle name="20% - 强调文字颜色 1 19 7" xfId="776"/>
    <cellStyle name="20% - 强调文字颜色 1 19 8" xfId="780"/>
    <cellStyle name="20% - 强调文字颜色 1 19 9" xfId="784"/>
    <cellStyle name="20% - 强调文字颜色 1 2" xfId="787"/>
    <cellStyle name="20% - 强调文字颜色 1 2 10" xfId="788"/>
    <cellStyle name="20% - 强调文字颜色 1 2 11" xfId="790"/>
    <cellStyle name="20% - 强调文字颜色 1 2 12" xfId="792"/>
    <cellStyle name="20% - 强调文字颜色 1 2 13" xfId="794"/>
    <cellStyle name="20% - 强调文字颜色 1 2 14" xfId="796"/>
    <cellStyle name="20% - 强调文字颜色 1 2 15" xfId="801"/>
    <cellStyle name="20% - 强调文字颜色 1 2 16" xfId="221"/>
    <cellStyle name="20% - 强调文字颜色 1 2 17" xfId="39"/>
    <cellStyle name="20% - 强调文字颜色 1 2 18" xfId="284"/>
    <cellStyle name="20% - 强调文字颜色 1 2 19" xfId="346"/>
    <cellStyle name="20% - 强调文字颜色 1 2 2" xfId="805"/>
    <cellStyle name="20% - 强调文字颜色 1 2 2 2" xfId="270"/>
    <cellStyle name="20% - 强调文字颜色 1 2 2 2 2" xfId="813"/>
    <cellStyle name="20% - 强调文字颜色 1 2 2 2 2 2" xfId="816"/>
    <cellStyle name="20% - 强调文字颜色 1 2 2 2 2 3" xfId="817"/>
    <cellStyle name="20% - 强调文字颜色 1 2 2 2 3" xfId="825"/>
    <cellStyle name="20% - 强调文字颜色 1 2 2 2 4" xfId="124"/>
    <cellStyle name="20% - 强调文字颜色 1 2 2 2 5" xfId="135"/>
    <cellStyle name="20% - 强调文字颜色 1 2 2 2 6" xfId="26"/>
    <cellStyle name="20% - 强调文字颜色 1 2 2 2 7" xfId="150"/>
    <cellStyle name="20% - 强调文字颜色 1 2 2 2 8" xfId="157"/>
    <cellStyle name="20% - 强调文字颜色 1 2 2 3" xfId="279"/>
    <cellStyle name="20% - 强调文字颜色 1 2 2 3 2" xfId="415"/>
    <cellStyle name="20% - 强调文字颜色 1 2 2 3 2 2" xfId="427"/>
    <cellStyle name="20% - 强调文字颜色 1 2 2 3 2 3" xfId="441"/>
    <cellStyle name="20% - 强调文字颜色 1 2 2 3 3" xfId="493"/>
    <cellStyle name="20% - 强调文字颜色 1 2 2 3 4" xfId="559"/>
    <cellStyle name="20% - 强调文字颜色 1 2 2 4" xfId="828"/>
    <cellStyle name="20% - 强调文字颜色 1 2 2 4 2" xfId="837"/>
    <cellStyle name="20% - 强调文字颜色 1 2 2 4 2 2" xfId="840"/>
    <cellStyle name="20% - 强调文字颜色 1 2 2 4 2 3" xfId="842"/>
    <cellStyle name="20% - 强调文字颜色 1 2 2 4 3" xfId="853"/>
    <cellStyle name="20% - 强调文字颜色 1 2 2 4 4" xfId="865"/>
    <cellStyle name="20% - 强调文字颜色 1 2 2 5" xfId="868"/>
    <cellStyle name="20% - 强调文字颜色 1 2 2 5 2" xfId="876"/>
    <cellStyle name="20% - 强调文字颜色 1 2 2 5 3" xfId="365"/>
    <cellStyle name="20% - 强调文字颜色 1 2 2 6" xfId="880"/>
    <cellStyle name="20% - 强调文字颜色 1 2 2 7" xfId="881"/>
    <cellStyle name="20% - 强调文字颜色 1 2 3" xfId="882"/>
    <cellStyle name="20% - 强调文字颜色 1 2 3 2" xfId="335"/>
    <cellStyle name="20% - 强调文字颜色 1 2 3 2 2" xfId="886"/>
    <cellStyle name="20% - 强调文字颜色 1 2 3 2 3" xfId="887"/>
    <cellStyle name="20% - 强调文字颜色 1 2 3 3" xfId="342"/>
    <cellStyle name="20% - 强调文字颜色 1 2 3 4" xfId="891"/>
    <cellStyle name="20% - 强调文字颜色 1 2 3 5" xfId="896"/>
    <cellStyle name="20% - 强调文字颜色 1 2 4" xfId="899"/>
    <cellStyle name="20% - 强调文字颜色 1 2 4 2" xfId="401"/>
    <cellStyle name="20% - 强调文字颜色 1 2 4 2 2" xfId="903"/>
    <cellStyle name="20% - 强调文字颜色 1 2 4 2 3" xfId="907"/>
    <cellStyle name="20% - 强调文字颜色 1 2 4 3" xfId="408"/>
    <cellStyle name="20% - 强调文字颜色 1 2 4 4" xfId="910"/>
    <cellStyle name="20% - 强调文字颜色 1 2 5" xfId="913"/>
    <cellStyle name="20% - 强调文字颜色 1 2 5 2" xfId="463"/>
    <cellStyle name="20% - 强调文字颜色 1 2 5 3" xfId="467"/>
    <cellStyle name="20% - 强调文字颜色 1 2 6" xfId="917"/>
    <cellStyle name="20% - 强调文字颜色 1 2 6 2" xfId="534"/>
    <cellStyle name="20% - 强调文字颜色 1 2 6 3" xfId="112"/>
    <cellStyle name="20% - 强调文字颜色 1 2 6 4" xfId="921"/>
    <cellStyle name="20% - 强调文字颜色 1 2 7" xfId="925"/>
    <cellStyle name="20% - 强调文字颜色 1 2 7 2" xfId="609"/>
    <cellStyle name="20% - 强调文字颜色 1 2 7 3" xfId="617"/>
    <cellStyle name="20% - 强调文字颜色 1 2 8" xfId="929"/>
    <cellStyle name="20% - 强调文字颜色 1 2 9" xfId="931"/>
    <cellStyle name="20% - 强调文字颜色 1 20" xfId="481"/>
    <cellStyle name="20% - 强调文字颜色 1 20 2" xfId="496"/>
    <cellStyle name="20% - 强调文字颜色 1 20 3" xfId="504"/>
    <cellStyle name="20% - 强调文字颜色 1 20 4" xfId="511"/>
    <cellStyle name="20% - 强调文字颜色 1 20 5" xfId="515"/>
    <cellStyle name="20% - 强调文字颜色 1 20 6" xfId="520"/>
    <cellStyle name="20% - 强调文字颜色 1 20 7" xfId="524"/>
    <cellStyle name="20% - 强调文字颜色 1 20 8" xfId="529"/>
    <cellStyle name="20% - 强调文字颜色 1 20 9" xfId="116"/>
    <cellStyle name="20% - 强调文字颜色 1 21" xfId="544"/>
    <cellStyle name="20% - 强调文字颜色 1 21 2" xfId="563"/>
    <cellStyle name="20% - 强调文字颜色 1 21 3" xfId="574"/>
    <cellStyle name="20% - 强调文字颜色 1 21 4" xfId="584"/>
    <cellStyle name="20% - 强调文字颜色 1 21 5" xfId="592"/>
    <cellStyle name="20% - 强调文字颜色 1 21 6" xfId="598"/>
    <cellStyle name="20% - 强调文字颜色 1 21 7" xfId="192"/>
    <cellStyle name="20% - 强调文字颜色 1 21 8" xfId="604"/>
    <cellStyle name="20% - 强调文字颜色 1 21 9" xfId="613"/>
    <cellStyle name="20% - 强调文字颜色 1 22" xfId="621"/>
    <cellStyle name="20% - 强调文字颜色 1 22 2" xfId="636"/>
    <cellStyle name="20% - 强调文字颜色 1 22 3" xfId="644"/>
    <cellStyle name="20% - 强调文字颜色 1 22 4" xfId="656"/>
    <cellStyle name="20% - 强调文字颜色 1 22 5" xfId="663"/>
    <cellStyle name="20% - 强调文字颜色 1 22 6" xfId="668"/>
    <cellStyle name="20% - 强调文字颜色 1 22 7" xfId="673"/>
    <cellStyle name="20% - 强调文字颜色 1 22 8" xfId="677"/>
    <cellStyle name="20% - 强调文字颜色 1 22 9" xfId="681"/>
    <cellStyle name="20% - 强调文字颜色 1 23" xfId="685"/>
    <cellStyle name="20% - 强调文字颜色 1 23 2" xfId="699"/>
    <cellStyle name="20% - 强调文字颜色 1 23 3" xfId="706"/>
    <cellStyle name="20% - 强调文字颜色 1 23 4" xfId="712"/>
    <cellStyle name="20% - 强调文字颜色 1 23 5" xfId="2"/>
    <cellStyle name="20% - 强调文字颜色 1 23 6" xfId="718"/>
    <cellStyle name="20% - 强调文字颜色 1 23 7" xfId="723"/>
    <cellStyle name="20% - 强调文字颜色 1 23 8" xfId="727"/>
    <cellStyle name="20% - 强调文字颜色 1 23 9" xfId="731"/>
    <cellStyle name="20% - 强调文字颜色 1 24" xfId="735"/>
    <cellStyle name="20% - 强调文字颜色 1 24 2" xfId="750"/>
    <cellStyle name="20% - 强调文字颜色 1 24 3" xfId="757"/>
    <cellStyle name="20% - 强调文字颜色 1 24 4" xfId="763"/>
    <cellStyle name="20% - 强调文字颜色 1 24 5" xfId="767"/>
    <cellStyle name="20% - 强调文字颜色 1 24 6" xfId="771"/>
    <cellStyle name="20% - 强调文字颜色 1 24 7" xfId="775"/>
    <cellStyle name="20% - 强调文字颜色 1 24 8" xfId="779"/>
    <cellStyle name="20% - 强调文字颜色 1 24 9" xfId="783"/>
    <cellStyle name="20% - 强调文字颜色 1 25" xfId="935"/>
    <cellStyle name="20% - 强调文字颜色 1 25 2" xfId="950"/>
    <cellStyle name="20% - 强调文字颜色 1 25 3" xfId="955"/>
    <cellStyle name="20% - 强调文字颜色 1 25 4" xfId="960"/>
    <cellStyle name="20% - 强调文字颜色 1 25 5" xfId="964"/>
    <cellStyle name="20% - 强调文字颜色 1 25 6" xfId="968"/>
    <cellStyle name="20% - 强调文字颜色 1 25 7" xfId="972"/>
    <cellStyle name="20% - 强调文字颜色 1 25 8" xfId="976"/>
    <cellStyle name="20% - 强调文字颜色 1 25 9" xfId="987"/>
    <cellStyle name="20% - 强调文字颜色 1 26" xfId="991"/>
    <cellStyle name="20% - 强调文字颜色 1 26 2" xfId="1006"/>
    <cellStyle name="20% - 强调文字颜色 1 26 3" xfId="1012"/>
    <cellStyle name="20% - 强调文字颜色 1 26 4" xfId="1018"/>
    <cellStyle name="20% - 强调文字颜色 1 26 5" xfId="1023"/>
    <cellStyle name="20% - 强调文字颜色 1 26 6" xfId="1028"/>
    <cellStyle name="20% - 强调文字颜色 1 26 7" xfId="1033"/>
    <cellStyle name="20% - 强调文字颜色 1 26 8" xfId="1039"/>
    <cellStyle name="20% - 强调文字颜色 1 26 9" xfId="1050"/>
    <cellStyle name="20% - 强调文字颜色 1 27" xfId="1055"/>
    <cellStyle name="20% - 强调文字颜色 1 27 2" xfId="1065"/>
    <cellStyle name="20% - 强调文字颜色 1 27 3" xfId="1069"/>
    <cellStyle name="20% - 强调文字颜色 1 27 4" xfId="1078"/>
    <cellStyle name="20% - 强调文字颜色 1 27 5" xfId="1084"/>
    <cellStyle name="20% - 强调文字颜色 1 27 6" xfId="1090"/>
    <cellStyle name="20% - 强调文字颜色 1 27 7" xfId="808"/>
    <cellStyle name="20% - 强调文字颜色 1 27 8" xfId="819"/>
    <cellStyle name="20% - 强调文字颜色 1 27 9" xfId="130"/>
    <cellStyle name="20% - 强调文字颜色 1 28" xfId="1096"/>
    <cellStyle name="20% - 强调文字颜色 1 28 2" xfId="798"/>
    <cellStyle name="20% - 强调文字颜色 1 28 3" xfId="225"/>
    <cellStyle name="20% - 强调文字颜色 1 28 4" xfId="45"/>
    <cellStyle name="20% - 强调文字颜色 1 28 5" xfId="290"/>
    <cellStyle name="20% - 强调文字颜色 1 28 6" xfId="352"/>
    <cellStyle name="20% - 强调文字颜色 1 28 7" xfId="419"/>
    <cellStyle name="20% - 强调文字颜色 1 28 8" xfId="476"/>
    <cellStyle name="20% - 强调文字颜色 1 28 9" xfId="539"/>
    <cellStyle name="20% - 强调文字颜色 1 29" xfId="1100"/>
    <cellStyle name="20% - 强调文字颜色 1 29 2" xfId="1110"/>
    <cellStyle name="20% - 强调文字颜色 1 29 3" xfId="1118"/>
    <cellStyle name="20% - 强调文字颜色 1 29 4" xfId="1126"/>
    <cellStyle name="20% - 强调文字颜色 1 29 5" xfId="1133"/>
    <cellStyle name="20% - 强调文字颜色 1 29 6" xfId="1140"/>
    <cellStyle name="20% - 强调文字颜色 1 29 7" xfId="833"/>
    <cellStyle name="20% - 强调文字颜色 1 29 8" xfId="845"/>
    <cellStyle name="20% - 强调文字颜色 1 29 9" xfId="857"/>
    <cellStyle name="20% - 强调文字颜色 1 3" xfId="313"/>
    <cellStyle name="20% - 强调文字颜色 1 3 10" xfId="1144"/>
    <cellStyle name="20% - 强调文字颜色 1 3 11" xfId="1145"/>
    <cellStyle name="20% - 强调文字颜色 1 3 12" xfId="1146"/>
    <cellStyle name="20% - 强调文字颜色 1 3 13" xfId="1147"/>
    <cellStyle name="20% - 强调文字颜色 1 3 14" xfId="1148"/>
    <cellStyle name="20% - 强调文字颜色 1 3 15" xfId="66"/>
    <cellStyle name="20% - 强调文字颜色 1 3 16" xfId="1153"/>
    <cellStyle name="20% - 强调文字颜色 1 3 2" xfId="1154"/>
    <cellStyle name="20% - 强调文字颜色 1 3 2 2" xfId="1159"/>
    <cellStyle name="20% - 强调文字颜色 1 3 2 2 2" xfId="889"/>
    <cellStyle name="20% - 强调文字颜色 1 3 2 3" xfId="1161"/>
    <cellStyle name="20% - 强调文字颜色 1 3 2 4" xfId="1163"/>
    <cellStyle name="20% - 强调文字颜色 1 3 3" xfId="1164"/>
    <cellStyle name="20% - 强调文字颜色 1 3 3 2" xfId="1169"/>
    <cellStyle name="20% - 强调文字颜色 1 3 3 3" xfId="1170"/>
    <cellStyle name="20% - 强调文字颜色 1 3 3 4" xfId="1171"/>
    <cellStyle name="20% - 强调文字颜色 1 3 4" xfId="1172"/>
    <cellStyle name="20% - 强调文字颜色 1 3 5" xfId="1177"/>
    <cellStyle name="20% - 强调文字颜色 1 3 6" xfId="1182"/>
    <cellStyle name="20% - 强调文字颜色 1 3 6 2" xfId="1187"/>
    <cellStyle name="20% - 强调文字颜色 1 3 6 3" xfId="29"/>
    <cellStyle name="20% - 强调文字颜色 1 3 6 4" xfId="1188"/>
    <cellStyle name="20% - 强调文字颜色 1 3 7" xfId="1190"/>
    <cellStyle name="20% - 强调文字颜色 1 3 8" xfId="1193"/>
    <cellStyle name="20% - 强调文字颜色 1 3 9" xfId="86"/>
    <cellStyle name="20% - 强调文字颜色 1 30" xfId="934"/>
    <cellStyle name="20% - 强调文字颜色 1 30 2" xfId="949"/>
    <cellStyle name="20% - 强调文字颜色 1 30 3" xfId="954"/>
    <cellStyle name="20% - 强调文字颜色 1 30 4" xfId="959"/>
    <cellStyle name="20% - 强调文字颜色 1 30 5" xfId="963"/>
    <cellStyle name="20% - 强调文字颜色 1 30 6" xfId="967"/>
    <cellStyle name="20% - 强调文字颜色 1 30 7" xfId="971"/>
    <cellStyle name="20% - 强调文字颜色 1 30 8" xfId="975"/>
    <cellStyle name="20% - 强调文字颜色 1 30 9" xfId="986"/>
    <cellStyle name="20% - 强调文字颜色 1 31" xfId="990"/>
    <cellStyle name="20% - 强调文字颜色 1 31 2" xfId="1005"/>
    <cellStyle name="20% - 强调文字颜色 1 31 3" xfId="1011"/>
    <cellStyle name="20% - 强调文字颜色 1 31 4" xfId="1017"/>
    <cellStyle name="20% - 强调文字颜色 1 31 5" xfId="1022"/>
    <cellStyle name="20% - 强调文字颜色 1 31 6" xfId="1027"/>
    <cellStyle name="20% - 强调文字颜色 1 31 7" xfId="1032"/>
    <cellStyle name="20% - 强调文字颜色 1 31 8" xfId="1038"/>
    <cellStyle name="20% - 强调文字颜色 1 31 9" xfId="1049"/>
    <cellStyle name="20% - 强调文字颜色 1 32" xfId="1054"/>
    <cellStyle name="20% - 强调文字颜色 1 32 2" xfId="1064"/>
    <cellStyle name="20% - 强调文字颜色 1 32 3" xfId="1068"/>
    <cellStyle name="20% - 强调文字颜色 1 32 4" xfId="1077"/>
    <cellStyle name="20% - 强调文字颜色 1 32 5" xfId="1083"/>
    <cellStyle name="20% - 强调文字颜色 1 32 6" xfId="1089"/>
    <cellStyle name="20% - 强调文字颜色 1 32 7" xfId="807"/>
    <cellStyle name="20% - 强调文字颜色 1 32 8" xfId="818"/>
    <cellStyle name="20% - 强调文字颜色 1 32 9" xfId="131"/>
    <cellStyle name="20% - 强调文字颜色 1 33" xfId="1095"/>
    <cellStyle name="20% - 强调文字颜色 1 33 2" xfId="797"/>
    <cellStyle name="20% - 强调文字颜色 1 33 3" xfId="226"/>
    <cellStyle name="20% - 强调文字颜色 1 33 4" xfId="46"/>
    <cellStyle name="20% - 强调文字颜色 1 33 5" xfId="291"/>
    <cellStyle name="20% - 强调文字颜色 1 33 6" xfId="353"/>
    <cellStyle name="20% - 强调文字颜色 1 33 7" xfId="420"/>
    <cellStyle name="20% - 强调文字颜色 1 33 8" xfId="475"/>
    <cellStyle name="20% - 强调文字颜色 1 33 9" xfId="538"/>
    <cellStyle name="20% - 强调文字颜色 1 34" xfId="1099"/>
    <cellStyle name="20% - 强调文字颜色 1 34 2" xfId="1109"/>
    <cellStyle name="20% - 强调文字颜色 1 34 3" xfId="1117"/>
    <cellStyle name="20% - 强调文字颜色 1 34 4" xfId="1125"/>
    <cellStyle name="20% - 强调文字颜色 1 34 5" xfId="1132"/>
    <cellStyle name="20% - 强调文字颜色 1 34 6" xfId="1139"/>
    <cellStyle name="20% - 强调文字颜色 1 34 7" xfId="832"/>
    <cellStyle name="20% - 强调文字颜色 1 34 8" xfId="844"/>
    <cellStyle name="20% - 强调文字颜色 1 34 9" xfId="856"/>
    <cellStyle name="20% - 强调文字颜色 1 35" xfId="1197"/>
    <cellStyle name="20% - 强调文字颜色 1 35 2" xfId="1202"/>
    <cellStyle name="20% - 强调文字颜色 1 35 3" xfId="1206"/>
    <cellStyle name="20% - 强调文字颜色 1 35 4" xfId="1211"/>
    <cellStyle name="20% - 强调文字颜色 1 35 5" xfId="1216"/>
    <cellStyle name="20% - 强调文字颜色 1 35 6" xfId="1221"/>
    <cellStyle name="20% - 强调文字颜色 1 35 7" xfId="872"/>
    <cellStyle name="20% - 强调文字颜色 1 35 8" xfId="370"/>
    <cellStyle name="20% - 强调文字颜色 1 35 9" xfId="1226"/>
    <cellStyle name="20% - 强调文字颜色 1 36" xfId="1231"/>
    <cellStyle name="20% - 强调文字颜色 1 36 2" xfId="1236"/>
    <cellStyle name="20% - 强调文字颜色 1 36 3" xfId="1242"/>
    <cellStyle name="20% - 强调文字颜色 1 36 4" xfId="1248"/>
    <cellStyle name="20% - 强调文字颜色 1 36 5" xfId="1255"/>
    <cellStyle name="20% - 强调文字颜色 1 36 6" xfId="1263"/>
    <cellStyle name="20% - 强调文字颜色 1 36 7" xfId="1271"/>
    <cellStyle name="20% - 强调文字颜色 1 36 8" xfId="1278"/>
    <cellStyle name="20% - 强调文字颜色 1 36 9" xfId="1285"/>
    <cellStyle name="20% - 强调文字颜色 1 37" xfId="1290"/>
    <cellStyle name="20% - 强调文字颜色 1 37 2" xfId="1299"/>
    <cellStyle name="20% - 强调文字颜色 1 37 3" xfId="1302"/>
    <cellStyle name="20% - 强调文字颜色 1 37 4" xfId="1308"/>
    <cellStyle name="20% - 强调文字颜色 1 37 5" xfId="1313"/>
    <cellStyle name="20% - 强调文字颜色 1 37 6" xfId="1318"/>
    <cellStyle name="20% - 强调文字颜色 1 37 7" xfId="1323"/>
    <cellStyle name="20% - 强调文字颜色 1 37 8" xfId="1327"/>
    <cellStyle name="20% - 强调文字颜色 1 37 9" xfId="1331"/>
    <cellStyle name="20% - 强调文字颜色 1 38" xfId="1336"/>
    <cellStyle name="20% - 强调文字颜色 1 38 2" xfId="69"/>
    <cellStyle name="20% - 强调文字颜色 1 38 3" xfId="1149"/>
    <cellStyle name="20% - 强调文字颜色 1 38 4" xfId="1341"/>
    <cellStyle name="20% - 强调文字颜色 1 38 5" xfId="1347"/>
    <cellStyle name="20% - 强调文字颜色 1 38 6" xfId="1352"/>
    <cellStyle name="20% - 强调文字颜色 1 38 7" xfId="1357"/>
    <cellStyle name="20% - 强调文字颜色 1 38 8" xfId="1361"/>
    <cellStyle name="20% - 强调文字颜色 1 38 9" xfId="1365"/>
    <cellStyle name="20% - 强调文字颜色 1 39" xfId="53"/>
    <cellStyle name="20% - 强调文字颜色 1 39 2" xfId="1369"/>
    <cellStyle name="20% - 强调文字颜色 1 39 3" xfId="1371"/>
    <cellStyle name="20% - 强调文字颜色 1 39 4" xfId="1374"/>
    <cellStyle name="20% - 强调文字颜色 1 39 5" xfId="64"/>
    <cellStyle name="20% - 强调文字颜色 1 39 6" xfId="1379"/>
    <cellStyle name="20% - 强调文字颜色 1 39 7" xfId="1381"/>
    <cellStyle name="20% - 强调文字颜色 1 39 8" xfId="1383"/>
    <cellStyle name="20% - 强调文字颜色 1 39 9" xfId="1385"/>
    <cellStyle name="20% - 强调文字颜色 1 4" xfId="1387"/>
    <cellStyle name="20% - 强调文字颜色 1 4 10" xfId="888"/>
    <cellStyle name="20% - 强调文字颜色 1 4 11" xfId="894"/>
    <cellStyle name="20% - 强调文字颜色 1 4 12" xfId="1389"/>
    <cellStyle name="20% - 强调文字颜色 1 4 13" xfId="802"/>
    <cellStyle name="20% - 强调文字颜色 1 4 2" xfId="1391"/>
    <cellStyle name="20% - 强调文字颜色 1 4 2 2" xfId="979"/>
    <cellStyle name="20% - 强调文字颜色 1 4 2 3" xfId="1394"/>
    <cellStyle name="20% - 强调文字颜色 1 4 2 4" xfId="1400"/>
    <cellStyle name="20% - 强调文字颜色 1 4 3" xfId="99"/>
    <cellStyle name="20% - 强调文字颜色 1 4 3 2" xfId="1043"/>
    <cellStyle name="20% - 强调文字颜色 1 4 3 3" xfId="1405"/>
    <cellStyle name="20% - 强调文字颜色 1 4 3 4" xfId="1410"/>
    <cellStyle name="20% - 强调文字颜色 1 4 4" xfId="1415"/>
    <cellStyle name="20% - 强调文字颜色 1 4 5" xfId="1420"/>
    <cellStyle name="20% - 强调文字颜色 1 4 6" xfId="1422"/>
    <cellStyle name="20% - 强调文字颜色 1 4 7" xfId="1424"/>
    <cellStyle name="20% - 强调文字颜色 1 4 8" xfId="1426"/>
    <cellStyle name="20% - 强调文字颜色 1 4 9" xfId="1427"/>
    <cellStyle name="20% - 强调文字颜色 1 40" xfId="1196"/>
    <cellStyle name="20% - 强调文字颜色 1 40 2" xfId="1201"/>
    <cellStyle name="20% - 强调文字颜色 1 40 3" xfId="1205"/>
    <cellStyle name="20% - 强调文字颜色 1 40 4" xfId="1210"/>
    <cellStyle name="20% - 强调文字颜色 1 40 5" xfId="1215"/>
    <cellStyle name="20% - 强调文字颜色 1 40 6" xfId="1220"/>
    <cellStyle name="20% - 强调文字颜色 1 40 7" xfId="871"/>
    <cellStyle name="20% - 强调文字颜色 1 40 8" xfId="371"/>
    <cellStyle name="20% - 强调文字颜色 1 40 9" xfId="1225"/>
    <cellStyle name="20% - 强调文字颜色 1 41" xfId="1230"/>
    <cellStyle name="20% - 强调文字颜色 1 41 2" xfId="1235"/>
    <cellStyle name="20% - 强调文字颜色 1 41 3" xfId="1241"/>
    <cellStyle name="20% - 强调文字颜色 1 41 4" xfId="1247"/>
    <cellStyle name="20% - 强调文字颜色 1 41 5" xfId="1254"/>
    <cellStyle name="20% - 强调文字颜色 1 41 6" xfId="1262"/>
    <cellStyle name="20% - 强调文字颜色 1 41 7" xfId="1270"/>
    <cellStyle name="20% - 强调文字颜色 1 41 8" xfId="1277"/>
    <cellStyle name="20% - 强调文字颜色 1 41 9" xfId="1284"/>
    <cellStyle name="20% - 强调文字颜色 1 42" xfId="1289"/>
    <cellStyle name="20% - 强调文字颜色 1 42 2" xfId="1298"/>
    <cellStyle name="20% - 强调文字颜色 1 43" xfId="1335"/>
    <cellStyle name="20% - 强调文字颜色 1 44" xfId="54"/>
    <cellStyle name="20% - 强调文字颜色 1 45" xfId="1429"/>
    <cellStyle name="20% - 强调文字颜色 1 46" xfId="1436"/>
    <cellStyle name="20% - 强调文字颜色 1 47" xfId="1441"/>
    <cellStyle name="20% - 强调文字颜色 1 48" xfId="1447"/>
    <cellStyle name="20% - 强调文字颜色 1 49" xfId="1104"/>
    <cellStyle name="20% - 强调文字颜色 1 5" xfId="1453"/>
    <cellStyle name="20% - 强调文字颜色 1 5 10" xfId="1456"/>
    <cellStyle name="20% - 强调文字颜色 1 5 11" xfId="1457"/>
    <cellStyle name="20% - 强调文字颜色 1 5 12" xfId="1459"/>
    <cellStyle name="20% - 强调文字颜色 1 5 13" xfId="1461"/>
    <cellStyle name="20% - 强调文字颜色 1 5 2" xfId="1463"/>
    <cellStyle name="20% - 强调文字颜色 1 5 2 2" xfId="1466"/>
    <cellStyle name="20% - 强调文字颜色 1 5 2 3" xfId="1468"/>
    <cellStyle name="20% - 强调文字颜色 1 5 2 4" xfId="1470"/>
    <cellStyle name="20% - 强调文字颜色 1 5 3" xfId="1471"/>
    <cellStyle name="20% - 强调文字颜色 1 5 3 2" xfId="1475"/>
    <cellStyle name="20% - 强调文字颜色 1 5 3 3" xfId="1478"/>
    <cellStyle name="20% - 强调文字颜色 1 5 3 4" xfId="1481"/>
    <cellStyle name="20% - 强调文字颜色 1 5 4" xfId="1482"/>
    <cellStyle name="20% - 强调文字颜色 1 5 5" xfId="1487"/>
    <cellStyle name="20% - 强调文字颜色 1 5 6" xfId="210"/>
    <cellStyle name="20% - 强调文字颜色 1 5 7" xfId="1489"/>
    <cellStyle name="20% - 强调文字颜色 1 5 8" xfId="107"/>
    <cellStyle name="20% - 强调文字颜色 1 5 9" xfId="1491"/>
    <cellStyle name="20% - 强调文字颜色 1 50" xfId="1428"/>
    <cellStyle name="20% - 强调文字颜色 1 51" xfId="1435"/>
    <cellStyle name="20% - 强调文字颜色 1 52" xfId="1440"/>
    <cellStyle name="20% - 强调文字颜色 1 53" xfId="1446"/>
    <cellStyle name="20% - 强调文字颜色 1 54" xfId="1103"/>
    <cellStyle name="20% - 强调文字颜色 1 55" xfId="1114"/>
    <cellStyle name="20% - 强调文字颜色 1 56" xfId="1123"/>
    <cellStyle name="20% - 强调文字颜色 1 57" xfId="1130"/>
    <cellStyle name="20% - 强调文字颜色 1 58" xfId="1137"/>
    <cellStyle name="20% - 强调文字颜色 1 59" xfId="831"/>
    <cellStyle name="20% - 强调文字颜色 1 6" xfId="1494"/>
    <cellStyle name="20% - 强调文字颜色 1 6 10" xfId="140"/>
    <cellStyle name="20% - 强调文字颜色 1 6 11" xfId="28"/>
    <cellStyle name="20% - 强调文字颜色 1 6 12" xfId="152"/>
    <cellStyle name="20% - 强调文字颜色 1 6 2" xfId="1496"/>
    <cellStyle name="20% - 强调文字颜色 1 6 2 2" xfId="22"/>
    <cellStyle name="20% - 强调文字颜色 1 6 3" xfId="1500"/>
    <cellStyle name="20% - 强调文字颜色 1 6 4" xfId="1504"/>
    <cellStyle name="20% - 强调文字颜色 1 6 5" xfId="1507"/>
    <cellStyle name="20% - 强调文字颜色 1 6 6" xfId="108"/>
    <cellStyle name="20% - 强调文字颜色 1 6 7" xfId="1508"/>
    <cellStyle name="20% - 强调文字颜色 1 6 8" xfId="1509"/>
    <cellStyle name="20% - 强调文字颜色 1 6 9" xfId="1511"/>
    <cellStyle name="20% - 强调文字颜色 1 60" xfId="1113"/>
    <cellStyle name="20% - 强调文字颜色 1 61" xfId="1122"/>
    <cellStyle name="20% - 强调文字颜色 1 7" xfId="1513"/>
    <cellStyle name="20% - 强调文字颜色 1 7 10" xfId="1515"/>
    <cellStyle name="20% - 强调文字颜色 1 7 11" xfId="1517"/>
    <cellStyle name="20% - 强调文字颜色 1 7 12" xfId="1518"/>
    <cellStyle name="20% - 强调文字颜色 1 7 2" xfId="1519"/>
    <cellStyle name="20% - 强调文字颜色 1 7 2 2" xfId="1523"/>
    <cellStyle name="20% - 强调文字颜色 1 7 3" xfId="1524"/>
    <cellStyle name="20% - 强调文字颜色 1 7 4" xfId="1528"/>
    <cellStyle name="20% - 强调文字颜色 1 7 5" xfId="1531"/>
    <cellStyle name="20% - 强调文字颜色 1 7 6" xfId="1533"/>
    <cellStyle name="20% - 强调文字颜色 1 7 7" xfId="1535"/>
    <cellStyle name="20% - 强调文字颜色 1 7 8" xfId="1537"/>
    <cellStyle name="20% - 强调文字颜色 1 7 9" xfId="1539"/>
    <cellStyle name="20% - 强调文字颜色 1 8" xfId="1542"/>
    <cellStyle name="20% - 强调文字颜色 1 8 10" xfId="1544"/>
    <cellStyle name="20% - 强调文字颜色 1 8 11" xfId="1545"/>
    <cellStyle name="20% - 强调文字颜色 1 8 12" xfId="1547"/>
    <cellStyle name="20% - 强调文字颜色 1 8 2" xfId="1549"/>
    <cellStyle name="20% - 强调文字颜色 1 8 2 2" xfId="1555"/>
    <cellStyle name="20% - 强调文字颜色 1 8 3" xfId="1556"/>
    <cellStyle name="20% - 强调文字颜色 1 8 4" xfId="1561"/>
    <cellStyle name="20% - 强调文字颜色 1 8 5" xfId="1566"/>
    <cellStyle name="20% - 强调文字颜色 1 8 6" xfId="1569"/>
    <cellStyle name="20% - 强调文字颜色 1 8 7" xfId="1572"/>
    <cellStyle name="20% - 强调文字颜色 1 8 8" xfId="1574"/>
    <cellStyle name="20% - 强调文字颜色 1 8 9" xfId="1576"/>
    <cellStyle name="20% - 强调文字颜色 1 9" xfId="1579"/>
    <cellStyle name="20% - 强调文字颜色 1 9 10" xfId="1582"/>
    <cellStyle name="20% - 强调文字颜色 1 9 2" xfId="1583"/>
    <cellStyle name="20% - 强调文字颜色 1 9 2 2" xfId="1587"/>
    <cellStyle name="20% - 强调文字颜色 1 9 3" xfId="1592"/>
    <cellStyle name="20% - 强调文字颜色 1 9 4" xfId="1596"/>
    <cellStyle name="20% - 强调文字颜色 1 9 5" xfId="1599"/>
    <cellStyle name="20% - 强调文字颜色 1 9 6" xfId="1600"/>
    <cellStyle name="20% - 强调文字颜色 1 9 7" xfId="1601"/>
    <cellStyle name="20% - 强调文字颜色 1 9 8" xfId="1602"/>
    <cellStyle name="20% - 强调文字颜色 1 9 9" xfId="1603"/>
    <cellStyle name="20% - 强调文字颜色 2 10" xfId="1604"/>
    <cellStyle name="20% - 强调文字颜色 2 10 10" xfId="1608"/>
    <cellStyle name="20% - 强调文字颜色 2 10 2" xfId="1616"/>
    <cellStyle name="20% - 强调文字颜色 2 10 2 2" xfId="1291"/>
    <cellStyle name="20% - 强调文字颜色 2 10 3" xfId="1619"/>
    <cellStyle name="20% - 强调文字颜色 2 10 4" xfId="1621"/>
    <cellStyle name="20% - 强调文字颜色 2 10 5" xfId="1623"/>
    <cellStyle name="20% - 强调文字颜色 2 10 6" xfId="1625"/>
    <cellStyle name="20% - 强调文字颜色 2 10 7" xfId="1627"/>
    <cellStyle name="20% - 强调文字颜色 2 10 8" xfId="1629"/>
    <cellStyle name="20% - 强调文字颜色 2 10 9" xfId="1631"/>
    <cellStyle name="20% - 强调文字颜色 2 11" xfId="1633"/>
    <cellStyle name="20% - 强调文字颜色 2 11 10" xfId="1636"/>
    <cellStyle name="20% - 强调文字颜色 2 11 2" xfId="1640"/>
    <cellStyle name="20% - 强调文字颜色 2 11 2 2" xfId="1645"/>
    <cellStyle name="20% - 强调文字颜色 2 11 3" xfId="1651"/>
    <cellStyle name="20% - 强调文字颜色 2 11 4" xfId="1656"/>
    <cellStyle name="20% - 强调文字颜色 2 11 5" xfId="1660"/>
    <cellStyle name="20% - 强调文字颜色 2 11 6" xfId="1663"/>
    <cellStyle name="20% - 强调文字颜色 2 11 7" xfId="1667"/>
    <cellStyle name="20% - 强调文字颜色 2 11 8" xfId="1669"/>
    <cellStyle name="20% - 强调文字颜色 2 11 9" xfId="1671"/>
    <cellStyle name="20% - 强调文字颜色 2 12" xfId="1673"/>
    <cellStyle name="20% - 强调文字颜色 2 12 10" xfId="1677"/>
    <cellStyle name="20% - 强调文字颜色 2 12 2" xfId="1681"/>
    <cellStyle name="20% - 强调文字颜色 2 12 2 2" xfId="1683"/>
    <cellStyle name="20% - 强调文字颜色 2 12 3" xfId="1688"/>
    <cellStyle name="20% - 强调文字颜色 2 12 4" xfId="1690"/>
    <cellStyle name="20% - 强调文字颜色 2 12 5" xfId="1692"/>
    <cellStyle name="20% - 强调文字颜色 2 12 6" xfId="1694"/>
    <cellStyle name="20% - 强调文字颜色 2 12 7" xfId="1696"/>
    <cellStyle name="20% - 强调文字颜色 2 12 8" xfId="1699"/>
    <cellStyle name="20% - 强调文字颜色 2 12 9" xfId="1701"/>
    <cellStyle name="20% - 强调文字颜色 2 13" xfId="1703"/>
    <cellStyle name="20% - 强调文字颜色 2 13 10" xfId="1492"/>
    <cellStyle name="20% - 强调文字颜色 2 13 2" xfId="1706"/>
    <cellStyle name="20% - 强调文字颜色 2 13 2 2" xfId="1708"/>
    <cellStyle name="20% - 强调文字颜色 2 13 3" xfId="1712"/>
    <cellStyle name="20% - 强调文字颜色 2 13 4" xfId="1714"/>
    <cellStyle name="20% - 强调文字颜色 2 13 5" xfId="1716"/>
    <cellStyle name="20% - 强调文字颜色 2 13 6" xfId="1718"/>
    <cellStyle name="20% - 强调文字颜色 2 13 7" xfId="1722"/>
    <cellStyle name="20% - 强调文字颜色 2 13 8" xfId="1729"/>
    <cellStyle name="20% - 强调文字颜色 2 13 9" xfId="1733"/>
    <cellStyle name="20% - 强调文字颜色 2 14" xfId="1736"/>
    <cellStyle name="20% - 强调文字颜色 2 14 10" xfId="1739"/>
    <cellStyle name="20% - 强调文字颜色 2 14 2" xfId="1740"/>
    <cellStyle name="20% - 强调文字颜色 2 14 2 2" xfId="1743"/>
    <cellStyle name="20% - 强调文字颜色 2 14 3" xfId="1746"/>
    <cellStyle name="20% - 强调文字颜色 2 14 4" xfId="1747"/>
    <cellStyle name="20% - 强调文字颜色 2 14 5" xfId="1748"/>
    <cellStyle name="20% - 强调文字颜色 2 14 6" xfId="1749"/>
    <cellStyle name="20% - 强调文字颜色 2 14 7" xfId="1752"/>
    <cellStyle name="20% - 强调文字颜色 2 14 8" xfId="1757"/>
    <cellStyle name="20% - 强调文字颜色 2 14 9" xfId="1762"/>
    <cellStyle name="20% - 强调文字颜色 2 15" xfId="1764"/>
    <cellStyle name="20% - 强调文字颜色 2 15 2" xfId="1772"/>
    <cellStyle name="20% - 强调文字颜色 2 15 3" xfId="1775"/>
    <cellStyle name="20% - 强调文字颜色 2 15 4" xfId="1778"/>
    <cellStyle name="20% - 强调文字颜色 2 15 5" xfId="1781"/>
    <cellStyle name="20% - 强调文字颜色 2 15 6" xfId="1784"/>
    <cellStyle name="20% - 强调文字颜色 2 15 7" xfId="1786"/>
    <cellStyle name="20% - 强调文字颜色 2 15 8" xfId="1788"/>
    <cellStyle name="20% - 强调文字颜色 2 15 9" xfId="1790"/>
    <cellStyle name="20% - 强调文字颜色 2 16" xfId="1792"/>
    <cellStyle name="20% - 强调文字颜色 2 16 2" xfId="12"/>
    <cellStyle name="20% - 强调文字颜色 2 16 3" xfId="1803"/>
    <cellStyle name="20% - 强调文字颜色 2 16 4" xfId="1807"/>
    <cellStyle name="20% - 强调文字颜色 2 16 5" xfId="1810"/>
    <cellStyle name="20% - 强调文字颜色 2 16 6" xfId="1814"/>
    <cellStyle name="20% - 强调文字颜色 2 16 7" xfId="1816"/>
    <cellStyle name="20% - 强调文字颜色 2 16 8" xfId="1818"/>
    <cellStyle name="20% - 强调文字颜色 2 16 9" xfId="1820"/>
    <cellStyle name="20% - 强调文字颜色 2 17" xfId="1822"/>
    <cellStyle name="20% - 强调文字颜色 2 17 2" xfId="1833"/>
    <cellStyle name="20% - 强调文字颜色 2 17 3" xfId="1836"/>
    <cellStyle name="20% - 强调文字颜色 2 17 4" xfId="1840"/>
    <cellStyle name="20% - 强调文字颜色 2 17 5" xfId="1843"/>
    <cellStyle name="20% - 强调文字颜色 2 17 6" xfId="1846"/>
    <cellStyle name="20% - 强调文字颜色 2 17 7" xfId="1848"/>
    <cellStyle name="20% - 强调文字颜色 2 17 8" xfId="1850"/>
    <cellStyle name="20% - 强调文字颜色 2 17 9" xfId="1852"/>
    <cellStyle name="20% - 强调文字颜色 2 18" xfId="1854"/>
    <cellStyle name="20% - 强调文字颜色 2 18 2" xfId="1862"/>
    <cellStyle name="20% - 强调文字颜色 2 18 3" xfId="1865"/>
    <cellStyle name="20% - 强调文字颜色 2 18 4" xfId="1868"/>
    <cellStyle name="20% - 强调文字颜色 2 18 5" xfId="1871"/>
    <cellStyle name="20% - 强调文字颜色 2 18 6" xfId="980"/>
    <cellStyle name="20% - 强调文字颜色 2 18 7" xfId="1395"/>
    <cellStyle name="20% - 强调文字颜色 2 18 8" xfId="1401"/>
    <cellStyle name="20% - 强调文字颜色 2 18 9" xfId="1874"/>
    <cellStyle name="20% - 强调文字颜色 2 19" xfId="1876"/>
    <cellStyle name="20% - 强调文字颜色 2 19 2" xfId="1884"/>
    <cellStyle name="20% - 强调文字颜色 2 19 3" xfId="1888"/>
    <cellStyle name="20% - 强调文字颜色 2 19 4" xfId="1892"/>
    <cellStyle name="20% - 强调文字颜色 2 19 5" xfId="1896"/>
    <cellStyle name="20% - 强调文字颜色 2 19 6" xfId="1044"/>
    <cellStyle name="20% - 强调文字颜色 2 19 7" xfId="1406"/>
    <cellStyle name="20% - 强调文字颜色 2 19 8" xfId="1411"/>
    <cellStyle name="20% - 强调文字颜色 2 19 9" xfId="1899"/>
    <cellStyle name="20% - 强调文字颜色 2 2" xfId="1901"/>
    <cellStyle name="20% - 强调文字颜色 2 2 10" xfId="1904"/>
    <cellStyle name="20% - 强调文字颜色 2 2 11" xfId="1906"/>
    <cellStyle name="20% - 强调文字颜色 2 2 12" xfId="1908"/>
    <cellStyle name="20% - 强调文字颜色 2 2 13" xfId="1910"/>
    <cellStyle name="20% - 强调文字颜色 2 2 14" xfId="1912"/>
    <cellStyle name="20% - 强调文字颜色 2 2 15" xfId="1914"/>
    <cellStyle name="20% - 强调文字颜色 2 2 16" xfId="1915"/>
    <cellStyle name="20% - 强调文字颜色 2 2 17" xfId="1916"/>
    <cellStyle name="20% - 强调文字颜色 2 2 18" xfId="1917"/>
    <cellStyle name="20% - 强调文字颜色 2 2 19" xfId="1918"/>
    <cellStyle name="20% - 强调文字颜色 2 2 2" xfId="1919"/>
    <cellStyle name="20% - 强调文字颜色 2 2 2 2" xfId="1921"/>
    <cellStyle name="20% - 强调文字颜色 2 2 2 2 2" xfId="1580"/>
    <cellStyle name="20% - 强调文字颜色 2 2 2 2 2 2" xfId="1584"/>
    <cellStyle name="20% - 强调文字颜色 2 2 2 2 2 3" xfId="1593"/>
    <cellStyle name="20% - 强调文字颜色 2 2 2 2 3" xfId="1923"/>
    <cellStyle name="20% - 强调文字颜色 2 2 2 2 4" xfId="1924"/>
    <cellStyle name="20% - 强调文字颜色 2 2 2 2 5" xfId="1926"/>
    <cellStyle name="20% - 强调文字颜色 2 2 2 2 6" xfId="1928"/>
    <cellStyle name="20% - 强调文字颜色 2 2 2 2 7" xfId="1930"/>
    <cellStyle name="20% - 强调文字颜色 2 2 2 2 8" xfId="1609"/>
    <cellStyle name="20% - 强调文字颜色 2 2 2 3" xfId="1932"/>
    <cellStyle name="20% - 强调文字颜色 2 2 2 3 2" xfId="1936"/>
    <cellStyle name="20% - 强调文字颜色 2 2 2 3 2 2" xfId="1939"/>
    <cellStyle name="20% - 强调文字颜色 2 2 2 3 2 3" xfId="1942"/>
    <cellStyle name="20% - 强调文字颜色 2 2 2 3 3" xfId="1946"/>
    <cellStyle name="20% - 强调文字颜色 2 2 2 3 4" xfId="1947"/>
    <cellStyle name="20% - 强调文字颜色 2 2 2 4" xfId="1949"/>
    <cellStyle name="20% - 强调文字颜色 2 2 2 4 2" xfId="1953"/>
    <cellStyle name="20% - 强调文字颜色 2 2 2 4 2 2" xfId="1955"/>
    <cellStyle name="20% - 强调文字颜色 2 2 2 4 2 3" xfId="1959"/>
    <cellStyle name="20% - 强调文字颜色 2 2 2 4 3" xfId="1963"/>
    <cellStyle name="20% - 强调文字颜色 2 2 2 4 4" xfId="217"/>
    <cellStyle name="20% - 强调文字颜色 2 2 2 5" xfId="1965"/>
    <cellStyle name="20% - 强调文字颜色 2 2 2 5 2" xfId="1448"/>
    <cellStyle name="20% - 强调文字颜色 2 2 2 5 3" xfId="1105"/>
    <cellStyle name="20% - 强调文字颜色 2 2 2 6" xfId="1969"/>
    <cellStyle name="20% - 强调文字颜色 2 2 2 7" xfId="1972"/>
    <cellStyle name="20% - 强调文字颜色 2 2 3" xfId="1975"/>
    <cellStyle name="20% - 强调文字颜色 2 2 3 2" xfId="1976"/>
    <cellStyle name="20% - 强调文字颜色 2 2 3 2 2" xfId="1978"/>
    <cellStyle name="20% - 强调文字颜色 2 2 3 2 3" xfId="1980"/>
    <cellStyle name="20% - 强调文字颜色 2 2 3 3" xfId="1981"/>
    <cellStyle name="20% - 强调文字颜色 2 2 3 4" xfId="1985"/>
    <cellStyle name="20% - 强调文字颜色 2 2 3 5" xfId="1989"/>
    <cellStyle name="20% - 强调文字颜色 2 2 4" xfId="1993"/>
    <cellStyle name="20% - 强调文字颜色 2 2 4 2" xfId="1994"/>
    <cellStyle name="20% - 强调文字颜色 2 2 4 2 2" xfId="1996"/>
    <cellStyle name="20% - 强调文字颜色 2 2 4 2 3" xfId="1997"/>
    <cellStyle name="20% - 强调文字颜色 2 2 4 3" xfId="1998"/>
    <cellStyle name="20% - 强调文字颜色 2 2 4 4" xfId="2002"/>
    <cellStyle name="20% - 强调文字颜色 2 2 5" xfId="2005"/>
    <cellStyle name="20% - 强调文字颜色 2 2 5 2" xfId="2007"/>
    <cellStyle name="20% - 强调文字颜色 2 2 5 3" xfId="2009"/>
    <cellStyle name="20% - 强调文字颜色 2 2 6" xfId="1773"/>
    <cellStyle name="20% - 强调文字颜色 2 2 6 2" xfId="2012"/>
    <cellStyle name="20% - 强调文字颜色 2 2 6 3" xfId="2014"/>
    <cellStyle name="20% - 强调文字颜色 2 2 6 4" xfId="2017"/>
    <cellStyle name="20% - 强调文字颜色 2 2 7" xfId="1776"/>
    <cellStyle name="20% - 强调文字颜色 2 2 7 2" xfId="2020"/>
    <cellStyle name="20% - 强调文字颜色 2 2 7 3" xfId="2022"/>
    <cellStyle name="20% - 强调文字颜色 2 2 8" xfId="1779"/>
    <cellStyle name="20% - 强调文字颜色 2 2 9" xfId="1782"/>
    <cellStyle name="20% - 强调文字颜色 2 20" xfId="1765"/>
    <cellStyle name="20% - 强调文字颜色 2 20 2" xfId="1774"/>
    <cellStyle name="20% - 强调文字颜色 2 20 3" xfId="1777"/>
    <cellStyle name="20% - 强调文字颜色 2 20 4" xfId="1780"/>
    <cellStyle name="20% - 强调文字颜色 2 20 5" xfId="1783"/>
    <cellStyle name="20% - 强调文字颜色 2 20 6" xfId="1785"/>
    <cellStyle name="20% - 强调文字颜色 2 20 7" xfId="1787"/>
    <cellStyle name="20% - 强调文字颜色 2 20 8" xfId="1789"/>
    <cellStyle name="20% - 强调文字颜色 2 20 9" xfId="1791"/>
    <cellStyle name="20% - 强调文字颜色 2 21" xfId="1793"/>
    <cellStyle name="20% - 强调文字颜色 2 21 2" xfId="11"/>
    <cellStyle name="20% - 强调文字颜色 2 21 3" xfId="1804"/>
    <cellStyle name="20% - 强调文字颜色 2 21 4" xfId="1808"/>
    <cellStyle name="20% - 强调文字颜色 2 21 5" xfId="1811"/>
    <cellStyle name="20% - 强调文字颜色 2 21 6" xfId="1815"/>
    <cellStyle name="20% - 强调文字颜色 2 21 7" xfId="1817"/>
    <cellStyle name="20% - 强调文字颜色 2 21 8" xfId="1819"/>
    <cellStyle name="20% - 强调文字颜色 2 21 9" xfId="1821"/>
    <cellStyle name="20% - 强调文字颜色 2 22" xfId="1823"/>
    <cellStyle name="20% - 强调文字颜色 2 22 2" xfId="1834"/>
    <cellStyle name="20% - 强调文字颜色 2 22 3" xfId="1837"/>
    <cellStyle name="20% - 强调文字颜色 2 22 4" xfId="1841"/>
    <cellStyle name="20% - 强调文字颜色 2 22 5" xfId="1844"/>
    <cellStyle name="20% - 强调文字颜色 2 22 6" xfId="1847"/>
    <cellStyle name="20% - 强调文字颜色 2 22 7" xfId="1849"/>
    <cellStyle name="20% - 强调文字颜色 2 22 8" xfId="1851"/>
    <cellStyle name="20% - 强调文字颜色 2 22 9" xfId="1853"/>
    <cellStyle name="20% - 强调文字颜色 2 23" xfId="1855"/>
    <cellStyle name="20% - 强调文字颜色 2 23 2" xfId="1863"/>
    <cellStyle name="20% - 强调文字颜色 2 23 3" xfId="1866"/>
    <cellStyle name="20% - 强调文字颜色 2 23 4" xfId="1869"/>
    <cellStyle name="20% - 强调文字颜色 2 23 5" xfId="1872"/>
    <cellStyle name="20% - 强调文字颜色 2 23 6" xfId="981"/>
    <cellStyle name="20% - 强调文字颜色 2 23 7" xfId="1396"/>
    <cellStyle name="20% - 强调文字颜色 2 23 8" xfId="1402"/>
    <cellStyle name="20% - 强调文字颜色 2 23 9" xfId="1875"/>
    <cellStyle name="20% - 强调文字颜色 2 24" xfId="1877"/>
    <cellStyle name="20% - 强调文字颜色 2 24 2" xfId="1885"/>
    <cellStyle name="20% - 强调文字颜色 2 24 3" xfId="1889"/>
    <cellStyle name="20% - 强调文字颜色 2 24 4" xfId="1893"/>
    <cellStyle name="20% - 强调文字颜色 2 24 5" xfId="1897"/>
    <cellStyle name="20% - 强调文字颜色 2 24 6" xfId="1045"/>
    <cellStyle name="20% - 强调文字颜色 2 24 7" xfId="1407"/>
    <cellStyle name="20% - 强调文字颜色 2 24 8" xfId="1412"/>
    <cellStyle name="20% - 强调文字颜色 2 24 9" xfId="1900"/>
    <cellStyle name="20% - 强调文字颜色 2 25" xfId="2024"/>
    <cellStyle name="20% - 强调文字颜色 2 25 2" xfId="2032"/>
    <cellStyle name="20% - 强调文字颜色 2 25 3" xfId="2036"/>
    <cellStyle name="20% - 强调文字颜色 2 25 4" xfId="2039"/>
    <cellStyle name="20% - 强调文字颜色 2 25 5" xfId="2042"/>
    <cellStyle name="20% - 强调文字颜色 2 25 6" xfId="2045"/>
    <cellStyle name="20% - 强调文字颜色 2 25 7" xfId="2047"/>
    <cellStyle name="20% - 强调文字颜色 2 25 8" xfId="2049"/>
    <cellStyle name="20% - 强调文字颜色 2 25 9" xfId="2051"/>
    <cellStyle name="20% - 强调文字颜色 2 26" xfId="2053"/>
    <cellStyle name="20% - 强调文字颜色 2 26 2" xfId="2061"/>
    <cellStyle name="20% - 强调文字颜色 2 26 3" xfId="2064"/>
    <cellStyle name="20% - 强调文字颜色 2 26 4" xfId="2067"/>
    <cellStyle name="20% - 强调文字颜色 2 26 5" xfId="2070"/>
    <cellStyle name="20% - 强调文字颜色 2 26 6" xfId="2073"/>
    <cellStyle name="20% - 强调文字颜色 2 26 7" xfId="2075"/>
    <cellStyle name="20% - 强调文字颜色 2 26 8" xfId="2077"/>
    <cellStyle name="20% - 强调文字颜色 2 26 9" xfId="2079"/>
    <cellStyle name="20% - 强调文字颜色 2 27" xfId="2081"/>
    <cellStyle name="20% - 强调文字颜色 2 27 2" xfId="2089"/>
    <cellStyle name="20% - 强调文字颜色 2 27 3" xfId="2093"/>
    <cellStyle name="20% - 强调文字颜色 2 27 4" xfId="2096"/>
    <cellStyle name="20% - 强调文字颜色 2 27 5" xfId="2099"/>
    <cellStyle name="20% - 强调文字颜色 2 27 6" xfId="2102"/>
    <cellStyle name="20% - 强调文字颜色 2 27 7" xfId="2104"/>
    <cellStyle name="20% - 强调文字颜色 2 27 8" xfId="2106"/>
    <cellStyle name="20% - 强调文字颜色 2 27 9" xfId="2108"/>
    <cellStyle name="20% - 强调文字颜色 2 28" xfId="2110"/>
    <cellStyle name="20% - 强调文字颜色 2 28 2" xfId="2112"/>
    <cellStyle name="20% - 强调文字颜色 2 28 3" xfId="2114"/>
    <cellStyle name="20% - 强调文字颜色 2 28 4" xfId="2116"/>
    <cellStyle name="20% - 强调文字颜色 2 28 5" xfId="2118"/>
    <cellStyle name="20% - 强调文字颜色 2 28 6" xfId="2120"/>
    <cellStyle name="20% - 强调文字颜色 2 28 7" xfId="2122"/>
    <cellStyle name="20% - 强调文字颜色 2 28 8" xfId="2124"/>
    <cellStyle name="20% - 强调文字颜色 2 28 9" xfId="2126"/>
    <cellStyle name="20% - 强调文字颜色 2 29" xfId="2129"/>
    <cellStyle name="20% - 强调文字颜色 2 29 2" xfId="2131"/>
    <cellStyle name="20% - 强调文字颜色 2 29 3" xfId="2133"/>
    <cellStyle name="20% - 强调文字颜色 2 29 4" xfId="2135"/>
    <cellStyle name="20% - 强调文字颜色 2 29 5" xfId="2137"/>
    <cellStyle name="20% - 强调文字颜色 2 29 6" xfId="2139"/>
    <cellStyle name="20% - 强调文字颜色 2 29 7" xfId="2141"/>
    <cellStyle name="20% - 强调文字颜色 2 29 8" xfId="2143"/>
    <cellStyle name="20% - 强调文字颜色 2 29 9" xfId="2146"/>
    <cellStyle name="20% - 强调文字颜色 2 3" xfId="2149"/>
    <cellStyle name="20% - 强调文字颜色 2 3 10" xfId="2152"/>
    <cellStyle name="20% - 强调文字颜色 2 3 11" xfId="2153"/>
    <cellStyle name="20% - 强调文字颜色 2 3 12" xfId="2155"/>
    <cellStyle name="20% - 强调文字颜色 2 3 13" xfId="2157"/>
    <cellStyle name="20% - 强调文字颜色 2 3 14" xfId="2159"/>
    <cellStyle name="20% - 强调文字颜色 2 3 15" xfId="2160"/>
    <cellStyle name="20% - 强调文字颜色 2 3 16" xfId="2161"/>
    <cellStyle name="20% - 强调文字颜色 2 3 2" xfId="2163"/>
    <cellStyle name="20% - 强调文字颜色 2 3 2 2" xfId="2166"/>
    <cellStyle name="20% - 强调文字颜色 2 3 2 2 2" xfId="2167"/>
    <cellStyle name="20% - 强调文字颜色 2 3 2 3" xfId="2173"/>
    <cellStyle name="20% - 强调文字颜色 2 3 2 4" xfId="2174"/>
    <cellStyle name="20% - 强调文字颜色 2 3 3" xfId="2175"/>
    <cellStyle name="20% - 强调文字颜色 2 3 3 2" xfId="2179"/>
    <cellStyle name="20% - 强调文字颜色 2 3 3 3" xfId="2181"/>
    <cellStyle name="20% - 强调文字颜色 2 3 3 4" xfId="2183"/>
    <cellStyle name="20% - 强调文字颜色 2 3 4" xfId="2184"/>
    <cellStyle name="20% - 强调文字颜色 2 3 5" xfId="2186"/>
    <cellStyle name="20% - 强调文字颜色 2 3 6" xfId="10"/>
    <cellStyle name="20% - 强调文字颜色 2 3 6 2" xfId="2188"/>
    <cellStyle name="20% - 强调文字颜色 2 3 6 3" xfId="2191"/>
    <cellStyle name="20% - 强调文字颜色 2 3 6 4" xfId="2194"/>
    <cellStyle name="20% - 强调文字颜色 2 3 7" xfId="1805"/>
    <cellStyle name="20% - 强调文字颜色 2 3 8" xfId="1809"/>
    <cellStyle name="20% - 强调文字颜色 2 3 9" xfId="1812"/>
    <cellStyle name="20% - 强调文字颜色 2 30" xfId="2025"/>
    <cellStyle name="20% - 强调文字颜色 2 30 2" xfId="2033"/>
    <cellStyle name="20% - 强调文字颜色 2 30 3" xfId="2037"/>
    <cellStyle name="20% - 强调文字颜色 2 30 4" xfId="2040"/>
    <cellStyle name="20% - 强调文字颜色 2 30 5" xfId="2043"/>
    <cellStyle name="20% - 强调文字颜色 2 30 6" xfId="2046"/>
    <cellStyle name="20% - 强调文字颜色 2 30 7" xfId="2048"/>
    <cellStyle name="20% - 强调文字颜色 2 30 8" xfId="2050"/>
    <cellStyle name="20% - 强调文字颜色 2 30 9" xfId="2052"/>
    <cellStyle name="20% - 强调文字颜色 2 31" xfId="2054"/>
    <cellStyle name="20% - 强调文字颜色 2 31 2" xfId="2062"/>
    <cellStyle name="20% - 强调文字颜色 2 31 3" xfId="2065"/>
    <cellStyle name="20% - 强调文字颜色 2 31 4" xfId="2068"/>
    <cellStyle name="20% - 强调文字颜色 2 31 5" xfId="2071"/>
    <cellStyle name="20% - 强调文字颜色 2 31 6" xfId="2074"/>
    <cellStyle name="20% - 强调文字颜色 2 31 7" xfId="2076"/>
    <cellStyle name="20% - 强调文字颜色 2 31 8" xfId="2078"/>
    <cellStyle name="20% - 强调文字颜色 2 31 9" xfId="2080"/>
    <cellStyle name="20% - 强调文字颜色 2 32" xfId="2082"/>
    <cellStyle name="20% - 强调文字颜色 2 32 2" xfId="2090"/>
    <cellStyle name="20% - 强调文字颜色 2 32 3" xfId="2094"/>
    <cellStyle name="20% - 强调文字颜色 2 32 4" xfId="2097"/>
    <cellStyle name="20% - 强调文字颜色 2 32 5" xfId="2100"/>
    <cellStyle name="20% - 强调文字颜色 2 32 6" xfId="2103"/>
    <cellStyle name="20% - 强调文字颜色 2 32 7" xfId="2105"/>
    <cellStyle name="20% - 强调文字颜色 2 32 8" xfId="2107"/>
    <cellStyle name="20% - 强调文字颜色 2 32 9" xfId="2109"/>
    <cellStyle name="20% - 强调文字颜色 2 33" xfId="2111"/>
    <cellStyle name="20% - 强调文字颜色 2 33 2" xfId="2113"/>
    <cellStyle name="20% - 强调文字颜色 2 33 3" xfId="2115"/>
    <cellStyle name="20% - 强调文字颜色 2 33 4" xfId="2117"/>
    <cellStyle name="20% - 强调文字颜色 2 33 5" xfId="2119"/>
    <cellStyle name="20% - 强调文字颜色 2 33 6" xfId="2121"/>
    <cellStyle name="20% - 强调文字颜色 2 33 7" xfId="2123"/>
    <cellStyle name="20% - 强调文字颜色 2 33 8" xfId="2125"/>
    <cellStyle name="20% - 强调文字颜色 2 33 9" xfId="2127"/>
    <cellStyle name="20% - 强调文字颜色 2 34" xfId="2130"/>
    <cellStyle name="20% - 强调文字颜色 2 34 2" xfId="2132"/>
    <cellStyle name="20% - 强调文字颜色 2 34 3" xfId="2134"/>
    <cellStyle name="20% - 强调文字颜色 2 34 4" xfId="2136"/>
    <cellStyle name="20% - 强调文字颜色 2 34 5" xfId="2138"/>
    <cellStyle name="20% - 强调文字颜色 2 34 6" xfId="2140"/>
    <cellStyle name="20% - 强调文字颜色 2 34 7" xfId="2142"/>
    <cellStyle name="20% - 强调文字颜色 2 34 8" xfId="2144"/>
    <cellStyle name="20% - 强调文字颜色 2 34 9" xfId="2147"/>
    <cellStyle name="20% - 强调文字颜色 2 35" xfId="2198"/>
    <cellStyle name="20% - 强调文字颜色 2 35 2" xfId="2200"/>
    <cellStyle name="20% - 强调文字颜色 2 35 3" xfId="2202"/>
    <cellStyle name="20% - 强调文字颜色 2 35 4" xfId="2204"/>
    <cellStyle name="20% - 强调文字颜色 2 35 5" xfId="2206"/>
    <cellStyle name="20% - 强调文字颜色 2 35 6" xfId="2208"/>
    <cellStyle name="20% - 强调文字颜色 2 35 7" xfId="2210"/>
    <cellStyle name="20% - 强调文字颜色 2 35 8" xfId="2212"/>
    <cellStyle name="20% - 强调文字颜色 2 35 9" xfId="2214"/>
    <cellStyle name="20% - 强调文字颜色 2 36" xfId="2216"/>
    <cellStyle name="20% - 强调文字颜色 2 36 2" xfId="2218"/>
    <cellStyle name="20% - 强调文字颜色 2 36 3" xfId="2220"/>
    <cellStyle name="20% - 强调文字颜色 2 36 4" xfId="2222"/>
    <cellStyle name="20% - 强调文字颜色 2 36 5" xfId="2224"/>
    <cellStyle name="20% - 强调文字颜色 2 36 6" xfId="2226"/>
    <cellStyle name="20% - 强调文字颜色 2 36 7" xfId="2228"/>
    <cellStyle name="20% - 强调文字颜色 2 36 8" xfId="2230"/>
    <cellStyle name="20% - 强调文字颜色 2 36 9" xfId="2232"/>
    <cellStyle name="20% - 强调文字颜色 2 37" xfId="2235"/>
    <cellStyle name="20% - 强调文字颜色 2 37 2" xfId="2237"/>
    <cellStyle name="20% - 强调文字颜色 2 37 3" xfId="2239"/>
    <cellStyle name="20% - 强调文字颜色 2 37 4" xfId="2240"/>
    <cellStyle name="20% - 强调文字颜色 2 37 5" xfId="2242"/>
    <cellStyle name="20% - 强调文字颜色 2 37 6" xfId="2243"/>
    <cellStyle name="20% - 强调文字颜色 2 37 7" xfId="20"/>
    <cellStyle name="20% - 强调文字颜色 2 37 8" xfId="2244"/>
    <cellStyle name="20% - 强调文字颜色 2 37 9" xfId="2245"/>
    <cellStyle name="20% - 强调文字颜色 2 38" xfId="2248"/>
    <cellStyle name="20% - 强调文字颜色 2 38 2" xfId="2251"/>
    <cellStyle name="20% - 强调文字颜色 2 38 3" xfId="2252"/>
    <cellStyle name="20% - 强调文字颜色 2 38 4" xfId="2253"/>
    <cellStyle name="20% - 强调文字颜色 2 38 5" xfId="2254"/>
    <cellStyle name="20% - 强调文字颜色 2 38 6" xfId="2255"/>
    <cellStyle name="20% - 强调文字颜色 2 38 7" xfId="2256"/>
    <cellStyle name="20% - 强调文字颜色 2 38 8" xfId="2257"/>
    <cellStyle name="20% - 强调文字颜色 2 38 9" xfId="2258"/>
    <cellStyle name="20% - 强调文字颜色 2 39" xfId="2259"/>
    <cellStyle name="20% - 强调文字颜色 2 39 2" xfId="2261"/>
    <cellStyle name="20% - 强调文字颜色 2 39 3" xfId="2262"/>
    <cellStyle name="20% - 强调文字颜色 2 39 4" xfId="2263"/>
    <cellStyle name="20% - 强调文字颜色 2 39 5" xfId="2264"/>
    <cellStyle name="20% - 强调文字颜色 2 39 6" xfId="2265"/>
    <cellStyle name="20% - 强调文字颜色 2 39 7" xfId="2266"/>
    <cellStyle name="20% - 强调文字颜色 2 39 8" xfId="2267"/>
    <cellStyle name="20% - 强调文字颜色 2 39 9" xfId="2268"/>
    <cellStyle name="20% - 强调文字颜色 2 4" xfId="2269"/>
    <cellStyle name="20% - 强调文字颜色 2 4 10" xfId="2271"/>
    <cellStyle name="20% - 强调文字颜色 2 4 11" xfId="2272"/>
    <cellStyle name="20% - 强调文字颜色 2 4 12" xfId="2273"/>
    <cellStyle name="20% - 强调文字颜色 2 4 13" xfId="2274"/>
    <cellStyle name="20% - 强调文字颜色 2 4 2" xfId="92"/>
    <cellStyle name="20% - 强调文字颜色 2 4 2 2" xfId="2276"/>
    <cellStyle name="20% - 强调文字颜色 2 4 2 3" xfId="2278"/>
    <cellStyle name="20% - 强调文字颜色 2 4 2 4" xfId="2280"/>
    <cellStyle name="20% - 强调文字颜色 2 4 3" xfId="2282"/>
    <cellStyle name="20% - 强调文字颜色 2 4 3 2" xfId="2283"/>
    <cellStyle name="20% - 强调文字颜色 2 4 3 3" xfId="2284"/>
    <cellStyle name="20% - 强调文字颜色 2 4 3 4" xfId="2285"/>
    <cellStyle name="20% - 强调文字颜色 2 4 4" xfId="2286"/>
    <cellStyle name="20% - 强调文字颜色 2 4 5" xfId="2287"/>
    <cellStyle name="20% - 强调文字颜色 2 4 6" xfId="1835"/>
    <cellStyle name="20% - 强调文字颜色 2 4 7" xfId="1838"/>
    <cellStyle name="20% - 强调文字颜色 2 4 8" xfId="1842"/>
    <cellStyle name="20% - 强调文字颜色 2 4 9" xfId="1845"/>
    <cellStyle name="20% - 强调文字颜色 2 40" xfId="2199"/>
    <cellStyle name="20% - 强调文字颜色 2 40 2" xfId="2201"/>
    <cellStyle name="20% - 强调文字颜色 2 40 3" xfId="2203"/>
    <cellStyle name="20% - 强调文字颜色 2 40 4" xfId="2205"/>
    <cellStyle name="20% - 强调文字颜色 2 40 5" xfId="2207"/>
    <cellStyle name="20% - 强调文字颜色 2 40 6" xfId="2209"/>
    <cellStyle name="20% - 强调文字颜色 2 40 7" xfId="2211"/>
    <cellStyle name="20% - 强调文字颜色 2 40 8" xfId="2213"/>
    <cellStyle name="20% - 强调文字颜色 2 40 9" xfId="2215"/>
    <cellStyle name="20% - 强调文字颜色 2 41" xfId="2217"/>
    <cellStyle name="20% - 强调文字颜色 2 41 2" xfId="2219"/>
    <cellStyle name="20% - 强调文字颜色 2 41 3" xfId="2221"/>
    <cellStyle name="20% - 强调文字颜色 2 41 4" xfId="2223"/>
    <cellStyle name="20% - 强调文字颜色 2 41 5" xfId="2225"/>
    <cellStyle name="20% - 强调文字颜色 2 41 6" xfId="2227"/>
    <cellStyle name="20% - 强调文字颜色 2 41 7" xfId="2229"/>
    <cellStyle name="20% - 强调文字颜色 2 41 8" xfId="2231"/>
    <cellStyle name="20% - 强调文字颜色 2 41 9" xfId="2233"/>
    <cellStyle name="20% - 强调文字颜色 2 42" xfId="2236"/>
    <cellStyle name="20% - 强调文字颜色 2 42 2" xfId="2238"/>
    <cellStyle name="20% - 强调文字颜色 2 43" xfId="2249"/>
    <cellStyle name="20% - 强调文字颜色 2 44" xfId="2260"/>
    <cellStyle name="20% - 强调文字颜色 2 45" xfId="2288"/>
    <cellStyle name="20% - 强调文字颜色 2 46" xfId="2290"/>
    <cellStyle name="20% - 强调文字颜色 2 47" xfId="2292"/>
    <cellStyle name="20% - 强调文字颜色 2 48" xfId="2294"/>
    <cellStyle name="20% - 强调文字颜色 2 49" xfId="2296"/>
    <cellStyle name="20% - 强调文字颜色 2 5" xfId="2298"/>
    <cellStyle name="20% - 强调文字颜色 2 5 10" xfId="2300"/>
    <cellStyle name="20% - 强调文字颜色 2 5 11" xfId="2301"/>
    <cellStyle name="20% - 强调文字颜色 2 5 12" xfId="2302"/>
    <cellStyle name="20% - 强调文字颜色 2 5 13" xfId="2303"/>
    <cellStyle name="20% - 强调文字颜色 2 5 2" xfId="2304"/>
    <cellStyle name="20% - 强调文字颜色 2 5 2 2" xfId="2305"/>
    <cellStyle name="20% - 强调文字颜色 2 5 2 3" xfId="2306"/>
    <cellStyle name="20% - 强调文字颜色 2 5 2 4" xfId="2308"/>
    <cellStyle name="20% - 强调文字颜色 2 5 3" xfId="2310"/>
    <cellStyle name="20% - 强调文字颜色 2 5 3 2" xfId="2311"/>
    <cellStyle name="20% - 强调文字颜色 2 5 3 3" xfId="2312"/>
    <cellStyle name="20% - 强调文字颜色 2 5 3 4" xfId="2314"/>
    <cellStyle name="20% - 强调文字颜色 2 5 4" xfId="2316"/>
    <cellStyle name="20% - 强调文字颜色 2 5 5" xfId="2317"/>
    <cellStyle name="20% - 强调文字颜色 2 5 6" xfId="1864"/>
    <cellStyle name="20% - 强调文字颜色 2 5 7" xfId="1867"/>
    <cellStyle name="20% - 强调文字颜色 2 5 8" xfId="1870"/>
    <cellStyle name="20% - 强调文字颜色 2 5 9" xfId="1873"/>
    <cellStyle name="20% - 强调文字颜色 2 50" xfId="2289"/>
    <cellStyle name="20% - 强调文字颜色 2 51" xfId="2291"/>
    <cellStyle name="20% - 强调文字颜色 2 52" xfId="2293"/>
    <cellStyle name="20% - 强调文字颜色 2 53" xfId="2295"/>
    <cellStyle name="20% - 强调文字颜色 2 54" xfId="2297"/>
    <cellStyle name="20% - 强调文字颜色 2 55" xfId="2318"/>
    <cellStyle name="20% - 强调文字颜色 2 56" xfId="2320"/>
    <cellStyle name="20% - 强调文字颜色 2 57" xfId="2322"/>
    <cellStyle name="20% - 强调文字颜色 2 58" xfId="2323"/>
    <cellStyle name="20% - 强调文字颜色 2 59" xfId="2324"/>
    <cellStyle name="20% - 强调文字颜色 2 6" xfId="2325"/>
    <cellStyle name="20% - 强调文字颜色 2 6 10" xfId="2327"/>
    <cellStyle name="20% - 强调文字颜色 2 6 11" xfId="2328"/>
    <cellStyle name="20% - 强调文字颜色 2 6 12" xfId="2329"/>
    <cellStyle name="20% - 强调文字颜色 2 6 2" xfId="2331"/>
    <cellStyle name="20% - 强调文字颜色 2 6 2 2" xfId="2332"/>
    <cellStyle name="20% - 强调文字颜色 2 6 3" xfId="2333"/>
    <cellStyle name="20% - 强调文字颜色 2 6 4" xfId="2335"/>
    <cellStyle name="20% - 强调文字颜色 2 6 5" xfId="2337"/>
    <cellStyle name="20% - 强调文字颜色 2 6 6" xfId="1886"/>
    <cellStyle name="20% - 强调文字颜色 2 6 7" xfId="1890"/>
    <cellStyle name="20% - 强调文字颜色 2 6 8" xfId="1894"/>
    <cellStyle name="20% - 强调文字颜色 2 6 9" xfId="1898"/>
    <cellStyle name="20% - 强调文字颜色 2 60" xfId="2319"/>
    <cellStyle name="20% - 强调文字颜色 2 61" xfId="2321"/>
    <cellStyle name="20% - 强调文字颜色 2 7" xfId="2339"/>
    <cellStyle name="20% - 强调文字颜色 2 7 10" xfId="2340"/>
    <cellStyle name="20% - 强调文字颜色 2 7 11" xfId="2342"/>
    <cellStyle name="20% - 强调文字颜色 2 7 12" xfId="2343"/>
    <cellStyle name="20% - 强调文字颜色 2 7 2" xfId="2344"/>
    <cellStyle name="20% - 强调文字颜色 2 7 2 2" xfId="2345"/>
    <cellStyle name="20% - 强调文字颜色 2 7 3" xfId="2346"/>
    <cellStyle name="20% - 强调文字颜色 2 7 4" xfId="2348"/>
    <cellStyle name="20% - 强调文字颜色 2 7 5" xfId="2350"/>
    <cellStyle name="20% - 强调文字颜色 2 7 6" xfId="2034"/>
    <cellStyle name="20% - 强调文字颜色 2 7 7" xfId="2038"/>
    <cellStyle name="20% - 强调文字颜色 2 7 8" xfId="2041"/>
    <cellStyle name="20% - 强调文字颜色 2 7 9" xfId="2044"/>
    <cellStyle name="20% - 强调文字颜色 2 8" xfId="2352"/>
    <cellStyle name="20% - 强调文字颜色 2 8 10" xfId="2353"/>
    <cellStyle name="20% - 强调文字颜色 2 8 11" xfId="2354"/>
    <cellStyle name="20% - 强调文字颜色 2 8 12" xfId="2356"/>
    <cellStyle name="20% - 强调文字颜色 2 8 2" xfId="2357"/>
    <cellStyle name="20% - 强调文字颜色 2 8 2 2" xfId="2360"/>
    <cellStyle name="20% - 强调文字颜色 2 8 3" xfId="2364"/>
    <cellStyle name="20% - 强调文字颜色 2 8 4" xfId="2367"/>
    <cellStyle name="20% - 强调文字颜色 2 8 5" xfId="2372"/>
    <cellStyle name="20% - 强调文字颜色 2 8 6" xfId="2063"/>
    <cellStyle name="20% - 强调文字颜色 2 8 7" xfId="2066"/>
    <cellStyle name="20% - 强调文字颜色 2 8 8" xfId="2069"/>
    <cellStyle name="20% - 强调文字颜色 2 8 9" xfId="2072"/>
    <cellStyle name="20% - 强调文字颜色 2 9" xfId="1937"/>
    <cellStyle name="20% - 强调文字颜色 2 9 10" xfId="2374"/>
    <cellStyle name="20% - 强调文字颜色 2 9 2" xfId="1940"/>
    <cellStyle name="20% - 强调文字颜色 2 9 2 2" xfId="2375"/>
    <cellStyle name="20% - 强调文字颜色 2 9 3" xfId="1943"/>
    <cellStyle name="20% - 强调文字颜色 2 9 4" xfId="2377"/>
    <cellStyle name="20% - 强调文字颜色 2 9 5" xfId="2379"/>
    <cellStyle name="20% - 强调文字颜色 2 9 6" xfId="2091"/>
    <cellStyle name="20% - 强调文字颜色 2 9 7" xfId="2095"/>
    <cellStyle name="20% - 强调文字颜色 2 9 8" xfId="2098"/>
    <cellStyle name="20% - 强调文字颜色 2 9 9" xfId="2101"/>
    <cellStyle name="20% - 强调文字颜色 3 10" xfId="914"/>
    <cellStyle name="20% - 强调文字颜色 3 10 10" xfId="2381"/>
    <cellStyle name="20% - 强调文字颜色 3 10 2" xfId="464"/>
    <cellStyle name="20% - 强调文字颜色 3 10 2 2" xfId="2382"/>
    <cellStyle name="20% - 强调文字颜色 3 10 3" xfId="468"/>
    <cellStyle name="20% - 强调文字颜色 3 10 4" xfId="2386"/>
    <cellStyle name="20% - 强调文字颜色 3 10 5" xfId="2387"/>
    <cellStyle name="20% - 强调文字颜色 3 10 6" xfId="2388"/>
    <cellStyle name="20% - 强调文字颜色 3 10 7" xfId="2389"/>
    <cellStyle name="20% - 强调文字颜色 3 10 8" xfId="2390"/>
    <cellStyle name="20% - 强调文字颜色 3 10 9" xfId="2392"/>
    <cellStyle name="20% - 强调文字颜色 3 11" xfId="918"/>
    <cellStyle name="20% - 强调文字颜色 3 11 10" xfId="2394"/>
    <cellStyle name="20% - 强调文字颜色 3 11 2" xfId="535"/>
    <cellStyle name="20% - 强调文字颜色 3 11 2 2" xfId="2396"/>
    <cellStyle name="20% - 强调文字颜色 3 11 3" xfId="111"/>
    <cellStyle name="20% - 强调文字颜色 3 11 4" xfId="922"/>
    <cellStyle name="20% - 强调文字颜色 3 11 5" xfId="2397"/>
    <cellStyle name="20% - 强调文字颜色 3 11 6" xfId="2398"/>
    <cellStyle name="20% - 强调文字颜色 3 11 7" xfId="2399"/>
    <cellStyle name="20% - 强调文字颜色 3 11 8" xfId="2400"/>
    <cellStyle name="20% - 强调文字颜色 3 11 9" xfId="2402"/>
    <cellStyle name="20% - 强调文字颜色 3 12" xfId="926"/>
    <cellStyle name="20% - 强调文字颜色 3 12 10" xfId="2404"/>
    <cellStyle name="20% - 强调文字颜色 3 12 2" xfId="610"/>
    <cellStyle name="20% - 强调文字颜色 3 12 2 2" xfId="2406"/>
    <cellStyle name="20% - 强调文字颜色 3 12 3" xfId="618"/>
    <cellStyle name="20% - 强调文字颜色 3 12 4" xfId="2407"/>
    <cellStyle name="20% - 强调文字颜色 3 12 5" xfId="2408"/>
    <cellStyle name="20% - 强调文字颜色 3 12 6" xfId="2409"/>
    <cellStyle name="20% - 强调文字颜色 3 12 7" xfId="2410"/>
    <cellStyle name="20% - 强调文字颜色 3 12 8" xfId="2411"/>
    <cellStyle name="20% - 强调文字颜色 3 12 9" xfId="2412"/>
    <cellStyle name="20% - 强调文字颜色 3 13" xfId="930"/>
    <cellStyle name="20% - 强调文字颜色 3 13 10" xfId="2413"/>
    <cellStyle name="20% - 强调文字颜色 3 13 2" xfId="2415"/>
    <cellStyle name="20% - 强调文字颜色 3 13 2 2" xfId="2416"/>
    <cellStyle name="20% - 强调文字颜色 3 13 3" xfId="2418"/>
    <cellStyle name="20% - 强调文字颜色 3 13 4" xfId="2419"/>
    <cellStyle name="20% - 强调文字颜色 3 13 5" xfId="2420"/>
    <cellStyle name="20% - 强调文字颜色 3 13 6" xfId="2421"/>
    <cellStyle name="20% - 强调文字颜色 3 13 7" xfId="2427"/>
    <cellStyle name="20% - 强调文字颜色 3 13 8" xfId="2432"/>
    <cellStyle name="20% - 强调文字颜色 3 13 9" xfId="2433"/>
    <cellStyle name="20% - 强调文字颜色 3 14" xfId="932"/>
    <cellStyle name="20% - 强调文字颜色 3 14 10" xfId="2434"/>
    <cellStyle name="20% - 强调文字颜色 3 14 2" xfId="2436"/>
    <cellStyle name="20% - 强调文字颜色 3 14 2 2" xfId="2441"/>
    <cellStyle name="20% - 强调文字颜色 3 14 3" xfId="2446"/>
    <cellStyle name="20% - 强调文字颜色 3 14 4" xfId="2451"/>
    <cellStyle name="20% - 强调文字颜色 3 14 5" xfId="2456"/>
    <cellStyle name="20% - 强调文字颜色 3 14 6" xfId="2461"/>
    <cellStyle name="20% - 强调文字颜色 3 14 7" xfId="2467"/>
    <cellStyle name="20% - 强调文字颜色 3 14 8" xfId="2472"/>
    <cellStyle name="20% - 强调文字颜色 3 14 9" xfId="2477"/>
    <cellStyle name="20% - 强调文字颜色 3 15" xfId="2482"/>
    <cellStyle name="20% - 强调文字颜色 3 15 2" xfId="2487"/>
    <cellStyle name="20% - 强调文字颜色 3 15 3" xfId="2489"/>
    <cellStyle name="20% - 强调文字颜色 3 15 4" xfId="2491"/>
    <cellStyle name="20% - 强调文字颜色 3 15 5" xfId="2493"/>
    <cellStyle name="20% - 强调文字颜色 3 15 6" xfId="2495"/>
    <cellStyle name="20% - 强调文字颜色 3 15 7" xfId="2497"/>
    <cellStyle name="20% - 强调文字颜色 3 15 8" xfId="2499"/>
    <cellStyle name="20% - 强调文字颜色 3 15 9" xfId="2501"/>
    <cellStyle name="20% - 强调文字颜色 3 16" xfId="2504"/>
    <cellStyle name="20% - 强调文字颜色 3 16 2" xfId="2509"/>
    <cellStyle name="20% - 强调文字颜色 3 16 3" xfId="2511"/>
    <cellStyle name="20% - 强调文字颜色 3 16 4" xfId="2513"/>
    <cellStyle name="20% - 强调文字颜色 3 16 5" xfId="2515"/>
    <cellStyle name="20% - 强调文字颜色 3 16 6" xfId="2517"/>
    <cellStyle name="20% - 强调文字颜色 3 16 7" xfId="2519"/>
    <cellStyle name="20% - 强调文字颜色 3 16 8" xfId="2521"/>
    <cellStyle name="20% - 强调文字颜色 3 16 9" xfId="2523"/>
    <cellStyle name="20% - 强调文字颜色 3 17" xfId="2525"/>
    <cellStyle name="20% - 强调文字颜色 3 17 2" xfId="2530"/>
    <cellStyle name="20% - 强调文字颜色 3 17 3" xfId="2532"/>
    <cellStyle name="20% - 强调文字颜色 3 17 4" xfId="2534"/>
    <cellStyle name="20% - 强调文字颜色 3 17 5" xfId="2536"/>
    <cellStyle name="20% - 强调文字颜色 3 17 6" xfId="2538"/>
    <cellStyle name="20% - 强调文字颜色 3 17 7" xfId="2540"/>
    <cellStyle name="20% - 强调文字颜色 3 17 8" xfId="2542"/>
    <cellStyle name="20% - 强调文字颜色 3 17 9" xfId="2545"/>
    <cellStyle name="20% - 强调文字颜色 3 18" xfId="2547"/>
    <cellStyle name="20% - 强调文字颜色 3 18 2" xfId="2552"/>
    <cellStyle name="20% - 强调文字颜色 3 18 3" xfId="2554"/>
    <cellStyle name="20% - 强调文字颜色 3 18 4" xfId="2556"/>
    <cellStyle name="20% - 强调文字颜色 3 18 5" xfId="2558"/>
    <cellStyle name="20% - 强调文字颜色 3 18 6" xfId="1588"/>
    <cellStyle name="20% - 强调文字颜色 3 18 7" xfId="2560"/>
    <cellStyle name="20% - 强调文字颜色 3 18 8" xfId="2563"/>
    <cellStyle name="20% - 强调文字颜色 3 18 9" xfId="2567"/>
    <cellStyle name="20% - 强调文字颜色 3 19" xfId="2569"/>
    <cellStyle name="20% - 强调文字颜色 3 19 2" xfId="483"/>
    <cellStyle name="20% - 强调文字颜色 3 19 3" xfId="546"/>
    <cellStyle name="20% - 强调文字颜色 3 19 4" xfId="623"/>
    <cellStyle name="20% - 强调文字颜色 3 19 5" xfId="687"/>
    <cellStyle name="20% - 强调文字颜色 3 19 6" xfId="737"/>
    <cellStyle name="20% - 强调文字颜色 3 19 7" xfId="936"/>
    <cellStyle name="20% - 强调文字颜色 3 19 8" xfId="992"/>
    <cellStyle name="20% - 强调文字颜色 3 19 9" xfId="1056"/>
    <cellStyle name="20% - 强调文字颜色 3 2" xfId="2575"/>
    <cellStyle name="20% - 强调文字颜色 3 2 10" xfId="2576"/>
    <cellStyle name="20% - 强调文字颜色 3 2 11" xfId="2577"/>
    <cellStyle name="20% - 强调文字颜色 3 2 12" xfId="2578"/>
    <cellStyle name="20% - 强调文字颜色 3 2 13" xfId="2579"/>
    <cellStyle name="20% - 强调文字颜色 3 2 14" xfId="2580"/>
    <cellStyle name="20% - 强调文字颜色 3 2 15" xfId="2581"/>
    <cellStyle name="20% - 强调文字颜色 3 2 16" xfId="2582"/>
    <cellStyle name="20% - 强调文字颜色 3 2 17" xfId="2583"/>
    <cellStyle name="20% - 强调文字颜色 3 2 18" xfId="2180"/>
    <cellStyle name="20% - 强调文字颜色 3 2 19" xfId="2182"/>
    <cellStyle name="20% - 强调文字颜色 3 2 2" xfId="2585"/>
    <cellStyle name="20% - 强调文字颜色 3 2 2 2" xfId="2587"/>
    <cellStyle name="20% - 强调文字颜色 3 2 2 2 2" xfId="2590"/>
    <cellStyle name="20% - 强调文字颜色 3 2 2 2 2 2" xfId="2246"/>
    <cellStyle name="20% - 强调文字颜色 3 2 2 2 2 3" xfId="2341"/>
    <cellStyle name="20% - 强调文字颜色 3 2 2 2 3" xfId="2591"/>
    <cellStyle name="20% - 强调文字颜色 3 2 2 2 4" xfId="2592"/>
    <cellStyle name="20% - 强调文字颜色 3 2 2 2 5" xfId="2597"/>
    <cellStyle name="20% - 强调文字颜色 3 2 2 2 6" xfId="2603"/>
    <cellStyle name="20% - 强调文字颜色 3 2 2 2 7" xfId="2609"/>
    <cellStyle name="20% - 强调文字颜色 3 2 2 2 8" xfId="2610"/>
    <cellStyle name="20% - 强调文字颜色 3 2 2 3" xfId="2611"/>
    <cellStyle name="20% - 强调文字颜色 3 2 2 3 2" xfId="2616"/>
    <cellStyle name="20% - 强调文字颜色 3 2 2 3 2 2" xfId="2617"/>
    <cellStyle name="20% - 强调文字颜色 3 2 2 3 2 3" xfId="2618"/>
    <cellStyle name="20% - 强调文字颜色 3 2 2 3 3" xfId="2620"/>
    <cellStyle name="20% - 强调文字颜色 3 2 2 3 4" xfId="2621"/>
    <cellStyle name="20% - 强调文字颜色 3 2 2 4" xfId="2627"/>
    <cellStyle name="20% - 强调文字颜色 3 2 2 4 2" xfId="2632"/>
    <cellStyle name="20% - 强调文字颜色 3 2 2 4 2 2" xfId="2634"/>
    <cellStyle name="20% - 强调文字颜色 3 2 2 4 2 3" xfId="2635"/>
    <cellStyle name="20% - 强调文字颜色 3 2 2 4 3" xfId="2637"/>
    <cellStyle name="20% - 强调文字颜色 3 2 2 4 4" xfId="2639"/>
    <cellStyle name="20% - 强调文字颜色 3 2 2 5" xfId="2641"/>
    <cellStyle name="20% - 强调文字颜色 3 2 2 5 2" xfId="2647"/>
    <cellStyle name="20% - 强调文字颜色 3 2 2 5 3" xfId="2651"/>
    <cellStyle name="20% - 强调文字颜色 3 2 2 6" xfId="2657"/>
    <cellStyle name="20% - 强调文字颜色 3 2 2 7" xfId="2662"/>
    <cellStyle name="20% - 强调文字颜色 3 2 3" xfId="2667"/>
    <cellStyle name="20% - 强调文字颜色 3 2 3 2" xfId="2670"/>
    <cellStyle name="20% - 强调文字颜色 3 2 3 2 2" xfId="846"/>
    <cellStyle name="20% - 强调文字颜色 3 2 3 2 3" xfId="858"/>
    <cellStyle name="20% - 强调文字颜色 3 2 3 3" xfId="2673"/>
    <cellStyle name="20% - 强调文字颜色 3 2 3 4" xfId="2678"/>
    <cellStyle name="20% - 强调文字颜色 3 2 3 5" xfId="2683"/>
    <cellStyle name="20% - 强调文字颜色 3 2 4" xfId="2688"/>
    <cellStyle name="20% - 强调文字颜色 3 2 4 2" xfId="2690"/>
    <cellStyle name="20% - 强调文字颜色 3 2 4 2 2" xfId="2694"/>
    <cellStyle name="20% - 强调文字颜色 3 2 4 2 3" xfId="2696"/>
    <cellStyle name="20% - 强调文字颜色 3 2 4 3" xfId="2698"/>
    <cellStyle name="20% - 强调文字颜色 3 2 4 4" xfId="2704"/>
    <cellStyle name="20% - 强调文字颜色 3 2 5" xfId="2710"/>
    <cellStyle name="20% - 强调文字颜色 3 2 5 2" xfId="2711"/>
    <cellStyle name="20% - 强调文字颜色 3 2 5 3" xfId="2715"/>
    <cellStyle name="20% - 强调文字颜色 3 2 6" xfId="2721"/>
    <cellStyle name="20% - 强调文字颜色 3 2 6 2" xfId="2722"/>
    <cellStyle name="20% - 强调文字颜色 3 2 6 3" xfId="2726"/>
    <cellStyle name="20% - 强调文字颜色 3 2 6 4" xfId="2731"/>
    <cellStyle name="20% - 强调文字颜色 3 2 7" xfId="2736"/>
    <cellStyle name="20% - 强调文字颜色 3 2 7 2" xfId="2737"/>
    <cellStyle name="20% - 强调文字颜色 3 2 7 3" xfId="2742"/>
    <cellStyle name="20% - 强调文字颜色 3 2 8" xfId="2633"/>
    <cellStyle name="20% - 强调文字颜色 3 2 9" xfId="2638"/>
    <cellStyle name="20% - 强调文字颜色 3 20" xfId="2483"/>
    <cellStyle name="20% - 强调文字颜色 3 20 2" xfId="2488"/>
    <cellStyle name="20% - 强调文字颜色 3 20 3" xfId="2490"/>
    <cellStyle name="20% - 强调文字颜色 3 20 4" xfId="2492"/>
    <cellStyle name="20% - 强调文字颜色 3 20 5" xfId="2494"/>
    <cellStyle name="20% - 强调文字颜色 3 20 6" xfId="2496"/>
    <cellStyle name="20% - 强调文字颜色 3 20 7" xfId="2498"/>
    <cellStyle name="20% - 强调文字颜色 3 20 8" xfId="2500"/>
    <cellStyle name="20% - 强调文字颜色 3 20 9" xfId="2502"/>
    <cellStyle name="20% - 强调文字颜色 3 21" xfId="2505"/>
    <cellStyle name="20% - 强调文字颜色 3 21 2" xfId="2510"/>
    <cellStyle name="20% - 强调文字颜色 3 21 3" xfId="2512"/>
    <cellStyle name="20% - 强调文字颜色 3 21 4" xfId="2514"/>
    <cellStyle name="20% - 强调文字颜色 3 21 5" xfId="2516"/>
    <cellStyle name="20% - 强调文字颜色 3 21 6" xfId="2518"/>
    <cellStyle name="20% - 强调文字颜色 3 21 7" xfId="2520"/>
    <cellStyle name="20% - 强调文字颜色 3 21 8" xfId="2522"/>
    <cellStyle name="20% - 强调文字颜色 3 21 9" xfId="2524"/>
    <cellStyle name="20% - 强调文字颜色 3 22" xfId="2526"/>
    <cellStyle name="20% - 强调文字颜色 3 22 2" xfId="2531"/>
    <cellStyle name="20% - 强调文字颜色 3 22 3" xfId="2533"/>
    <cellStyle name="20% - 强调文字颜色 3 22 4" xfId="2535"/>
    <cellStyle name="20% - 强调文字颜色 3 22 5" xfId="2537"/>
    <cellStyle name="20% - 强调文字颜色 3 22 6" xfId="2539"/>
    <cellStyle name="20% - 强调文字颜色 3 22 7" xfId="2541"/>
    <cellStyle name="20% - 强调文字颜色 3 22 8" xfId="2543"/>
    <cellStyle name="20% - 强调文字颜色 3 22 9" xfId="2546"/>
    <cellStyle name="20% - 强调文字颜色 3 23" xfId="2548"/>
    <cellStyle name="20% - 强调文字颜色 3 23 2" xfId="2553"/>
    <cellStyle name="20% - 强调文字颜色 3 23 3" xfId="2555"/>
    <cellStyle name="20% - 强调文字颜色 3 23 4" xfId="2557"/>
    <cellStyle name="20% - 强调文字颜色 3 23 5" xfId="2559"/>
    <cellStyle name="20% - 强调文字颜色 3 23 6" xfId="1589"/>
    <cellStyle name="20% - 强调文字颜色 3 23 7" xfId="2561"/>
    <cellStyle name="20% - 强调文字颜色 3 23 8" xfId="2564"/>
    <cellStyle name="20% - 强调文字颜色 3 23 9" xfId="2568"/>
    <cellStyle name="20% - 强调文字颜色 3 24" xfId="2570"/>
    <cellStyle name="20% - 强调文字颜色 3 24 2" xfId="484"/>
    <cellStyle name="20% - 强调文字颜色 3 24 3" xfId="547"/>
    <cellStyle name="20% - 强调文字颜色 3 24 4" xfId="624"/>
    <cellStyle name="20% - 强调文字颜色 3 24 5" xfId="688"/>
    <cellStyle name="20% - 强调文字颜色 3 24 6" xfId="738"/>
    <cellStyle name="20% - 强调文字颜色 3 24 7" xfId="937"/>
    <cellStyle name="20% - 强调文字颜色 3 24 8" xfId="993"/>
    <cellStyle name="20% - 强调文字颜色 3 24 9" xfId="1057"/>
    <cellStyle name="20% - 强调文字颜色 3 25" xfId="2747"/>
    <cellStyle name="20% - 强调文字颜色 3 25 2" xfId="2753"/>
    <cellStyle name="20% - 强调文字颜色 3 25 3" xfId="2755"/>
    <cellStyle name="20% - 强调文字颜色 3 25 4" xfId="2760"/>
    <cellStyle name="20% - 强调文字颜色 3 25 5" xfId="2766"/>
    <cellStyle name="20% - 强调文字颜色 3 25 6" xfId="2771"/>
    <cellStyle name="20% - 强调文字颜色 3 25 7" xfId="2776"/>
    <cellStyle name="20% - 强调文字颜色 3 25 8" xfId="2778"/>
    <cellStyle name="20% - 强调文字颜色 3 25 9" xfId="2780"/>
    <cellStyle name="20% - 强调文字颜色 3 26" xfId="2782"/>
    <cellStyle name="20% - 强调文字颜色 3 26 2" xfId="2790"/>
    <cellStyle name="20% - 强调文字颜色 3 26 3" xfId="2792"/>
    <cellStyle name="20% - 强调文字颜色 3 26 4" xfId="2798"/>
    <cellStyle name="20% - 强调文字颜色 3 26 5" xfId="2804"/>
    <cellStyle name="20% - 强调文字颜色 3 26 6" xfId="2809"/>
    <cellStyle name="20% - 强调文字颜色 3 26 7" xfId="2811"/>
    <cellStyle name="20% - 强调文字颜色 3 26 8" xfId="2813"/>
    <cellStyle name="20% - 强调文字颜色 3 26 9" xfId="2816"/>
    <cellStyle name="20% - 强调文字颜色 3 27" xfId="2819"/>
    <cellStyle name="20% - 强调文字颜色 3 27 2" xfId="2825"/>
    <cellStyle name="20% - 强调文字颜色 3 27 3" xfId="2829"/>
    <cellStyle name="20% - 强调文字颜色 3 27 4" xfId="2837"/>
    <cellStyle name="20% - 强调文字颜色 3 27 5" xfId="2845"/>
    <cellStyle name="20% - 强调文字颜色 3 27 6" xfId="2849"/>
    <cellStyle name="20% - 强调文字颜色 3 27 7" xfId="2853"/>
    <cellStyle name="20% - 强调文字颜色 3 27 8" xfId="2857"/>
    <cellStyle name="20% - 强调文字颜色 3 27 9" xfId="2861"/>
    <cellStyle name="20% - 强调文字颜色 3 28" xfId="2866"/>
    <cellStyle name="20% - 强调文字颜色 3 28 2" xfId="2868"/>
    <cellStyle name="20% - 强调文字颜色 3 28 3" xfId="2870"/>
    <cellStyle name="20% - 强调文字颜色 3 28 4" xfId="2875"/>
    <cellStyle name="20% - 强调文字颜色 3 28 5" xfId="2880"/>
    <cellStyle name="20% - 强调文字颜色 3 28 6" xfId="2885"/>
    <cellStyle name="20% - 强调文字颜色 3 28 7" xfId="2887"/>
    <cellStyle name="20% - 强调文字颜色 3 28 8" xfId="2889"/>
    <cellStyle name="20% - 强调文字颜色 3 28 9" xfId="2891"/>
    <cellStyle name="20% - 强调文字颜色 3 29" xfId="2895"/>
    <cellStyle name="20% - 强调文字颜色 3 29 2" xfId="1766"/>
    <cellStyle name="20% - 强调文字颜色 3 29 3" xfId="1794"/>
    <cellStyle name="20% - 强调文字颜色 3 29 4" xfId="1824"/>
    <cellStyle name="20% - 强调文字颜色 3 29 5" xfId="1856"/>
    <cellStyle name="20% - 强调文字颜色 3 29 6" xfId="1878"/>
    <cellStyle name="20% - 强调文字颜色 3 29 7" xfId="2026"/>
    <cellStyle name="20% - 强调文字颜色 3 29 8" xfId="2055"/>
    <cellStyle name="20% - 强调文字颜色 3 29 9" xfId="2083"/>
    <cellStyle name="20% - 强调文字颜色 3 3" xfId="2897"/>
    <cellStyle name="20% - 强调文字颜色 3 3 10" xfId="2899"/>
    <cellStyle name="20% - 强调文字颜色 3 3 11" xfId="2900"/>
    <cellStyle name="20% - 强调文字颜色 3 3 12" xfId="2901"/>
    <cellStyle name="20% - 强调文字颜色 3 3 13" xfId="242"/>
    <cellStyle name="20% - 强调文字颜色 3 3 14" xfId="2902"/>
    <cellStyle name="20% - 强调文字颜色 3 3 15" xfId="2905"/>
    <cellStyle name="20% - 强调文字颜色 3 3 16" xfId="2908"/>
    <cellStyle name="20% - 强调文字颜色 3 3 2" xfId="2910"/>
    <cellStyle name="20% - 强调文字颜色 3 3 2 2" xfId="2914"/>
    <cellStyle name="20% - 强调文字颜色 3 3 2 2 2" xfId="2916"/>
    <cellStyle name="20% - 强调文字颜色 3 3 2 3" xfId="2918"/>
    <cellStyle name="20% - 强调文字颜色 3 3 2 4" xfId="2920"/>
    <cellStyle name="20% - 强调文字颜色 3 3 3" xfId="2922"/>
    <cellStyle name="20% - 强调文字颜色 3 3 3 2" xfId="2930"/>
    <cellStyle name="20% - 强调文字颜色 3 3 3 3" xfId="2932"/>
    <cellStyle name="20% - 强调文字颜色 3 3 3 4" xfId="2934"/>
    <cellStyle name="20% - 强调文字颜色 3 3 4" xfId="2936"/>
    <cellStyle name="20% - 强调文字颜色 3 3 5" xfId="2939"/>
    <cellStyle name="20% - 强调文字颜色 3 3 6" xfId="2942"/>
    <cellStyle name="20% - 强调文字颜色 3 3 6 2" xfId="2945"/>
    <cellStyle name="20% - 强调文字颜色 3 3 6 3" xfId="2952"/>
    <cellStyle name="20% - 强调文字颜色 3 3 6 4" xfId="2959"/>
    <cellStyle name="20% - 强调文字颜色 3 3 7" xfId="2966"/>
    <cellStyle name="20% - 强调文字颜色 3 3 8" xfId="2648"/>
    <cellStyle name="20% - 强调文字颜色 3 3 9" xfId="2652"/>
    <cellStyle name="20% - 强调文字颜色 3 30" xfId="2748"/>
    <cellStyle name="20% - 强调文字颜色 3 30 2" xfId="2754"/>
    <cellStyle name="20% - 强调文字颜色 3 30 3" xfId="2756"/>
    <cellStyle name="20% - 强调文字颜色 3 30 4" xfId="2761"/>
    <cellStyle name="20% - 强调文字颜色 3 30 5" xfId="2767"/>
    <cellStyle name="20% - 强调文字颜色 3 30 6" xfId="2772"/>
    <cellStyle name="20% - 强调文字颜色 3 30 7" xfId="2777"/>
    <cellStyle name="20% - 强调文字颜色 3 30 8" xfId="2779"/>
    <cellStyle name="20% - 强调文字颜色 3 30 9" xfId="2781"/>
    <cellStyle name="20% - 强调文字颜色 3 31" xfId="2783"/>
    <cellStyle name="20% - 强调文字颜色 3 31 2" xfId="2791"/>
    <cellStyle name="20% - 强调文字颜色 3 31 3" xfId="2793"/>
    <cellStyle name="20% - 强调文字颜色 3 31 4" xfId="2799"/>
    <cellStyle name="20% - 强调文字颜色 3 31 5" xfId="2805"/>
    <cellStyle name="20% - 强调文字颜色 3 31 6" xfId="2810"/>
    <cellStyle name="20% - 强调文字颜色 3 31 7" xfId="2812"/>
    <cellStyle name="20% - 强调文字颜色 3 31 8" xfId="2814"/>
    <cellStyle name="20% - 强调文字颜色 3 31 9" xfId="2817"/>
    <cellStyle name="20% - 强调文字颜色 3 32" xfId="2820"/>
    <cellStyle name="20% - 强调文字颜色 3 32 2" xfId="2826"/>
    <cellStyle name="20% - 强调文字颜色 3 32 3" xfId="2830"/>
    <cellStyle name="20% - 强调文字颜色 3 32 4" xfId="2838"/>
    <cellStyle name="20% - 强调文字颜色 3 32 5" xfId="2846"/>
    <cellStyle name="20% - 强调文字颜色 3 32 6" xfId="2850"/>
    <cellStyle name="20% - 强调文字颜色 3 32 7" xfId="2854"/>
    <cellStyle name="20% - 强调文字颜色 3 32 8" xfId="2858"/>
    <cellStyle name="20% - 强调文字颜色 3 32 9" xfId="2862"/>
    <cellStyle name="20% - 强调文字颜色 3 33" xfId="2867"/>
    <cellStyle name="20% - 强调文字颜色 3 33 2" xfId="2869"/>
    <cellStyle name="20% - 强调文字颜色 3 33 3" xfId="2871"/>
    <cellStyle name="20% - 强调文字颜色 3 33 4" xfId="2876"/>
    <cellStyle name="20% - 强调文字颜色 3 33 5" xfId="2881"/>
    <cellStyle name="20% - 强调文字颜色 3 33 6" xfId="2886"/>
    <cellStyle name="20% - 强调文字颜色 3 33 7" xfId="2888"/>
    <cellStyle name="20% - 强调文字颜色 3 33 8" xfId="2890"/>
    <cellStyle name="20% - 强调文字颜色 3 33 9" xfId="2892"/>
    <cellStyle name="20% - 强调文字颜色 3 34" xfId="2896"/>
    <cellStyle name="20% - 强调文字颜色 3 34 2" xfId="1767"/>
    <cellStyle name="20% - 强调文字颜色 3 34 3" xfId="1795"/>
    <cellStyle name="20% - 强调文字颜色 3 34 4" xfId="1825"/>
    <cellStyle name="20% - 强调文字颜色 3 34 5" xfId="1857"/>
    <cellStyle name="20% - 强调文字颜色 3 34 6" xfId="1879"/>
    <cellStyle name="20% - 强调文字颜色 3 34 7" xfId="2027"/>
    <cellStyle name="20% - 强调文字颜色 3 34 8" xfId="2056"/>
    <cellStyle name="20% - 强调文字颜色 3 34 9" xfId="2084"/>
    <cellStyle name="20% - 强调文字颜色 3 35" xfId="2969"/>
    <cellStyle name="20% - 强调文字颜色 3 35 2" xfId="2971"/>
    <cellStyle name="20% - 强调文字颜色 3 35 3" xfId="2973"/>
    <cellStyle name="20% - 强调文字颜色 3 35 4" xfId="2975"/>
    <cellStyle name="20% - 强调文字颜色 3 35 5" xfId="2977"/>
    <cellStyle name="20% - 强调文字颜色 3 35 6" xfId="2979"/>
    <cellStyle name="20% - 强调文字颜色 3 35 7" xfId="2981"/>
    <cellStyle name="20% - 强调文字颜色 3 35 8" xfId="2983"/>
    <cellStyle name="20% - 强调文字颜色 3 35 9" xfId="2985"/>
    <cellStyle name="20% - 强调文字颜色 3 36" xfId="2987"/>
    <cellStyle name="20% - 强调文字颜色 3 36 2" xfId="2989"/>
    <cellStyle name="20% - 强调文字颜色 3 36 3" xfId="2991"/>
    <cellStyle name="20% - 强调文字颜色 3 36 4" xfId="2993"/>
    <cellStyle name="20% - 强调文字颜色 3 36 5" xfId="2995"/>
    <cellStyle name="20% - 强调文字颜色 3 36 6" xfId="2997"/>
    <cellStyle name="20% - 强调文字颜色 3 36 7" xfId="2999"/>
    <cellStyle name="20% - 强调文字颜色 3 36 8" xfId="3001"/>
    <cellStyle name="20% - 强调文字颜色 3 36 9" xfId="3003"/>
    <cellStyle name="20% - 强调文字颜色 3 37" xfId="3005"/>
    <cellStyle name="20% - 强调文字颜色 3 37 2" xfId="3008"/>
    <cellStyle name="20% - 强调文字颜色 3 37 3" xfId="3011"/>
    <cellStyle name="20% - 强调文字颜色 3 37 4" xfId="3015"/>
    <cellStyle name="20% - 强调文字颜色 3 37 5" xfId="3018"/>
    <cellStyle name="20% - 强调文字颜色 3 37 6" xfId="3019"/>
    <cellStyle name="20% - 强调文字颜色 3 37 7" xfId="3020"/>
    <cellStyle name="20% - 强调文字颜色 3 37 8" xfId="3021"/>
    <cellStyle name="20% - 强调文字颜色 3 37 9" xfId="3022"/>
    <cellStyle name="20% - 强调文字颜色 3 38" xfId="3023"/>
    <cellStyle name="20% - 强调文字颜色 3 38 2" xfId="3026"/>
    <cellStyle name="20% - 强调文字颜色 3 38 3" xfId="3028"/>
    <cellStyle name="20% - 强调文字颜色 3 38 4" xfId="3030"/>
    <cellStyle name="20% - 强调文字颜色 3 38 5" xfId="3032"/>
    <cellStyle name="20% - 强调文字颜色 3 38 6" xfId="3033"/>
    <cellStyle name="20% - 强调文字颜色 3 38 7" xfId="3035"/>
    <cellStyle name="20% - 强调文字颜色 3 38 8" xfId="3036"/>
    <cellStyle name="20% - 强调文字颜色 3 38 9" xfId="3037"/>
    <cellStyle name="20% - 强调文字颜色 3 39" xfId="3038"/>
    <cellStyle name="20% - 强调文字颜色 3 39 2" xfId="2484"/>
    <cellStyle name="20% - 强调文字颜色 3 39 3" xfId="2506"/>
    <cellStyle name="20% - 强调文字颜色 3 39 4" xfId="2527"/>
    <cellStyle name="20% - 强调文字颜色 3 39 5" xfId="2549"/>
    <cellStyle name="20% - 强调文字颜色 3 39 6" xfId="2571"/>
    <cellStyle name="20% - 强调文字颜色 3 39 7" xfId="2749"/>
    <cellStyle name="20% - 强调文字颜色 3 39 8" xfId="2784"/>
    <cellStyle name="20% - 强调文字颜色 3 39 9" xfId="2821"/>
    <cellStyle name="20% - 强调文字颜色 3 4" xfId="3041"/>
    <cellStyle name="20% - 强调文字颜色 3 4 10" xfId="3046"/>
    <cellStyle name="20% - 强调文字颜色 3 4 11" xfId="3048"/>
    <cellStyle name="20% - 强调文字颜色 3 4 12" xfId="3050"/>
    <cellStyle name="20% - 强调文字颜色 3 4 13" xfId="3051"/>
    <cellStyle name="20% - 强调文字颜色 3 4 2" xfId="3052"/>
    <cellStyle name="20% - 强调文字颜色 3 4 2 2" xfId="3054"/>
    <cellStyle name="20% - 强调文字颜色 3 4 2 3" xfId="3058"/>
    <cellStyle name="20% - 强调文字颜色 3 4 2 4" xfId="3062"/>
    <cellStyle name="20% - 强调文字颜色 3 4 3" xfId="3067"/>
    <cellStyle name="20% - 强调文字颜色 3 4 3 2" xfId="3070"/>
    <cellStyle name="20% - 强调文字颜色 3 4 3 3" xfId="3073"/>
    <cellStyle name="20% - 强调文字颜色 3 4 3 4" xfId="3076"/>
    <cellStyle name="20% - 强调文字颜色 3 4 4" xfId="3080"/>
    <cellStyle name="20% - 强调文字颜色 3 4 5" xfId="3084"/>
    <cellStyle name="20% - 强调文字颜色 3 4 6" xfId="3087"/>
    <cellStyle name="20% - 强调文字颜色 3 4 7" xfId="3090"/>
    <cellStyle name="20% - 强调文字颜色 3 4 8" xfId="3093"/>
    <cellStyle name="20% - 强调文字颜色 3 4 9" xfId="3094"/>
    <cellStyle name="20% - 强调文字颜色 3 40" xfId="2970"/>
    <cellStyle name="20% - 强调文字颜色 3 40 2" xfId="2972"/>
    <cellStyle name="20% - 强调文字颜色 3 40 3" xfId="2974"/>
    <cellStyle name="20% - 强调文字颜色 3 40 4" xfId="2976"/>
    <cellStyle name="20% - 强调文字颜色 3 40 5" xfId="2978"/>
    <cellStyle name="20% - 强调文字颜色 3 40 6" xfId="2980"/>
    <cellStyle name="20% - 强调文字颜色 3 40 7" xfId="2982"/>
    <cellStyle name="20% - 强调文字颜色 3 40 8" xfId="2984"/>
    <cellStyle name="20% - 强调文字颜色 3 40 9" xfId="2986"/>
    <cellStyle name="20% - 强调文字颜色 3 41" xfId="2988"/>
    <cellStyle name="20% - 强调文字颜色 3 41 2" xfId="2990"/>
    <cellStyle name="20% - 强调文字颜色 3 41 3" xfId="2992"/>
    <cellStyle name="20% - 强调文字颜色 3 41 4" xfId="2994"/>
    <cellStyle name="20% - 强调文字颜色 3 41 5" xfId="2996"/>
    <cellStyle name="20% - 强调文字颜色 3 41 6" xfId="2998"/>
    <cellStyle name="20% - 强调文字颜色 3 41 7" xfId="3000"/>
    <cellStyle name="20% - 强调文字颜色 3 41 8" xfId="3002"/>
    <cellStyle name="20% - 强调文字颜色 3 41 9" xfId="3004"/>
    <cellStyle name="20% - 强调文字颜色 3 42" xfId="3006"/>
    <cellStyle name="20% - 强调文字颜色 3 42 2" xfId="3009"/>
    <cellStyle name="20% - 强调文字颜色 3 43" xfId="3024"/>
    <cellStyle name="20% - 强调文字颜色 3 44" xfId="3039"/>
    <cellStyle name="20% - 强调文字颜色 3 45" xfId="3096"/>
    <cellStyle name="20% - 强调文字颜色 3 46" xfId="3099"/>
    <cellStyle name="20% - 强调文字颜色 3 47" xfId="1155"/>
    <cellStyle name="20% - 强调文字颜色 3 48" xfId="1165"/>
    <cellStyle name="20% - 强调文字颜色 3 49" xfId="1173"/>
    <cellStyle name="20% - 强调文字颜色 3 5" xfId="3102"/>
    <cellStyle name="20% - 强调文字颜色 3 5 10" xfId="3104"/>
    <cellStyle name="20% - 强调文字颜色 3 5 11" xfId="3105"/>
    <cellStyle name="20% - 强调文字颜色 3 5 12" xfId="3107"/>
    <cellStyle name="20% - 强调文字颜色 3 5 13" xfId="1902"/>
    <cellStyle name="20% - 强调文字颜色 3 5 2" xfId="3108"/>
    <cellStyle name="20% - 强调文字颜色 3 5 2 2" xfId="2818"/>
    <cellStyle name="20% - 强调文字颜色 3 5 2 3" xfId="3109"/>
    <cellStyle name="20% - 强调文字颜色 3 5 2 4" xfId="3111"/>
    <cellStyle name="20% - 强调文字颜色 3 5 3" xfId="3112"/>
    <cellStyle name="20% - 强调文字颜色 3 5 3 2" xfId="2863"/>
    <cellStyle name="20% - 强调文字颜色 3 5 3 3" xfId="3115"/>
    <cellStyle name="20% - 强调文字颜色 3 5 3 4" xfId="3121"/>
    <cellStyle name="20% - 强调文字颜色 3 5 4" xfId="3126"/>
    <cellStyle name="20% - 强调文字颜色 3 5 5" xfId="3130"/>
    <cellStyle name="20% - 强调文字颜色 3 5 6" xfId="3134"/>
    <cellStyle name="20% - 强调文字颜色 3 5 7" xfId="3137"/>
    <cellStyle name="20% - 强调文字颜色 3 5 8" xfId="3138"/>
    <cellStyle name="20% - 强调文字颜色 3 5 9" xfId="3139"/>
    <cellStyle name="20% - 强调文字颜色 3 50" xfId="3097"/>
    <cellStyle name="20% - 强调文字颜色 3 51" xfId="3100"/>
    <cellStyle name="20% - 强调文字颜色 3 52" xfId="1156"/>
    <cellStyle name="20% - 强调文字颜色 3 53" xfId="1166"/>
    <cellStyle name="20% - 强调文字颜色 3 54" xfId="1174"/>
    <cellStyle name="20% - 强调文字颜色 3 55" xfId="1178"/>
    <cellStyle name="20% - 强调文字颜色 3 56" xfId="1183"/>
    <cellStyle name="20% - 强调文字颜色 3 57" xfId="1191"/>
    <cellStyle name="20% - 强调文字颜色 3 58" xfId="1194"/>
    <cellStyle name="20% - 强调文字颜色 3 59" xfId="85"/>
    <cellStyle name="20% - 强调文字颜色 3 6" xfId="3141"/>
    <cellStyle name="20% - 强调文字颜色 3 6 10" xfId="3116"/>
    <cellStyle name="20% - 强调文字颜色 3 6 11" xfId="3122"/>
    <cellStyle name="20% - 强调文字颜色 3 6 12" xfId="3143"/>
    <cellStyle name="20% - 强调文字颜色 3 6 2" xfId="3146"/>
    <cellStyle name="20% - 强调文字颜色 3 6 2 2" xfId="2158"/>
    <cellStyle name="20% - 强调文字颜色 3 6 3" xfId="3149"/>
    <cellStyle name="20% - 强调文字颜色 3 6 4" xfId="3153"/>
    <cellStyle name="20% - 强调文字颜色 3 6 5" xfId="3157"/>
    <cellStyle name="20% - 强调文字颜色 3 6 6" xfId="3161"/>
    <cellStyle name="20% - 强调文字颜色 3 6 7" xfId="3162"/>
    <cellStyle name="20% - 强调文字颜色 3 6 8" xfId="3163"/>
    <cellStyle name="20% - 强调文字颜色 3 6 9" xfId="3164"/>
    <cellStyle name="20% - 强调文字颜色 3 60" xfId="1179"/>
    <cellStyle name="20% - 强调文字颜色 3 61" xfId="1184"/>
    <cellStyle name="20% - 强调文字颜色 3 7" xfId="3166"/>
    <cellStyle name="20% - 强调文字颜色 3 7 10" xfId="3168"/>
    <cellStyle name="20% - 强调文字颜色 3 7 11" xfId="3169"/>
    <cellStyle name="20% - 强调文字颜色 3 7 12" xfId="3170"/>
    <cellStyle name="20% - 强调文字颜色 3 7 2" xfId="3171"/>
    <cellStyle name="20% - 强调文字颜色 3 7 2 2" xfId="3172"/>
    <cellStyle name="20% - 强调文字颜色 3 7 3" xfId="3173"/>
    <cellStyle name="20% - 强调文字颜色 3 7 4" xfId="3176"/>
    <cellStyle name="20% - 强调文字颜色 3 7 5" xfId="3180"/>
    <cellStyle name="20% - 强调文字颜色 3 7 6" xfId="3182"/>
    <cellStyle name="20% - 强调文字颜色 3 7 7" xfId="3184"/>
    <cellStyle name="20% - 强调文字颜色 3 7 8" xfId="3185"/>
    <cellStyle name="20% - 强调文字颜色 3 7 9" xfId="3186"/>
    <cellStyle name="20% - 强调文字颜色 3 8" xfId="3188"/>
    <cellStyle name="20% - 强调文字颜色 3 8 10" xfId="3189"/>
    <cellStyle name="20% - 强调文字颜色 3 8 11" xfId="3190"/>
    <cellStyle name="20% - 强调文字颜色 3 8 12" xfId="3192"/>
    <cellStyle name="20% - 强调文字颜色 3 8 2" xfId="3194"/>
    <cellStyle name="20% - 强调文字颜色 3 8 2 2" xfId="3195"/>
    <cellStyle name="20% - 强调文字颜色 3 8 3" xfId="3197"/>
    <cellStyle name="20% - 强调文字颜色 3 8 4" xfId="3198"/>
    <cellStyle name="20% - 强调文字颜色 3 8 5" xfId="3201"/>
    <cellStyle name="20% - 强调文字颜色 3 8 6" xfId="3203"/>
    <cellStyle name="20% - 强调文字颜色 3 8 7" xfId="3204"/>
    <cellStyle name="20% - 强调文字颜色 3 8 8" xfId="3205"/>
    <cellStyle name="20% - 强调文字颜色 3 8 9" xfId="3206"/>
    <cellStyle name="20% - 强调文字颜色 3 9" xfId="1954"/>
    <cellStyle name="20% - 强调文字颜色 3 9 10" xfId="3208"/>
    <cellStyle name="20% - 强调文字颜色 3 9 2" xfId="1956"/>
    <cellStyle name="20% - 强调文字颜色 3 9 2 2" xfId="3210"/>
    <cellStyle name="20% - 强调文字颜色 3 9 3" xfId="1960"/>
    <cellStyle name="20% - 强调文字颜色 3 9 4" xfId="3213"/>
    <cellStyle name="20% - 强调文字颜色 3 9 5" xfId="3214"/>
    <cellStyle name="20% - 强调文字颜色 3 9 6" xfId="3215"/>
    <cellStyle name="20% - 强调文字颜色 3 9 7" xfId="3216"/>
    <cellStyle name="20% - 强调文字颜色 3 9 8" xfId="3217"/>
    <cellStyle name="20% - 强调文字颜色 3 9 9" xfId="3218"/>
    <cellStyle name="20% - 强调文字颜色 4 10" xfId="1532"/>
    <cellStyle name="20% - 强调文字颜色 4 10 10" xfId="3219"/>
    <cellStyle name="20% - 强调文字颜色 4 10 2" xfId="3221"/>
    <cellStyle name="20% - 强调文字颜色 4 10 2 2" xfId="3222"/>
    <cellStyle name="20% - 强调文字颜色 4 10 3" xfId="3223"/>
    <cellStyle name="20% - 强调文字颜色 4 10 4" xfId="3224"/>
    <cellStyle name="20% - 强调文字颜色 4 10 5" xfId="2915"/>
    <cellStyle name="20% - 强调文字颜色 4 10 6" xfId="2919"/>
    <cellStyle name="20% - 强调文字颜色 4 10 7" xfId="2921"/>
    <cellStyle name="20% - 强调文字颜色 4 10 8" xfId="3228"/>
    <cellStyle name="20% - 强调文字颜色 4 10 9" xfId="3229"/>
    <cellStyle name="20% - 强调文字颜色 4 11" xfId="1534"/>
    <cellStyle name="20% - 强调文字颜色 4 11 10" xfId="3230"/>
    <cellStyle name="20% - 强调文字颜色 4 11 2" xfId="3231"/>
    <cellStyle name="20% - 强调文字颜色 4 11 2 2" xfId="3232"/>
    <cellStyle name="20% - 强调文字颜色 4 11 3" xfId="3236"/>
    <cellStyle name="20% - 强调文字颜色 4 11 4" xfId="3237"/>
    <cellStyle name="20% - 强调文字颜色 4 11 5" xfId="2931"/>
    <cellStyle name="20% - 强调文字颜色 4 11 6" xfId="2933"/>
    <cellStyle name="20% - 强调文字颜色 4 11 7" xfId="2935"/>
    <cellStyle name="20% - 强调文字颜色 4 11 8" xfId="3238"/>
    <cellStyle name="20% - 强调文字颜色 4 11 9" xfId="3239"/>
    <cellStyle name="20% - 强调文字颜色 4 12" xfId="1536"/>
    <cellStyle name="20% - 强调文字颜色 4 12 10" xfId="3240"/>
    <cellStyle name="20% - 强调文字颜色 4 12 2" xfId="3241"/>
    <cellStyle name="20% - 强调文字颜色 4 12 2 2" xfId="3242"/>
    <cellStyle name="20% - 强调文字颜色 4 12 3" xfId="3246"/>
    <cellStyle name="20% - 强调文字颜色 4 12 4" xfId="3248"/>
    <cellStyle name="20% - 强调文字颜色 4 12 5" xfId="3250"/>
    <cellStyle name="20% - 强调文字颜色 4 12 6" xfId="3254"/>
    <cellStyle name="20% - 强调文字颜色 4 12 7" xfId="3258"/>
    <cellStyle name="20% - 强调文字颜色 4 12 8" xfId="3263"/>
    <cellStyle name="20% - 强调文字颜色 4 12 9" xfId="3268"/>
    <cellStyle name="20% - 强调文字颜色 4 13" xfId="1538"/>
    <cellStyle name="20% - 强调文字颜色 4 13 10" xfId="3225"/>
    <cellStyle name="20% - 强调文字颜色 4 13 2" xfId="3272"/>
    <cellStyle name="20% - 强调文字颜色 4 13 2 2" xfId="3273"/>
    <cellStyle name="20% - 强调文字颜色 4 13 3" xfId="3276"/>
    <cellStyle name="20% - 强调文字颜色 4 13 4" xfId="3278"/>
    <cellStyle name="20% - 强调文字颜色 4 13 5" xfId="3280"/>
    <cellStyle name="20% - 强调文字颜色 4 13 6" xfId="3284"/>
    <cellStyle name="20% - 强调文字颜色 4 13 7" xfId="3288"/>
    <cellStyle name="20% - 强调文字颜色 4 13 8" xfId="3293"/>
    <cellStyle name="20% - 强调文字颜色 4 13 9" xfId="3295"/>
    <cellStyle name="20% - 强调文字颜色 4 14" xfId="1540"/>
    <cellStyle name="20% - 强调文字颜色 4 14 10" xfId="3297"/>
    <cellStyle name="20% - 强调文字颜色 4 14 2" xfId="3303"/>
    <cellStyle name="20% - 强调文字颜色 4 14 2 2" xfId="3305"/>
    <cellStyle name="20% - 强调文字颜色 4 14 3" xfId="3307"/>
    <cellStyle name="20% - 强调文字颜色 4 14 4" xfId="3309"/>
    <cellStyle name="20% - 强调文字颜色 4 14 5" xfId="2946"/>
    <cellStyle name="20% - 强调文字颜色 4 14 6" xfId="2953"/>
    <cellStyle name="20% - 强调文字颜色 4 14 7" xfId="2960"/>
    <cellStyle name="20% - 强调文字颜色 4 14 8" xfId="3310"/>
    <cellStyle name="20% - 强调文字颜色 4 14 9" xfId="3312"/>
    <cellStyle name="20% - 强调文字颜色 4 15" xfId="3314"/>
    <cellStyle name="20% - 强调文字颜色 4 15 2" xfId="3316"/>
    <cellStyle name="20% - 强调文字颜色 4 15 3" xfId="3320"/>
    <cellStyle name="20% - 强调文字颜色 4 15 4" xfId="3298"/>
    <cellStyle name="20% - 强调文字颜色 4 15 5" xfId="3324"/>
    <cellStyle name="20% - 强调文字颜色 4 15 6" xfId="3330"/>
    <cellStyle name="20% - 强调文字颜色 4 15 7" xfId="3336"/>
    <cellStyle name="20% - 强调文字颜色 4 15 8" xfId="3338"/>
    <cellStyle name="20% - 强调文字颜色 4 15 9" xfId="3341"/>
    <cellStyle name="20% - 强调文字颜色 4 16" xfId="3344"/>
    <cellStyle name="20% - 强调文字颜色 4 16 2" xfId="3346"/>
    <cellStyle name="20% - 强调文字颜色 4 16 3" xfId="3349"/>
    <cellStyle name="20% - 强调文字颜色 4 16 4" xfId="3351"/>
    <cellStyle name="20% - 强调文字颜色 4 16 5" xfId="3353"/>
    <cellStyle name="20% - 强调文字颜色 4 16 6" xfId="3355"/>
    <cellStyle name="20% - 强调文字颜色 4 16 7" xfId="3357"/>
    <cellStyle name="20% - 强调文字颜色 4 16 8" xfId="3359"/>
    <cellStyle name="20% - 强调文字颜色 4 16 9" xfId="3361"/>
    <cellStyle name="20% - 强调文字颜色 4 17" xfId="3363"/>
    <cellStyle name="20% - 强调文字颜色 4 17 2" xfId="3365"/>
    <cellStyle name="20% - 强调文字颜色 4 17 3" xfId="3367"/>
    <cellStyle name="20% - 强调文字颜色 4 17 4" xfId="3369"/>
    <cellStyle name="20% - 强调文字颜色 4 17 5" xfId="3371"/>
    <cellStyle name="20% - 强调文字颜色 4 17 6" xfId="3373"/>
    <cellStyle name="20% - 强调文字颜色 4 17 7" xfId="3375"/>
    <cellStyle name="20% - 强调文字颜色 4 17 8" xfId="3377"/>
    <cellStyle name="20% - 强调文字颜色 4 17 9" xfId="3379"/>
    <cellStyle name="20% - 强调文字颜色 4 18" xfId="3381"/>
    <cellStyle name="20% - 强调文字颜色 4 18 2" xfId="3383"/>
    <cellStyle name="20% - 强调文字颜色 4 18 3" xfId="3386"/>
    <cellStyle name="20% - 强调文字颜色 4 18 4" xfId="3389"/>
    <cellStyle name="20% - 强调文字颜色 4 18 5" xfId="3392"/>
    <cellStyle name="20% - 强调文字颜色 4 18 6" xfId="3395"/>
    <cellStyle name="20% - 强调文字颜色 4 18 7" xfId="3397"/>
    <cellStyle name="20% - 强调文字颜色 4 18 8" xfId="3399"/>
    <cellStyle name="20% - 强调文字颜色 4 18 9" xfId="3401"/>
    <cellStyle name="20% - 强调文字颜色 4 19" xfId="3403"/>
    <cellStyle name="20% - 强调文字颜色 4 19 2" xfId="3405"/>
    <cellStyle name="20% - 强调文字颜色 4 19 3" xfId="3407"/>
    <cellStyle name="20% - 强调文字颜色 4 19 4" xfId="3413"/>
    <cellStyle name="20% - 强调文字颜色 4 19 5" xfId="3416"/>
    <cellStyle name="20% - 强调文字颜色 4 19 6" xfId="3418"/>
    <cellStyle name="20% - 强调文字颜色 4 19 7" xfId="3420"/>
    <cellStyle name="20% - 强调文字颜色 4 19 8" xfId="3422"/>
    <cellStyle name="20% - 强调文字颜色 4 19 9" xfId="3425"/>
    <cellStyle name="20% - 强调文字颜色 4 2" xfId="1232"/>
    <cellStyle name="20% - 强调文字颜色 4 2 10" xfId="3427"/>
    <cellStyle name="20% - 强调文字颜色 4 2 11" xfId="3428"/>
    <cellStyle name="20% - 强调文字颜色 4 2 12" xfId="3429"/>
    <cellStyle name="20% - 强调文字颜色 4 2 13" xfId="3430"/>
    <cellStyle name="20% - 强调文字颜色 4 2 14" xfId="3431"/>
    <cellStyle name="20% - 强调文字颜色 4 2 15" xfId="3434"/>
    <cellStyle name="20% - 强调文字颜色 4 2 16" xfId="3439"/>
    <cellStyle name="20% - 强调文字颜色 4 2 17" xfId="3444"/>
    <cellStyle name="20% - 强调文字颜色 4 2 18" xfId="3450"/>
    <cellStyle name="20% - 强调文字颜色 4 2 19" xfId="3456"/>
    <cellStyle name="20% - 强调文字颜色 4 2 2" xfId="1237"/>
    <cellStyle name="20% - 强调文字颜色 4 2 2 2" xfId="2937"/>
    <cellStyle name="20% - 强调文字颜色 4 2 2 2 2" xfId="3251"/>
    <cellStyle name="20% - 强调文字颜色 4 2 2 2 2 2" xfId="3461"/>
    <cellStyle name="20% - 强调文字颜色 4 2 2 2 2 3" xfId="3463"/>
    <cellStyle name="20% - 强调文字颜色 4 2 2 2 3" xfId="3255"/>
    <cellStyle name="20% - 强调文字颜色 4 2 2 2 4" xfId="3259"/>
    <cellStyle name="20% - 强调文字颜色 4 2 2 2 5" xfId="3264"/>
    <cellStyle name="20% - 强调文字颜色 4 2 2 2 6" xfId="3269"/>
    <cellStyle name="20% - 强调文字颜色 4 2 2 2 7" xfId="3464"/>
    <cellStyle name="20% - 强调文字颜色 4 2 2 2 8" xfId="3469"/>
    <cellStyle name="20% - 强调文字颜色 4 2 2 3" xfId="2940"/>
    <cellStyle name="20% - 强调文字颜色 4 2 2 3 2" xfId="3281"/>
    <cellStyle name="20% - 强调文字颜色 4 2 2 3 2 2" xfId="3473"/>
    <cellStyle name="20% - 强调文字颜色 4 2 2 3 2 3" xfId="3474"/>
    <cellStyle name="20% - 强调文字颜色 4 2 2 3 3" xfId="3285"/>
    <cellStyle name="20% - 强调文字颜色 4 2 2 3 4" xfId="3289"/>
    <cellStyle name="20% - 强调文字颜色 4 2 2 4" xfId="2943"/>
    <cellStyle name="20% - 强调文字颜色 4 2 2 4 2" xfId="2947"/>
    <cellStyle name="20% - 强调文字颜色 4 2 2 4 2 2" xfId="3476"/>
    <cellStyle name="20% - 强调文字颜色 4 2 2 4 2 3" xfId="3477"/>
    <cellStyle name="20% - 强调文字颜色 4 2 2 4 3" xfId="2954"/>
    <cellStyle name="20% - 强调文字颜色 4 2 2 4 4" xfId="2961"/>
    <cellStyle name="20% - 强调文字颜色 4 2 2 5" xfId="2967"/>
    <cellStyle name="20% - 强调文字颜色 4 2 2 5 2" xfId="3325"/>
    <cellStyle name="20% - 强调文字颜色 4 2 2 5 3" xfId="3331"/>
    <cellStyle name="20% - 强调文字颜色 4 2 2 6" xfId="2649"/>
    <cellStyle name="20% - 强调文字颜色 4 2 2 7" xfId="2653"/>
    <cellStyle name="20% - 强调文字颜色 4 2 3" xfId="1243"/>
    <cellStyle name="20% - 强调文字颜色 4 2 3 2" xfId="3081"/>
    <cellStyle name="20% - 强调文字颜色 4 2 3 2 2" xfId="3479"/>
    <cellStyle name="20% - 强调文字颜色 4 2 3 2 3" xfId="3480"/>
    <cellStyle name="20% - 强调文字颜色 4 2 3 3" xfId="3085"/>
    <cellStyle name="20% - 强调文字颜色 4 2 3 4" xfId="3088"/>
    <cellStyle name="20% - 强调文字颜色 4 2 3 5" xfId="3091"/>
    <cellStyle name="20% - 强调文字颜色 4 2 4" xfId="1249"/>
    <cellStyle name="20% - 强调文字颜色 4 2 4 2" xfId="3127"/>
    <cellStyle name="20% - 强调文字颜色 4 2 4 2 2" xfId="2893"/>
    <cellStyle name="20% - 强调文字颜色 4 2 4 2 3" xfId="3481"/>
    <cellStyle name="20% - 强调文字颜色 4 2 4 3" xfId="3131"/>
    <cellStyle name="20% - 强调文字颜色 4 2 4 4" xfId="3135"/>
    <cellStyle name="20% - 强调文字颜色 4 2 5" xfId="1256"/>
    <cellStyle name="20% - 强调文字颜色 4 2 5 2" xfId="3154"/>
    <cellStyle name="20% - 强调文字颜色 4 2 5 3" xfId="3158"/>
    <cellStyle name="20% - 强调文字颜色 4 2 6" xfId="1264"/>
    <cellStyle name="20% - 强调文字颜色 4 2 6 2" xfId="3177"/>
    <cellStyle name="20% - 强调文字颜色 4 2 6 3" xfId="3181"/>
    <cellStyle name="20% - 强调文字颜色 4 2 6 4" xfId="3183"/>
    <cellStyle name="20% - 强调文字颜色 4 2 7" xfId="1272"/>
    <cellStyle name="20% - 强调文字颜色 4 2 7 2" xfId="3199"/>
    <cellStyle name="20% - 强调文字颜色 4 2 7 3" xfId="3202"/>
    <cellStyle name="20% - 强调文字颜色 4 2 8" xfId="1279"/>
    <cellStyle name="20% - 强调文字颜色 4 2 9" xfId="1286"/>
    <cellStyle name="20% - 强调文字颜色 4 20" xfId="3315"/>
    <cellStyle name="20% - 强调文字颜色 4 20 2" xfId="3317"/>
    <cellStyle name="20% - 强调文字颜色 4 20 3" xfId="3321"/>
    <cellStyle name="20% - 强调文字颜色 4 20 4" xfId="3299"/>
    <cellStyle name="20% - 强调文字颜色 4 20 5" xfId="3326"/>
    <cellStyle name="20% - 强调文字颜色 4 20 6" xfId="3332"/>
    <cellStyle name="20% - 强调文字颜色 4 20 7" xfId="3337"/>
    <cellStyle name="20% - 强调文字颜色 4 20 8" xfId="3339"/>
    <cellStyle name="20% - 强调文字颜色 4 20 9" xfId="3342"/>
    <cellStyle name="20% - 强调文字颜色 4 21" xfId="3345"/>
    <cellStyle name="20% - 强调文字颜色 4 21 2" xfId="3347"/>
    <cellStyle name="20% - 强调文字颜色 4 21 3" xfId="3350"/>
    <cellStyle name="20% - 强调文字颜色 4 21 4" xfId="3352"/>
    <cellStyle name="20% - 强调文字颜色 4 21 5" xfId="3354"/>
    <cellStyle name="20% - 强调文字颜色 4 21 6" xfId="3356"/>
    <cellStyle name="20% - 强调文字颜色 4 21 7" xfId="3358"/>
    <cellStyle name="20% - 强调文字颜色 4 21 8" xfId="3360"/>
    <cellStyle name="20% - 强调文字颜色 4 21 9" xfId="3362"/>
    <cellStyle name="20% - 强调文字颜色 4 22" xfId="3364"/>
    <cellStyle name="20% - 强调文字颜色 4 22 2" xfId="3366"/>
    <cellStyle name="20% - 强调文字颜色 4 22 3" xfId="3368"/>
    <cellStyle name="20% - 强调文字颜色 4 22 4" xfId="3370"/>
    <cellStyle name="20% - 强调文字颜色 4 22 5" xfId="3372"/>
    <cellStyle name="20% - 强调文字颜色 4 22 6" xfId="3374"/>
    <cellStyle name="20% - 强调文字颜色 4 22 7" xfId="3376"/>
    <cellStyle name="20% - 强调文字颜色 4 22 8" xfId="3378"/>
    <cellStyle name="20% - 强调文字颜色 4 22 9" xfId="3380"/>
    <cellStyle name="20% - 强调文字颜色 4 23" xfId="3382"/>
    <cellStyle name="20% - 强调文字颜色 4 23 2" xfId="3384"/>
    <cellStyle name="20% - 强调文字颜色 4 23 3" xfId="3387"/>
    <cellStyle name="20% - 强调文字颜色 4 23 4" xfId="3390"/>
    <cellStyle name="20% - 强调文字颜色 4 23 5" xfId="3393"/>
    <cellStyle name="20% - 强调文字颜色 4 23 6" xfId="3396"/>
    <cellStyle name="20% - 强调文字颜色 4 23 7" xfId="3398"/>
    <cellStyle name="20% - 强调文字颜色 4 23 8" xfId="3400"/>
    <cellStyle name="20% - 强调文字颜色 4 23 9" xfId="3402"/>
    <cellStyle name="20% - 强调文字颜色 4 24" xfId="3404"/>
    <cellStyle name="20% - 强调文字颜色 4 24 2" xfId="3406"/>
    <cellStyle name="20% - 强调文字颜色 4 24 3" xfId="3408"/>
    <cellStyle name="20% - 强调文字颜色 4 24 4" xfId="3414"/>
    <cellStyle name="20% - 强调文字颜色 4 24 5" xfId="3417"/>
    <cellStyle name="20% - 强调文字颜色 4 24 6" xfId="3419"/>
    <cellStyle name="20% - 强调文字颜色 4 24 7" xfId="3421"/>
    <cellStyle name="20% - 强调文字颜色 4 24 8" xfId="3423"/>
    <cellStyle name="20% - 强调文字颜色 4 24 9" xfId="3426"/>
    <cellStyle name="20% - 强调文字颜色 4 25" xfId="3483"/>
    <cellStyle name="20% - 强调文字颜色 4 25 2" xfId="3485"/>
    <cellStyle name="20% - 强调文字颜色 4 25 3" xfId="3487"/>
    <cellStyle name="20% - 强调文字颜色 4 25 4" xfId="3490"/>
    <cellStyle name="20% - 强调文字颜色 4 25 5" xfId="3492"/>
    <cellStyle name="20% - 强调文字颜色 4 25 6" xfId="3494"/>
    <cellStyle name="20% - 强调文字颜色 4 25 7" xfId="3496"/>
    <cellStyle name="20% - 强调文字颜色 4 25 8" xfId="3498"/>
    <cellStyle name="20% - 强调文字颜色 4 25 9" xfId="3500"/>
    <cellStyle name="20% - 强调文字颜色 4 26" xfId="3502"/>
    <cellStyle name="20% - 强调文字颜色 4 26 2" xfId="3504"/>
    <cellStyle name="20% - 强调文字颜色 4 26 3" xfId="3506"/>
    <cellStyle name="20% - 强调文字颜色 4 26 4" xfId="3509"/>
    <cellStyle name="20% - 强调文字颜色 4 26 5" xfId="3511"/>
    <cellStyle name="20% - 强调文字颜色 4 26 6" xfId="3513"/>
    <cellStyle name="20% - 强调文字颜色 4 26 7" xfId="3516"/>
    <cellStyle name="20% - 强调文字颜色 4 26 8" xfId="3519"/>
    <cellStyle name="20% - 强调文字颜色 4 26 9" xfId="3522"/>
    <cellStyle name="20% - 强调文字颜色 4 27" xfId="3526"/>
    <cellStyle name="20% - 强调文字颜色 4 27 2" xfId="3528"/>
    <cellStyle name="20% - 强调文字颜色 4 27 3" xfId="3530"/>
    <cellStyle name="20% - 强调文字颜色 4 27 4" xfId="3532"/>
    <cellStyle name="20% - 强调文字颜色 4 27 5" xfId="3534"/>
    <cellStyle name="20% - 强调文字颜色 4 27 6" xfId="3536"/>
    <cellStyle name="20% - 强调文字颜色 4 27 7" xfId="3538"/>
    <cellStyle name="20% - 强调文字颜色 4 27 8" xfId="3541"/>
    <cellStyle name="20% - 强调文字颜色 4 27 9" xfId="3544"/>
    <cellStyle name="20% - 强调文字颜色 4 28" xfId="3547"/>
    <cellStyle name="20% - 强调文字颜色 4 28 2" xfId="3549"/>
    <cellStyle name="20% - 强调文字颜色 4 28 3" xfId="3551"/>
    <cellStyle name="20% - 强调文字颜色 4 28 4" xfId="3553"/>
    <cellStyle name="20% - 强调文字颜色 4 28 5" xfId="3555"/>
    <cellStyle name="20% - 强调文字颜色 4 28 6" xfId="3557"/>
    <cellStyle name="20% - 强调文字颜色 4 28 7" xfId="3559"/>
    <cellStyle name="20% - 强调文字颜色 4 28 8" xfId="3561"/>
    <cellStyle name="20% - 强调文字颜色 4 28 9" xfId="3563"/>
    <cellStyle name="20% - 强调文字颜色 4 29" xfId="3565"/>
    <cellStyle name="20% - 强调文字颜色 4 29 2" xfId="3569"/>
    <cellStyle name="20% - 强调文字颜色 4 29 3" xfId="3572"/>
    <cellStyle name="20% - 强调文字颜色 4 29 4" xfId="3575"/>
    <cellStyle name="20% - 强调文字颜色 4 29 5" xfId="3577"/>
    <cellStyle name="20% - 强调文字颜色 4 29 6" xfId="3579"/>
    <cellStyle name="20% - 强调文字颜色 4 29 7" xfId="3581"/>
    <cellStyle name="20% - 强调文字颜色 4 29 8" xfId="3583"/>
    <cellStyle name="20% - 强调文字颜色 4 29 9" xfId="3585"/>
    <cellStyle name="20% - 强调文字颜色 4 3" xfId="1292"/>
    <cellStyle name="20% - 强调文字颜色 4 3 10" xfId="3587"/>
    <cellStyle name="20% - 强调文字颜色 4 3 11" xfId="3588"/>
    <cellStyle name="20% - 强调文字颜色 4 3 12" xfId="3592"/>
    <cellStyle name="20% - 强调文字颜色 4 3 13" xfId="3593"/>
    <cellStyle name="20% - 强调文字颜色 4 3 14" xfId="3594"/>
    <cellStyle name="20% - 强调文字颜色 4 3 15" xfId="3597"/>
    <cellStyle name="20% - 强调文字颜色 4 3 16" xfId="3603"/>
    <cellStyle name="20% - 强调文字颜色 4 3 2" xfId="1300"/>
    <cellStyle name="20% - 强调文字颜色 4 3 2 2" xfId="1309"/>
    <cellStyle name="20% - 强调文字颜色 4 3 2 2 2" xfId="1375"/>
    <cellStyle name="20% - 强调文字颜色 4 3 2 3" xfId="1314"/>
    <cellStyle name="20% - 强调文字颜色 4 3 2 4" xfId="1319"/>
    <cellStyle name="20% - 强调文字颜色 4 3 3" xfId="1303"/>
    <cellStyle name="20% - 强调文字颜色 4 3 3 2" xfId="1342"/>
    <cellStyle name="20% - 强调文字颜色 4 3 3 3" xfId="1348"/>
    <cellStyle name="20% - 强调文字颜色 4 3 3 4" xfId="1353"/>
    <cellStyle name="20% - 强调文字颜色 4 3 4" xfId="1310"/>
    <cellStyle name="20% - 强调文字颜色 4 3 5" xfId="1315"/>
    <cellStyle name="20% - 强调文字颜色 4 3 6" xfId="1320"/>
    <cellStyle name="20% - 强调文字颜色 4 3 6 2" xfId="3609"/>
    <cellStyle name="20% - 强调文字颜色 4 3 6 3" xfId="3613"/>
    <cellStyle name="20% - 强调文字颜色 4 3 6 4" xfId="3617"/>
    <cellStyle name="20% - 强调文字颜色 4 3 7" xfId="1324"/>
    <cellStyle name="20% - 强调文字颜色 4 3 8" xfId="1328"/>
    <cellStyle name="20% - 强调文字颜色 4 3 9" xfId="1332"/>
    <cellStyle name="20% - 强调文字颜色 4 30" xfId="3484"/>
    <cellStyle name="20% - 强调文字颜色 4 30 2" xfId="3486"/>
    <cellStyle name="20% - 强调文字颜色 4 30 3" xfId="3488"/>
    <cellStyle name="20% - 强调文字颜色 4 30 4" xfId="3491"/>
    <cellStyle name="20% - 强调文字颜色 4 30 5" xfId="3493"/>
    <cellStyle name="20% - 强调文字颜色 4 30 6" xfId="3495"/>
    <cellStyle name="20% - 强调文字颜色 4 30 7" xfId="3497"/>
    <cellStyle name="20% - 强调文字颜色 4 30 8" xfId="3499"/>
    <cellStyle name="20% - 强调文字颜色 4 30 9" xfId="3501"/>
    <cellStyle name="20% - 强调文字颜色 4 31" xfId="3503"/>
    <cellStyle name="20% - 强调文字颜色 4 31 2" xfId="3505"/>
    <cellStyle name="20% - 强调文字颜色 4 31 3" xfId="3507"/>
    <cellStyle name="20% - 强调文字颜色 4 31 4" xfId="3510"/>
    <cellStyle name="20% - 强调文字颜色 4 31 5" xfId="3512"/>
    <cellStyle name="20% - 强调文字颜色 4 31 6" xfId="3514"/>
    <cellStyle name="20% - 强调文字颜色 4 31 7" xfId="3517"/>
    <cellStyle name="20% - 强调文字颜色 4 31 8" xfId="3520"/>
    <cellStyle name="20% - 强调文字颜色 4 31 9" xfId="3523"/>
    <cellStyle name="20% - 强调文字颜色 4 32" xfId="3527"/>
    <cellStyle name="20% - 强调文字颜色 4 32 2" xfId="3529"/>
    <cellStyle name="20% - 强调文字颜色 4 32 3" xfId="3531"/>
    <cellStyle name="20% - 强调文字颜色 4 32 4" xfId="3533"/>
    <cellStyle name="20% - 强调文字颜色 4 32 5" xfId="3535"/>
    <cellStyle name="20% - 强调文字颜色 4 32 6" xfId="3537"/>
    <cellStyle name="20% - 强调文字颜色 4 32 7" xfId="3539"/>
    <cellStyle name="20% - 强调文字颜色 4 32 8" xfId="3542"/>
    <cellStyle name="20% - 强调文字颜色 4 32 9" xfId="3545"/>
    <cellStyle name="20% - 强调文字颜色 4 33" xfId="3548"/>
    <cellStyle name="20% - 强调文字颜色 4 33 2" xfId="3550"/>
    <cellStyle name="20% - 强调文字颜色 4 33 3" xfId="3552"/>
    <cellStyle name="20% - 强调文字颜色 4 33 4" xfId="3554"/>
    <cellStyle name="20% - 强调文字颜色 4 33 5" xfId="3556"/>
    <cellStyle name="20% - 强调文字颜色 4 33 6" xfId="3558"/>
    <cellStyle name="20% - 强调文字颜色 4 33 7" xfId="3560"/>
    <cellStyle name="20% - 强调文字颜色 4 33 8" xfId="3562"/>
    <cellStyle name="20% - 强调文字颜色 4 33 9" xfId="3564"/>
    <cellStyle name="20% - 强调文字颜色 4 34" xfId="3566"/>
    <cellStyle name="20% - 强调文字颜色 4 34 2" xfId="3570"/>
    <cellStyle name="20% - 强调文字颜色 4 34 3" xfId="3573"/>
    <cellStyle name="20% - 强调文字颜色 4 34 4" xfId="3576"/>
    <cellStyle name="20% - 强调文字颜色 4 34 5" xfId="3578"/>
    <cellStyle name="20% - 强调文字颜色 4 34 6" xfId="3580"/>
    <cellStyle name="20% - 强调文字颜色 4 34 7" xfId="3582"/>
    <cellStyle name="20% - 强调文字颜色 4 34 8" xfId="3584"/>
    <cellStyle name="20% - 强调文字颜色 4 34 9" xfId="3586"/>
    <cellStyle name="20% - 强调文字颜色 4 35" xfId="3620"/>
    <cellStyle name="20% - 强调文字颜色 4 35 2" xfId="3623"/>
    <cellStyle name="20% - 强调文字颜色 4 35 3" xfId="3626"/>
    <cellStyle name="20% - 强调文字颜色 4 35 4" xfId="3629"/>
    <cellStyle name="20% - 强调文字颜色 4 35 5" xfId="3632"/>
    <cellStyle name="20% - 强调文字颜色 4 35 6" xfId="3635"/>
    <cellStyle name="20% - 强调文字颜色 4 35 7" xfId="2168"/>
    <cellStyle name="20% - 强调文字颜色 4 35 8" xfId="3638"/>
    <cellStyle name="20% - 强调文字颜色 4 35 9" xfId="3640"/>
    <cellStyle name="20% - 强调文字颜色 4 36" xfId="3642"/>
    <cellStyle name="20% - 强调文字颜色 4 36 2" xfId="3645"/>
    <cellStyle name="20% - 强调文字颜色 4 36 3" xfId="3648"/>
    <cellStyle name="20% - 强调文字颜色 4 36 4" xfId="3651"/>
    <cellStyle name="20% - 强调文字颜色 4 36 5" xfId="3654"/>
    <cellStyle name="20% - 强调文字颜色 4 36 6" xfId="3656"/>
    <cellStyle name="20% - 强调文字颜色 4 36 7" xfId="3658"/>
    <cellStyle name="20% - 强调文字颜色 4 36 8" xfId="3660"/>
    <cellStyle name="20% - 强调文字颜色 4 36 9" xfId="3662"/>
    <cellStyle name="20% - 强调文字颜色 4 37" xfId="3664"/>
    <cellStyle name="20% - 强调文字颜色 4 37 2" xfId="3670"/>
    <cellStyle name="20% - 强调文字颜色 4 37 3" xfId="3677"/>
    <cellStyle name="20% - 强调文字颜色 4 37 4" xfId="3681"/>
    <cellStyle name="20% - 强调文字颜色 4 37 5" xfId="3682"/>
    <cellStyle name="20% - 强调文字颜色 4 37 6" xfId="3683"/>
    <cellStyle name="20% - 强调文字颜色 4 37 7" xfId="3684"/>
    <cellStyle name="20% - 强调文字颜色 4 37 8" xfId="3685"/>
    <cellStyle name="20% - 强调文字颜色 4 37 9" xfId="3686"/>
    <cellStyle name="20% - 强调文字颜色 4 38" xfId="3687"/>
    <cellStyle name="20% - 强调文字颜色 4 38 2" xfId="3694"/>
    <cellStyle name="20% - 强调文字颜色 4 38 3" xfId="3696"/>
    <cellStyle name="20% - 强调文字颜色 4 38 4" xfId="3697"/>
    <cellStyle name="20% - 强调文字颜色 4 38 5" xfId="3698"/>
    <cellStyle name="20% - 强调文字颜色 4 38 6" xfId="3699"/>
    <cellStyle name="20% - 强调文字颜色 4 38 7" xfId="3700"/>
    <cellStyle name="20% - 强调文字颜色 4 38 8" xfId="3701"/>
    <cellStyle name="20% - 强调文字颜色 4 38 9" xfId="3702"/>
    <cellStyle name="20% - 强调文字颜色 4 39" xfId="3703"/>
    <cellStyle name="20% - 强调文字颜色 4 39 2" xfId="73"/>
    <cellStyle name="20% - 强调文字颜色 4 39 3" xfId="3710"/>
    <cellStyle name="20% - 强调文字颜色 4 39 4" xfId="3712"/>
    <cellStyle name="20% - 强调文字颜色 4 39 5" xfId="3713"/>
    <cellStyle name="20% - 强调文字颜色 4 39 6" xfId="3714"/>
    <cellStyle name="20% - 强调文字颜色 4 39 7" xfId="3715"/>
    <cellStyle name="20% - 强调文字颜色 4 39 8" xfId="3716"/>
    <cellStyle name="20% - 强调文字颜色 4 39 9" xfId="3717"/>
    <cellStyle name="20% - 强调文字颜色 4 4" xfId="1337"/>
    <cellStyle name="20% - 强调文字颜色 4 4 10" xfId="3465"/>
    <cellStyle name="20% - 强调文字颜色 4 4 11" xfId="3470"/>
    <cellStyle name="20% - 强调文字颜色 4 4 12" xfId="3718"/>
    <cellStyle name="20% - 强调文字颜色 4 4 13" xfId="3720"/>
    <cellStyle name="20% - 强调文字颜色 4 4 2" xfId="68"/>
    <cellStyle name="20% - 强调文字颜色 4 4 2 2" xfId="3722"/>
    <cellStyle name="20% - 强调文字颜色 4 4 2 3" xfId="3726"/>
    <cellStyle name="20% - 强调文字颜色 4 4 2 4" xfId="3730"/>
    <cellStyle name="20% - 强调文字颜色 4 4 3" xfId="1150"/>
    <cellStyle name="20% - 强调文字颜色 4 4 3 2" xfId="3733"/>
    <cellStyle name="20% - 强调文字颜色 4 4 3 3" xfId="3739"/>
    <cellStyle name="20% - 强调文字颜色 4 4 3 4" xfId="3745"/>
    <cellStyle name="20% - 强调文字颜色 4 4 4" xfId="1343"/>
    <cellStyle name="20% - 强调文字颜色 4 4 5" xfId="1349"/>
    <cellStyle name="20% - 强调文字颜色 4 4 6" xfId="1354"/>
    <cellStyle name="20% - 强调文字颜色 4 4 7" xfId="1358"/>
    <cellStyle name="20% - 强调文字颜色 4 4 8" xfId="1362"/>
    <cellStyle name="20% - 强调文字颜色 4 4 9" xfId="1366"/>
    <cellStyle name="20% - 强调文字颜色 4 40" xfId="3621"/>
    <cellStyle name="20% - 强调文字颜色 4 40 2" xfId="3624"/>
    <cellStyle name="20% - 强调文字颜色 4 40 3" xfId="3627"/>
    <cellStyle name="20% - 强调文字颜色 4 40 4" xfId="3630"/>
    <cellStyle name="20% - 强调文字颜色 4 40 5" xfId="3633"/>
    <cellStyle name="20% - 强调文字颜色 4 40 6" xfId="3636"/>
    <cellStyle name="20% - 强调文字颜色 4 40 7" xfId="2169"/>
    <cellStyle name="20% - 强调文字颜色 4 40 8" xfId="3639"/>
    <cellStyle name="20% - 强调文字颜色 4 40 9" xfId="3641"/>
    <cellStyle name="20% - 强调文字颜色 4 41" xfId="3643"/>
    <cellStyle name="20% - 强调文字颜色 4 41 2" xfId="3646"/>
    <cellStyle name="20% - 强调文字颜色 4 41 3" xfId="3649"/>
    <cellStyle name="20% - 强调文字颜色 4 41 4" xfId="3652"/>
    <cellStyle name="20% - 强调文字颜色 4 41 5" xfId="3655"/>
    <cellStyle name="20% - 强调文字颜色 4 41 6" xfId="3657"/>
    <cellStyle name="20% - 强调文字颜色 4 41 7" xfId="3659"/>
    <cellStyle name="20% - 强调文字颜色 4 41 8" xfId="3661"/>
    <cellStyle name="20% - 强调文字颜色 4 41 9" xfId="3663"/>
    <cellStyle name="20% - 强调文字颜色 4 42" xfId="3665"/>
    <cellStyle name="20% - 强调文字颜色 4 42 2" xfId="3671"/>
    <cellStyle name="20% - 强调文字颜色 4 43" xfId="3688"/>
    <cellStyle name="20% - 强调文字颜色 4 44" xfId="3704"/>
    <cellStyle name="20% - 强调文字颜色 4 45" xfId="3749"/>
    <cellStyle name="20% - 强调文字颜色 4 46" xfId="3755"/>
    <cellStyle name="20% - 强调文字颜色 4 47" xfId="1550"/>
    <cellStyle name="20% - 强调文字颜色 4 48" xfId="1557"/>
    <cellStyle name="20% - 强调文字颜色 4 49" xfId="1562"/>
    <cellStyle name="20% - 强调文字颜色 4 5" xfId="52"/>
    <cellStyle name="20% - 强调文字颜色 4 5 10" xfId="3761"/>
    <cellStyle name="20% - 强调文字颜色 4 5 11" xfId="3762"/>
    <cellStyle name="20% - 强调文字颜色 4 5 12" xfId="3763"/>
    <cellStyle name="20% - 强调文字颜色 4 5 13" xfId="3765"/>
    <cellStyle name="20% - 强调文字颜色 4 5 2" xfId="1370"/>
    <cellStyle name="20% - 强调文字颜色 4 5 2 2" xfId="3766"/>
    <cellStyle name="20% - 强调文字颜色 4 5 2 3" xfId="106"/>
    <cellStyle name="20% - 强调文字颜色 4 5 2 4" xfId="3769"/>
    <cellStyle name="20% - 强调文字颜色 4 5 3" xfId="1372"/>
    <cellStyle name="20% - 强调文字颜色 4 5 3 2" xfId="3772"/>
    <cellStyle name="20% - 强调文字颜色 4 5 3 3" xfId="3776"/>
    <cellStyle name="20% - 强调文字颜色 4 5 3 4" xfId="3780"/>
    <cellStyle name="20% - 强调文字颜色 4 5 4" xfId="1376"/>
    <cellStyle name="20% - 强调文字颜色 4 5 5" xfId="63"/>
    <cellStyle name="20% - 强调文字颜色 4 5 6" xfId="1380"/>
    <cellStyle name="20% - 强调文字颜色 4 5 7" xfId="1382"/>
    <cellStyle name="20% - 强调文字颜色 4 5 8" xfId="1384"/>
    <cellStyle name="20% - 强调文字颜色 4 5 9" xfId="1386"/>
    <cellStyle name="20% - 强调文字颜色 4 50" xfId="3750"/>
    <cellStyle name="20% - 强调文字颜色 4 51" xfId="3756"/>
    <cellStyle name="20% - 强调文字颜色 4 52" xfId="1551"/>
    <cellStyle name="20% - 强调文字颜色 4 53" xfId="1558"/>
    <cellStyle name="20% - 强调文字颜色 4 54" xfId="1563"/>
    <cellStyle name="20% - 强调文字颜色 4 55" xfId="1567"/>
    <cellStyle name="20% - 强调文字颜色 4 56" xfId="1570"/>
    <cellStyle name="20% - 强调文字颜色 4 57" xfId="1573"/>
    <cellStyle name="20% - 强调文字颜色 4 58" xfId="1575"/>
    <cellStyle name="20% - 强调文字颜色 4 59" xfId="1577"/>
    <cellStyle name="20% - 强调文字颜色 4 6" xfId="1430"/>
    <cellStyle name="20% - 强调文字颜色 4 6 10" xfId="3784"/>
    <cellStyle name="20% - 强调文字颜色 4 6 11" xfId="3787"/>
    <cellStyle name="20% - 强调文字颜色 4 6 12" xfId="3789"/>
    <cellStyle name="20% - 强调文字颜色 4 6 2" xfId="3793"/>
    <cellStyle name="20% - 强调文字颜色 4 6 2 2" xfId="3794"/>
    <cellStyle name="20% - 强调文字颜色 4 6 3" xfId="3795"/>
    <cellStyle name="20% - 强调文字颜色 4 6 4" xfId="3797"/>
    <cellStyle name="20% - 强调文字颜色 4 6 5" xfId="3799"/>
    <cellStyle name="20% - 强调文字颜色 4 6 6" xfId="3802"/>
    <cellStyle name="20% - 强调文字颜色 4 6 7" xfId="3804"/>
    <cellStyle name="20% - 强调文字颜色 4 6 8" xfId="3806"/>
    <cellStyle name="20% - 强调文字颜色 4 6 9" xfId="3807"/>
    <cellStyle name="20% - 强调文字颜色 4 60" xfId="1568"/>
    <cellStyle name="20% - 强调文字颜色 4 61" xfId="1571"/>
    <cellStyle name="20% - 强调文字颜色 4 7" xfId="1437"/>
    <cellStyle name="20% - 强调文字颜色 4 7 10" xfId="3808"/>
    <cellStyle name="20% - 强调文字颜色 4 7 11" xfId="3809"/>
    <cellStyle name="20% - 强调文字颜色 4 7 12" xfId="3810"/>
    <cellStyle name="20% - 强调文字颜色 4 7 2" xfId="3811"/>
    <cellStyle name="20% - 强调文字颜色 4 7 2 2" xfId="3812"/>
    <cellStyle name="20% - 强调文字颜色 4 7 3" xfId="3813"/>
    <cellStyle name="20% - 强调文字颜色 4 7 4" xfId="3610"/>
    <cellStyle name="20% - 强调文字颜色 4 7 5" xfId="3614"/>
    <cellStyle name="20% - 强调文字颜色 4 7 6" xfId="3618"/>
    <cellStyle name="20% - 强调文字颜色 4 7 7" xfId="3815"/>
    <cellStyle name="20% - 强调文字颜色 4 7 8" xfId="3816"/>
    <cellStyle name="20% - 强调文字颜色 4 7 9" xfId="3817"/>
    <cellStyle name="20% - 强调文字颜色 4 8" xfId="1442"/>
    <cellStyle name="20% - 强调文字颜色 4 8 10" xfId="3818"/>
    <cellStyle name="20% - 强调文字颜色 4 8 11" xfId="3820"/>
    <cellStyle name="20% - 强调文字颜色 4 8 12" xfId="3822"/>
    <cellStyle name="20% - 强调文字颜色 4 8 2" xfId="3823"/>
    <cellStyle name="20% - 强调文字颜色 4 8 2 2" xfId="2241"/>
    <cellStyle name="20% - 强调文字颜色 4 8 3" xfId="3824"/>
    <cellStyle name="20% - 强调文字颜色 4 8 4" xfId="3826"/>
    <cellStyle name="20% - 强调文字颜色 4 8 5" xfId="3827"/>
    <cellStyle name="20% - 强调文字颜色 4 8 6" xfId="3829"/>
    <cellStyle name="20% - 强调文字颜色 4 8 7" xfId="3830"/>
    <cellStyle name="20% - 强调文字颜色 4 8 8" xfId="3831"/>
    <cellStyle name="20% - 强调文字颜色 4 8 9" xfId="3832"/>
    <cellStyle name="20% - 强调文字颜色 4 9" xfId="1449"/>
    <cellStyle name="20% - 强调文字颜色 4 9 10" xfId="3833"/>
    <cellStyle name="20% - 强调文字颜色 4 9 2" xfId="3834"/>
    <cellStyle name="20% - 强调文字颜色 4 9 2 2" xfId="396"/>
    <cellStyle name="20% - 强调文字颜色 4 9 3" xfId="3835"/>
    <cellStyle name="20% - 强调文字颜色 4 9 4" xfId="3836"/>
    <cellStyle name="20% - 强调文字颜色 4 9 5" xfId="3837"/>
    <cellStyle name="20% - 强调文字颜色 4 9 6" xfId="3838"/>
    <cellStyle name="20% - 强调文字颜色 4 9 7" xfId="3839"/>
    <cellStyle name="20% - 强调文字颜色 4 9 8" xfId="3840"/>
    <cellStyle name="20% - 强调文字颜色 4 9 9" xfId="3841"/>
    <cellStyle name="20% - 强调文字颜色 5 10" xfId="3842"/>
    <cellStyle name="20% - 强调文字颜色 5 10 10" xfId="318"/>
    <cellStyle name="20% - 强调文字颜色 5 10 2" xfId="3843"/>
    <cellStyle name="20% - 强调文字颜色 5 10 2 2" xfId="3845"/>
    <cellStyle name="20% - 强调文字颜色 5 10 3" xfId="3847"/>
    <cellStyle name="20% - 强调文字颜色 5 10 4" xfId="3849"/>
    <cellStyle name="20% - 强调文字颜色 5 10 5" xfId="3196"/>
    <cellStyle name="20% - 强调文字颜色 5 10 6" xfId="3851"/>
    <cellStyle name="20% - 强调文字颜色 5 10 7" xfId="3852"/>
    <cellStyle name="20% - 强调文字颜色 5 10 8" xfId="3853"/>
    <cellStyle name="20% - 强调文字颜色 5 10 9" xfId="3854"/>
    <cellStyle name="20% - 强调文字颜色 5 11" xfId="3855"/>
    <cellStyle name="20% - 强调文字颜色 5 11 10" xfId="646"/>
    <cellStyle name="20% - 强调文字颜色 5 11 2" xfId="3856"/>
    <cellStyle name="20% - 强调文字颜色 5 11 2 2" xfId="3858"/>
    <cellStyle name="20% - 强调文字颜色 5 11 3" xfId="3859"/>
    <cellStyle name="20% - 强调文字颜色 5 11 4" xfId="3860"/>
    <cellStyle name="20% - 强调文字颜色 5 11 5" xfId="3861"/>
    <cellStyle name="20% - 强调文字颜色 5 11 6" xfId="3862"/>
    <cellStyle name="20% - 强调文字颜色 5 11 7" xfId="3863"/>
    <cellStyle name="20% - 强调文字颜色 5 11 8" xfId="3865"/>
    <cellStyle name="20% - 强调文字颜色 5 11 9" xfId="3866"/>
    <cellStyle name="20% - 强调文字颜色 5 12" xfId="3867"/>
    <cellStyle name="20% - 强调文字颜色 5 12 10" xfId="1070"/>
    <cellStyle name="20% - 强调文字颜色 5 12 2" xfId="3868"/>
    <cellStyle name="20% - 强调文字颜色 5 12 2 2" xfId="3869"/>
    <cellStyle name="20% - 强调文字颜色 5 12 3" xfId="3870"/>
    <cellStyle name="20% - 强调文字颜色 5 12 4" xfId="3871"/>
    <cellStyle name="20% - 强调文字颜色 5 12 5" xfId="3872"/>
    <cellStyle name="20% - 强调文字颜色 5 12 6" xfId="3873"/>
    <cellStyle name="20% - 强调文字颜色 5 12 7" xfId="3874"/>
    <cellStyle name="20% - 强调文字颜色 5 12 8" xfId="3875"/>
    <cellStyle name="20% - 强调文字颜色 5 12 9" xfId="3876"/>
    <cellStyle name="20% - 强调文字颜色 5 13" xfId="3877"/>
    <cellStyle name="20% - 强调文字颜色 5 13 10" xfId="1304"/>
    <cellStyle name="20% - 强调文字颜色 5 13 2" xfId="3880"/>
    <cellStyle name="20% - 强调文字颜色 5 13 2 2" xfId="3883"/>
    <cellStyle name="20% - 强调文字颜色 5 13 3" xfId="3887"/>
    <cellStyle name="20% - 强调文字颜色 5 13 4" xfId="3890"/>
    <cellStyle name="20% - 强调文字颜色 5 13 5" xfId="3893"/>
    <cellStyle name="20% - 强调文字颜色 5 13 6" xfId="3894"/>
    <cellStyle name="20% - 强调文字颜色 5 13 7" xfId="3895"/>
    <cellStyle name="20% - 强调文字颜色 5 13 8" xfId="3896"/>
    <cellStyle name="20% - 强调文字颜色 5 13 9" xfId="3902"/>
    <cellStyle name="20% - 强调文字颜色 5 14" xfId="118"/>
    <cellStyle name="20% - 强调文字颜色 5 14 10" xfId="3825"/>
    <cellStyle name="20% - 强调文字颜色 5 14 2" xfId="3907"/>
    <cellStyle name="20% - 强调文字颜色 5 14 2 2" xfId="3909"/>
    <cellStyle name="20% - 强调文字颜色 5 14 3" xfId="3910"/>
    <cellStyle name="20% - 强调文字颜色 5 14 4" xfId="3911"/>
    <cellStyle name="20% - 强调文字颜色 5 14 5" xfId="3912"/>
    <cellStyle name="20% - 强调文字颜色 5 14 6" xfId="3913"/>
    <cellStyle name="20% - 强调文字颜色 5 14 7" xfId="3915"/>
    <cellStyle name="20% - 强调文字颜色 5 14 8" xfId="3917"/>
    <cellStyle name="20% - 强调文字颜色 5 14 9" xfId="3923"/>
    <cellStyle name="20% - 强调文字颜色 5 15" xfId="3927"/>
    <cellStyle name="20% - 强调文字颜色 5 15 2" xfId="3930"/>
    <cellStyle name="20% - 强调文字颜色 5 15 3" xfId="3933"/>
    <cellStyle name="20% - 强调文字颜色 5 15 4" xfId="3935"/>
    <cellStyle name="20% - 强调文字颜色 5 15 5" xfId="3937"/>
    <cellStyle name="20% - 强调文字颜色 5 15 6" xfId="3939"/>
    <cellStyle name="20% - 强调文字颜色 5 15 7" xfId="3942"/>
    <cellStyle name="20% - 强调文字颜色 5 15 8" xfId="3944"/>
    <cellStyle name="20% - 强调文字颜色 5 15 9" xfId="3946"/>
    <cellStyle name="20% - 强调文字颜色 5 16" xfId="3948"/>
    <cellStyle name="20% - 强调文字颜色 5 16 2" xfId="3952"/>
    <cellStyle name="20% - 强调文字颜色 5 16 3" xfId="3958"/>
    <cellStyle name="20% - 强调文字颜色 5 16 4" xfId="3962"/>
    <cellStyle name="20% - 强调文字颜色 5 16 5" xfId="3964"/>
    <cellStyle name="20% - 强调文字颜色 5 16 6" xfId="3966"/>
    <cellStyle name="20% - 强调文字颜色 5 16 7" xfId="3969"/>
    <cellStyle name="20% - 强调文字颜色 5 16 8" xfId="3971"/>
    <cellStyle name="20% - 强调文字颜色 5 16 9" xfId="3973"/>
    <cellStyle name="20% - 强调文字颜色 5 17" xfId="3975"/>
    <cellStyle name="20% - 强调文字颜色 5 17 2" xfId="3979"/>
    <cellStyle name="20% - 强调文字颜色 5 17 3" xfId="3983"/>
    <cellStyle name="20% - 强调文字颜色 5 17 4" xfId="3985"/>
    <cellStyle name="20% - 强调文字颜色 5 17 5" xfId="3987"/>
    <cellStyle name="20% - 强调文字颜色 5 17 6" xfId="3989"/>
    <cellStyle name="20% - 强调文字颜色 5 17 7" xfId="3991"/>
    <cellStyle name="20% - 强调文字颜色 5 17 8" xfId="3993"/>
    <cellStyle name="20% - 强调文字颜色 5 17 9" xfId="3995"/>
    <cellStyle name="20% - 强调文字颜色 5 2 15" xfId="176"/>
    <cellStyle name="20% - 强调文字颜色 5 2 16" xfId="259"/>
    <cellStyle name="20% - 强调文字颜色 5 2 17" xfId="76"/>
    <cellStyle name="20% - 强调文字颜色 5 2 18" xfId="79"/>
    <cellStyle name="20% - 强调文字颜色 5 2 19" xfId="88"/>
    <cellStyle name="20% - 强调文字颜色 5 2 2 2 7" xfId="1520"/>
    <cellStyle name="20% - 强调文字颜色 5 2 2 2 8" xfId="1525"/>
    <cellStyle name="20% - 强调文字颜色 5 2 2 3 2" xfId="3666"/>
    <cellStyle name="20% - 强调文字颜色 5 2 2 3 2 2" xfId="3672"/>
    <cellStyle name="20% - 强调文字颜色 5 2 2 3 2 3" xfId="3678"/>
    <cellStyle name="20% - 强调文字颜色 5 2 2 3 3" xfId="3689"/>
    <cellStyle name="20% - 强调文字颜色 5 2 2 3 4" xfId="3705"/>
    <cellStyle name="20% - 强调文字颜色 5 2 2 4 2 2" xfId="2422"/>
    <cellStyle name="20% - 强调文字颜色 5 2 2 4 2 3" xfId="2428"/>
    <cellStyle name="20% - 强调文字颜色 5 20" xfId="3928"/>
    <cellStyle name="20% - 强调文字颜色 5 20 2" xfId="3931"/>
    <cellStyle name="20% - 强调文字颜色 5 20 3" xfId="3934"/>
    <cellStyle name="20% - 强调文字颜色 5 20 4" xfId="3936"/>
    <cellStyle name="20% - 强调文字颜色 5 20 5" xfId="3938"/>
    <cellStyle name="20% - 强调文字颜色 5 20 6" xfId="3940"/>
    <cellStyle name="20% - 强调文字颜色 5 20 7" xfId="3943"/>
    <cellStyle name="20% - 强调文字颜色 5 20 8" xfId="3945"/>
    <cellStyle name="20% - 强调文字颜色 5 20 9" xfId="3947"/>
    <cellStyle name="20% - 强调文字颜色 5 21" xfId="3949"/>
    <cellStyle name="20% - 强调文字颜色 5 21 2" xfId="3953"/>
    <cellStyle name="20% - 强调文字颜色 5 21 3" xfId="3959"/>
    <cellStyle name="20% - 强调文字颜色 5 21 4" xfId="3963"/>
    <cellStyle name="20% - 强调文字颜色 5 21 5" xfId="3965"/>
    <cellStyle name="20% - 强调文字颜色 5 21 6" xfId="3967"/>
    <cellStyle name="20% - 强调文字颜色 5 21 7" xfId="3970"/>
    <cellStyle name="20% - 强调文字颜色 5 21 8" xfId="3972"/>
    <cellStyle name="20% - 强调文字颜色 5 21 9" xfId="3974"/>
    <cellStyle name="20% - 强调文字颜色 5 22" xfId="3976"/>
    <cellStyle name="20% - 强调文字颜色 5 22 2" xfId="3980"/>
    <cellStyle name="20% - 强调文字颜色 5 22 3" xfId="3984"/>
    <cellStyle name="20% - 强调文字颜色 5 22 4" xfId="3986"/>
    <cellStyle name="20% - 强调文字颜色 5 22 5" xfId="3988"/>
    <cellStyle name="20% - 强调文字颜色 5 22 6" xfId="3990"/>
    <cellStyle name="20% - 强调文字颜色 5 22 7" xfId="3992"/>
    <cellStyle name="20% - 强调文字颜色 5 22 8" xfId="3994"/>
    <cellStyle name="20% - 强调文字颜色 5 25 2" xfId="103"/>
    <cellStyle name="20% - 强调文字颜色 5 25 3" xfId="144"/>
    <cellStyle name="20% - 强调文字颜色 5 25 4" xfId="149"/>
    <cellStyle name="20% - 强调文字颜色 5 25 5" xfId="156"/>
    <cellStyle name="20% - 强调文字颜色 5 25 6" xfId="164"/>
    <cellStyle name="20% - 强调文字颜色 5 26 9" xfId="433"/>
    <cellStyle name="20% - 强调文字颜色 5 29 2" xfId="2612"/>
    <cellStyle name="20% - 强调文字颜色 5 29 3" xfId="2628"/>
    <cellStyle name="20% - 强调文字颜色 5 29 4" xfId="2642"/>
    <cellStyle name="20% - 强调文字颜色 5 29 5" xfId="2658"/>
    <cellStyle name="20% - 强调文字颜色 5 29 6" xfId="2663"/>
    <cellStyle name="20% - 强调文字颜色 5 3 12" xfId="3243"/>
    <cellStyle name="20% - 强调文字颜色 5 3 15" xfId="565"/>
    <cellStyle name="20% - 强调文字颜色 5 3 16" xfId="576"/>
    <cellStyle name="20% - 强调文字颜色 5 3 4" xfId="3723"/>
    <cellStyle name="20% - 强调文字颜色 5 3 5" xfId="3727"/>
    <cellStyle name="20% - 强调文字颜色 5 3 6" xfId="3731"/>
    <cellStyle name="20% - 强调文字颜色 5 30 2" xfId="102"/>
    <cellStyle name="20% - 强调文字颜色 5 30 3" xfId="143"/>
    <cellStyle name="20% - 强调文字颜色 5 30 4" xfId="148"/>
    <cellStyle name="20% - 强调文字颜色 5 30 5" xfId="155"/>
    <cellStyle name="20% - 强调文字颜色 5 30 6" xfId="163"/>
    <cellStyle name="20% - 强调文字颜色 5 31 9" xfId="432"/>
    <cellStyle name="20% - 强调文字颜色 5 34 2" xfId="2613"/>
    <cellStyle name="20% - 强调文字颜色 5 34 3" xfId="2629"/>
    <cellStyle name="20% - 强调文字颜色 5 34 4" xfId="2643"/>
    <cellStyle name="20% - 强调文字颜色 5 34 5" xfId="2659"/>
    <cellStyle name="20% - 强调文字颜色 5 34 6" xfId="2664"/>
    <cellStyle name="20% - 强调文字颜色 5 35 2" xfId="2674"/>
    <cellStyle name="20% - 强调文字颜色 5 35 3" xfId="2679"/>
    <cellStyle name="20% - 强调文字颜色 5 35 4" xfId="2684"/>
    <cellStyle name="20% - 强调文字颜色 5 36 2" xfId="2699"/>
    <cellStyle name="20% - 强调文字颜色 5 36 3" xfId="2705"/>
    <cellStyle name="20% - 强调文字颜色 5 37 2" xfId="2716"/>
    <cellStyle name="20% - 强调文字颜色 5 38 2" xfId="2727"/>
    <cellStyle name="20% - 强调文字颜色 5 38 3" xfId="2732"/>
    <cellStyle name="20% - 强调文字颜色 5 39 2" xfId="2743"/>
    <cellStyle name="20% - 强调文字颜色 5 4 2 2" xfId="3897"/>
    <cellStyle name="20% - 强调文字颜色 5 4 2 3" xfId="3903"/>
    <cellStyle name="20% - 强调文字颜色 5 4 3 2" xfId="3918"/>
    <cellStyle name="20% - 强调文字颜色 5 4 3 3" xfId="3924"/>
    <cellStyle name="20% - 强调文字颜色 5 4 4" xfId="3734"/>
    <cellStyle name="20% - 强调文字颜色 5 4 5" xfId="3740"/>
    <cellStyle name="20% - 强调文字颜色 5 4 6" xfId="3746"/>
    <cellStyle name="20% - 强调文字颜色 5 40 2" xfId="2675"/>
    <cellStyle name="20% - 强调文字颜色 5 40 3" xfId="2680"/>
    <cellStyle name="20% - 强调文字颜色 5 40 4" xfId="2685"/>
    <cellStyle name="20% - 强调文字颜色 5 41 2" xfId="2700"/>
    <cellStyle name="20% - 强调文字颜色 5 41 3" xfId="2706"/>
    <cellStyle name="20% - 强调文字颜色 5 42 2" xfId="2717"/>
    <cellStyle name="20% - 强调文字颜色 5 8 12" xfId="3274"/>
    <cellStyle name="20% - 强调文字颜色 6 10 2" xfId="297"/>
    <cellStyle name="20% - 强调文字颜色 6 10 5" xfId="310"/>
    <cellStyle name="20% - 强调文字颜色 6 15 2" xfId="356"/>
    <cellStyle name="20% - 强调文字颜色 6 2 12" xfId="13"/>
    <cellStyle name="20% - 强调文字颜色 6 2 15" xfId="1641"/>
    <cellStyle name="20% - 强调文字颜色 6 2 16" xfId="1652"/>
    <cellStyle name="20% - 强调文字颜色 6 2 17" xfId="1657"/>
    <cellStyle name="20% - 强调文字颜色 6 2 18" xfId="1661"/>
    <cellStyle name="20% - 强调文字颜色 6 2 19" xfId="1664"/>
    <cellStyle name="20% - 强调文字颜色 6 2 2 2" xfId="548"/>
    <cellStyle name="20% - 强调文字颜色 6 2 2 2 2" xfId="566"/>
    <cellStyle name="20% - 强调文字颜色 6 2 2 2 3" xfId="577"/>
    <cellStyle name="20% - 强调文字颜色 6 2 2 2 4" xfId="586"/>
    <cellStyle name="20% - 强调文字颜色 6 2 2 2 5" xfId="594"/>
    <cellStyle name="20% - 强调文字颜色 6 2 2 2 6" xfId="600"/>
    <cellStyle name="20% - 强调文字颜色 6 2 2 2 7" xfId="190"/>
    <cellStyle name="20% - 强调文字颜色 6 2 2 2 8" xfId="606"/>
    <cellStyle name="20% - 强调文字颜色 6 2 2 3" xfId="625"/>
    <cellStyle name="20% - 强调文字颜色 6 2 2 3 2" xfId="638"/>
    <cellStyle name="20% - 强调文字颜色 6 2 2 3 2 2" xfId="3142"/>
    <cellStyle name="20% - 强调文字颜色 6 2 2 3 2 3" xfId="3167"/>
    <cellStyle name="20% - 强调文字颜色 6 2 2 3 3" xfId="647"/>
    <cellStyle name="20% - 强调文字颜色 6 2 2 3 4" xfId="658"/>
    <cellStyle name="20% - 强调文字颜色 6 2 2 4" xfId="689"/>
    <cellStyle name="20% - 强调文字颜色 6 2 2 4 2" xfId="701"/>
    <cellStyle name="20% - 强调文字颜色 6 2 2 4 3" xfId="708"/>
    <cellStyle name="20% - 强调文字颜色 6 2 2 4 4" xfId="714"/>
    <cellStyle name="20% - 强调文字颜色 6 2 2 5" xfId="739"/>
    <cellStyle name="20% - 强调文字颜色 6 2 2 5 2" xfId="752"/>
    <cellStyle name="20% - 强调文字颜色 6 2 2 5 3" xfId="759"/>
    <cellStyle name="20% - 强调文字颜色 6 2 2 6" xfId="938"/>
    <cellStyle name="20% - 强调文字颜色 6 2 2 7" xfId="994"/>
    <cellStyle name="20% - 强调文字颜色 6 2 3 2" xfId="2757"/>
    <cellStyle name="20% - 强调文字颜色 6 2 3 3" xfId="2762"/>
    <cellStyle name="20% - 强调文字颜色 6 2 3 4" xfId="2768"/>
    <cellStyle name="20% - 强调文字颜色 6 2 3 5" xfId="2773"/>
    <cellStyle name="20% - 强调文字颜色 6 2 4 2" xfId="2794"/>
    <cellStyle name="20% - 强调文字颜色 6 2 4 3" xfId="2800"/>
    <cellStyle name="20% - 强调文字颜色 6 2 4 4" xfId="2806"/>
    <cellStyle name="20% - 强调文字颜色 6 2 5 2" xfId="2831"/>
    <cellStyle name="20% - 强调文字颜色 6 2 5 3" xfId="2839"/>
    <cellStyle name="20% - 强调文字颜色 6 2 6 2" xfId="2872"/>
    <cellStyle name="20% - 强调文字颜色 6 2 6 3" xfId="2877"/>
    <cellStyle name="20% - 强调文字颜色 6 2 6 4" xfId="2882"/>
    <cellStyle name="20% - 强调文字颜色 6 2 7 2" xfId="1796"/>
    <cellStyle name="20% - 强调文字颜色 6 2 7 3" xfId="1826"/>
    <cellStyle name="20% - 强调文字颜色 6 20 2" xfId="355"/>
    <cellStyle name="20% - 强调文字颜色 6 25 2" xfId="198"/>
    <cellStyle name="20% - 强调文字颜色 6 26 8" xfId="3233"/>
    <cellStyle name="20% - 强调文字颜色 6 27 6" xfId="1684"/>
    <cellStyle name="20% - 强调文字颜色 6 3 11" xfId="2164"/>
    <cellStyle name="20% - 强调文字颜色 6 3 12" xfId="2176"/>
    <cellStyle name="20% - 强调文字颜色 6 3 13" xfId="2185"/>
    <cellStyle name="20% - 强调文字颜色 6 3 14" xfId="2187"/>
    <cellStyle name="20% - 强调文字颜色 6 3 15" xfId="7"/>
    <cellStyle name="20% - 强调文字颜色 6 3 16" xfId="1806"/>
    <cellStyle name="20% - 强调文字颜色 6 3 4" xfId="3767"/>
    <cellStyle name="20% - 强调文字颜色 6 3 5" xfId="105"/>
    <cellStyle name="20% - 强调文字颜色 6 3 6" xfId="3770"/>
    <cellStyle name="20% - 强调文字颜色 6 30 2" xfId="197"/>
    <cellStyle name="20% - 强调文字颜色 6 31 8" xfId="3234"/>
    <cellStyle name="20% - 强调文字颜色 6 32 6" xfId="1685"/>
    <cellStyle name="20% - 强调文字颜色 6 37" xfId="1646"/>
    <cellStyle name="20% - 强调文字颜色 6 4 11" xfId="2358"/>
    <cellStyle name="20% - 强调文字颜色 6 4 12" xfId="2365"/>
    <cellStyle name="20% - 强调文字颜色 6 4 13" xfId="2368"/>
    <cellStyle name="20% - 强调文字颜色 6 4 2 2" xfId="47"/>
    <cellStyle name="20% - 强调文字颜色 6 4 4" xfId="3773"/>
    <cellStyle name="20% - 强调文字颜色 6 4 5" xfId="3777"/>
    <cellStyle name="20% - 强调文字颜色 6 4 6" xfId="3781"/>
    <cellStyle name="20% - 强调文字颜色 6 42" xfId="1647"/>
    <cellStyle name="20% - 强调文字颜色 6 5 12" xfId="65"/>
    <cellStyle name="20% - 强调文字颜色 6 5 3 2" xfId="1458"/>
    <cellStyle name="20% - 强调文字颜色 6 5 3 3" xfId="1460"/>
    <cellStyle name="20% - 强调文字颜色 6 5 3 4" xfId="1462"/>
    <cellStyle name="20% - 强调文字颜色 6 7 2 2" xfId="3409"/>
    <cellStyle name="20% - 强调文字颜色 6 8 11" xfId="2911"/>
    <cellStyle name="20% - 强调文字颜色 6 8 12" xfId="2923"/>
    <cellStyle name="40% - 强调文字颜色 1 11 5" xfId="2361"/>
    <cellStyle name="40% - 强调文字颜色 1 12 10" xfId="3147"/>
    <cellStyle name="40% - 强调文字颜色 1 12 2" xfId="3435"/>
    <cellStyle name="40% - 强调文字颜色 1 12 3" xfId="3440"/>
    <cellStyle name="40% - 强调文字颜色 1 12 4" xfId="3445"/>
    <cellStyle name="40% - 强调文字颜色 1 12 5" xfId="3451"/>
    <cellStyle name="40% - 强调文字颜色 1 12 6" xfId="3457"/>
    <cellStyle name="40% - 强调文字颜色 1 13 10" xfId="233"/>
    <cellStyle name="40% - 强调文字颜色 1 14 10" xfId="498"/>
    <cellStyle name="40% - 强调文字颜色 1 14 8" xfId="3724"/>
    <cellStyle name="40% - 强调文字颜色 1 14 9" xfId="3728"/>
    <cellStyle name="40% - 强调文字颜色 1 15 4" xfId="3884"/>
    <cellStyle name="40% - 强调文字颜色 1 15 8" xfId="3735"/>
    <cellStyle name="40% - 强调文字颜色 1 15 9" xfId="3741"/>
    <cellStyle name="40% - 强调文字颜色 1 16" xfId="2437"/>
    <cellStyle name="40% - 强调文字颜色 1 16 2" xfId="2442"/>
    <cellStyle name="40% - 强调文字颜色 1 17" xfId="2447"/>
    <cellStyle name="40% - 强调文字颜色 1 17 2" xfId="3598"/>
    <cellStyle name="40% - 强调文字颜色 1 17 3" xfId="3604"/>
    <cellStyle name="40% - 强调文字颜色 1 18" xfId="2452"/>
    <cellStyle name="40% - 强调文字颜色 1 19" xfId="2457"/>
    <cellStyle name="40% - 强调文字颜色 1 2 2 2" xfId="3191"/>
    <cellStyle name="40% - 强调文字颜色 1 2 2 2 2 3" xfId="2362"/>
    <cellStyle name="40% - 强调文字颜色 1 2 2 2 6" xfId="3881"/>
    <cellStyle name="40% - 强调文字颜色 1 2 2 2 7" xfId="3888"/>
    <cellStyle name="40% - 强调文字颜色 1 2 2 2 8" xfId="3891"/>
    <cellStyle name="40% - 强调文字颜色 1 2 2 3" xfId="3193"/>
    <cellStyle name="40% - 强调文字颜色 1 2 2 3 2" xfId="139"/>
    <cellStyle name="40% - 强调文字颜色 1 2 2 3 2 3" xfId="2376"/>
    <cellStyle name="40% - 强调文字颜色 1 2 2 3 3" xfId="27"/>
    <cellStyle name="40% - 强调文字颜色 1 2 2 3 4" xfId="151"/>
    <cellStyle name="40% - 强调文字颜色 1 2 2 4" xfId="186"/>
    <cellStyle name="40% - 强调文字颜色 1 2 4 2" xfId="3567"/>
    <cellStyle name="40% - 强调文字颜色 1 2 4 2 2" xfId="3571"/>
    <cellStyle name="40% - 强调文字颜色 1 2 4 2 3" xfId="3574"/>
    <cellStyle name="40% - 强调文字颜色 1 2 4 3" xfId="3622"/>
    <cellStyle name="40% - 强调文字颜色 1 2 4 4" xfId="3644"/>
    <cellStyle name="40% - 强调文字颜色 1 20 4" xfId="3885"/>
    <cellStyle name="40% - 强调文字颜色 1 20 8" xfId="3736"/>
    <cellStyle name="40% - 强调文字颜色 1 20 9" xfId="3742"/>
    <cellStyle name="40% - 强调文字颜色 1 21" xfId="2438"/>
    <cellStyle name="40% - 强调文字颜色 1 21 2" xfId="2443"/>
    <cellStyle name="40% - 强调文字颜色 1 22" xfId="2448"/>
    <cellStyle name="40% - 强调文字颜色 1 22 2" xfId="3599"/>
    <cellStyle name="40% - 强调文字颜色 1 22 3" xfId="3605"/>
    <cellStyle name="40% - 强调文字颜色 1 23" xfId="2453"/>
    <cellStyle name="40% - 强调文字颜色 1 24" xfId="2458"/>
    <cellStyle name="40% - 强调文字颜色 1 25" xfId="2462"/>
    <cellStyle name="40% - 强调文字颜色 1 26" xfId="2468"/>
    <cellStyle name="40% - 强调文字颜色 1 27" xfId="2473"/>
    <cellStyle name="40% - 强调文字颜色 1 28" xfId="2478"/>
    <cellStyle name="40% - 强调文字颜色 1 3 2 4" xfId="309"/>
    <cellStyle name="40% - 强调文字颜色 1 30" xfId="2463"/>
    <cellStyle name="40% - 强调文字颜色 1 31" xfId="2469"/>
    <cellStyle name="40% - 强调文字颜色 1 32" xfId="2474"/>
    <cellStyle name="40% - 强调文字颜色 1 33" xfId="2479"/>
    <cellStyle name="40% - 强调文字颜色 1 35 2" xfId="1933"/>
    <cellStyle name="40% - 强调文字颜色 1 35 3" xfId="1950"/>
    <cellStyle name="40% - 强调文字颜色 1 35 4" xfId="1966"/>
    <cellStyle name="40% - 强调文字颜色 1 35 5" xfId="1970"/>
    <cellStyle name="40% - 强调文字颜色 1 35 6" xfId="1973"/>
    <cellStyle name="40% - 强调文字颜色 1 36 2" xfId="1982"/>
    <cellStyle name="40% - 强调文字颜色 1 36 3" xfId="1986"/>
    <cellStyle name="40% - 强调文字颜色 1 36 4" xfId="1990"/>
    <cellStyle name="40% - 强调文字颜色 1 36 7" xfId="37"/>
    <cellStyle name="40% - 强调文字颜色 1 37 2" xfId="1999"/>
    <cellStyle name="40% - 强调文字颜色 1 37 3" xfId="2003"/>
    <cellStyle name="40% - 强调文字颜色 1 38 2" xfId="2010"/>
    <cellStyle name="40% - 强调文字颜色 1 38 3" xfId="3306"/>
    <cellStyle name="40% - 强调文字颜色 1 39 2" xfId="2015"/>
    <cellStyle name="40% - 强调文字颜色 1 39 3" xfId="2018"/>
    <cellStyle name="40% - 强调文字颜色 1 4 2 4" xfId="361"/>
    <cellStyle name="40% - 强调文字颜色 1 4 6" xfId="2189"/>
    <cellStyle name="40% - 强调文字颜色 1 4 7" xfId="2192"/>
    <cellStyle name="40% - 强调文字颜色 1 4 8" xfId="2195"/>
    <cellStyle name="40% - 强调文字颜色 1 40 2" xfId="1934"/>
    <cellStyle name="40% - 强调文字颜色 1 40 3" xfId="1951"/>
    <cellStyle name="40% - 强调文字颜色 1 40 4" xfId="1967"/>
    <cellStyle name="40% - 强调文字颜色 1 40 5" xfId="1971"/>
    <cellStyle name="40% - 强调文字颜色 1 40 6" xfId="1974"/>
    <cellStyle name="40% - 强调文字颜色 1 41 2" xfId="1983"/>
    <cellStyle name="40% - 强调文字颜色 1 41 3" xfId="1987"/>
    <cellStyle name="40% - 强调文字颜色 1 41 4" xfId="1991"/>
    <cellStyle name="40% - 强调文字颜色 1 41 7" xfId="36"/>
    <cellStyle name="40% - 强调文字颜色 1 42 2" xfId="2000"/>
    <cellStyle name="40% - 强调文字颜色 1 5 2 4" xfId="431"/>
    <cellStyle name="40% - 强调文字颜色 1 5 3" xfId="904"/>
    <cellStyle name="40% - 强调文字颜色 1 5 4" xfId="908"/>
    <cellStyle name="40% - 强调文字颜色 1 5 5" xfId="2435"/>
    <cellStyle name="40% - 强调文字颜色 1 6 2" xfId="2903"/>
    <cellStyle name="40% - 强调文字颜色 1 6 2 2" xfId="3589"/>
    <cellStyle name="40% - 强调文字颜色 1 6 3" xfId="2906"/>
    <cellStyle name="40% - 强调文字颜色 1 6 4" xfId="2909"/>
    <cellStyle name="40% - 强调文字颜色 1 7 2 2" xfId="3821"/>
    <cellStyle name="40% - 强调文字颜色 1 8 2 2" xfId="3042"/>
    <cellStyle name="40% - 强调文字颜色 2 10" xfId="1964"/>
    <cellStyle name="40% - 强调文字颜色 2 10 2 2" xfId="3524"/>
    <cellStyle name="40% - 强调文字颜色 2 11" xfId="216"/>
    <cellStyle name="40% - 强调文字颜色 2 11 10" xfId="205"/>
    <cellStyle name="40% - 强调文字颜色 2 11 2" xfId="232"/>
    <cellStyle name="40% - 强调文字颜色 2 11 2 2" xfId="241"/>
    <cellStyle name="40% - 强调文字颜色 2 11 3" xfId="249"/>
    <cellStyle name="40% - 强调文字颜色 2 11 4" xfId="181"/>
    <cellStyle name="40% - 强调文字颜色 2 11 5" xfId="194"/>
    <cellStyle name="40% - 强调文字颜色 2 11 6" xfId="202"/>
    <cellStyle name="40% - 强调文字颜色 2 11 7" xfId="253"/>
    <cellStyle name="40% - 强调文字颜色 2 11 8" xfId="212"/>
    <cellStyle name="40% - 强调文字颜色 2 11 9" xfId="169"/>
    <cellStyle name="40% - 强调文字颜色 2 12" xfId="33"/>
    <cellStyle name="40% - 强调文字颜色 2 12 10" xfId="207"/>
    <cellStyle name="40% - 强调文字颜色 2 12 2" xfId="175"/>
    <cellStyle name="40% - 强调文字颜色 2 12 2 2" xfId="185"/>
    <cellStyle name="40% - 强调文字颜色 2 12 3" xfId="258"/>
    <cellStyle name="40% - 强调文字颜色 2 12 4" xfId="75"/>
    <cellStyle name="40% - 强调文字颜色 2 12 5" xfId="78"/>
    <cellStyle name="40% - 强调文字颜色 2 12 6" xfId="87"/>
    <cellStyle name="40% - 强调文字颜色 2 12 7" xfId="58"/>
    <cellStyle name="40% - 强调文字颜色 2 12 8" xfId="265"/>
    <cellStyle name="40% - 强调文字颜色 2 12 9" xfId="274"/>
    <cellStyle name="40% - 强调文字颜色 2 13" xfId="281"/>
    <cellStyle name="40% - 强调文字颜色 2 13 10" xfId="296"/>
    <cellStyle name="40% - 强调文字颜色 2 13 2" xfId="301"/>
    <cellStyle name="40% - 强调文字颜色 2 13 2 2" xfId="308"/>
    <cellStyle name="40% - 强调文字颜色 2 13 3" xfId="317"/>
    <cellStyle name="40% - 强调文字颜色 2 13 4" xfId="320"/>
    <cellStyle name="40% - 强调文字颜色 2 13 5" xfId="322"/>
    <cellStyle name="40% - 强调文字颜色 2 13 6" xfId="324"/>
    <cellStyle name="40% - 强调文字颜色 2 13 7" xfId="327"/>
    <cellStyle name="40% - 强调文字颜色 2 13 8" xfId="330"/>
    <cellStyle name="40% - 强调文字颜色 2 13 9" xfId="337"/>
    <cellStyle name="40% - 强调文字颜色 2 14" xfId="343"/>
    <cellStyle name="40% - 强调文字颜色 2 14 10" xfId="354"/>
    <cellStyle name="40% - 强调文字颜色 2 14 2" xfId="17"/>
    <cellStyle name="40% - 强调文字颜色 2 14 2 2" xfId="360"/>
    <cellStyle name="40% - 强调文字颜色 2 14 3" xfId="374"/>
    <cellStyle name="40% - 强调文字颜色 2 14 4" xfId="377"/>
    <cellStyle name="40% - 强调文字颜色 2 14 5" xfId="381"/>
    <cellStyle name="40% - 强调文字颜色 2 14 6" xfId="385"/>
    <cellStyle name="40% - 强调文字颜色 2 14 7" xfId="389"/>
    <cellStyle name="40% - 强调文字颜色 2 14 8" xfId="395"/>
    <cellStyle name="40% - 强调文字颜色 2 14 9" xfId="404"/>
    <cellStyle name="40% - 强调文字颜色 2 15" xfId="411"/>
    <cellStyle name="40% - 强调文字颜色 2 15 2" xfId="425"/>
    <cellStyle name="40% - 强调文字颜色 2 15 3" xfId="439"/>
    <cellStyle name="40% - 强调文字颜色 2 15 4" xfId="444"/>
    <cellStyle name="40% - 强调文字颜色 2 15 5" xfId="448"/>
    <cellStyle name="40% - 强调文字颜色 2 15 6" xfId="451"/>
    <cellStyle name="40% - 强调文字颜色 2 15 7" xfId="455"/>
    <cellStyle name="40% - 强调文字颜色 2 15 8" xfId="458"/>
    <cellStyle name="40% - 强调文字颜色 2 15 9" xfId="472"/>
    <cellStyle name="40% - 强调文字颜色 2 16" xfId="485"/>
    <cellStyle name="40% - 强调文字颜色 2 16 2" xfId="499"/>
    <cellStyle name="40% - 强调文字颜色 2 16 3" xfId="506"/>
    <cellStyle name="40% - 强调文字颜色 2 16 4" xfId="513"/>
    <cellStyle name="40% - 强调文字颜色 2 16 5" xfId="517"/>
    <cellStyle name="40% - 强调文字颜色 2 16 6" xfId="522"/>
    <cellStyle name="40% - 强调文字颜色 2 16 7" xfId="526"/>
    <cellStyle name="40% - 强调文字颜色 2 16 8" xfId="531"/>
    <cellStyle name="40% - 强调文字颜色 2 16 9" xfId="114"/>
    <cellStyle name="40% - 强调文字颜色 2 17" xfId="549"/>
    <cellStyle name="40% - 强调文字颜色 2 17 2" xfId="567"/>
    <cellStyle name="40% - 强调文字颜色 2 17 3" xfId="578"/>
    <cellStyle name="40% - 强调文字颜色 2 17 4" xfId="587"/>
    <cellStyle name="40% - 强调文字颜色 2 17 5" xfId="595"/>
    <cellStyle name="40% - 强调文字颜色 2 17 6" xfId="601"/>
    <cellStyle name="40% - 强调文字颜色 2 17 7" xfId="189"/>
    <cellStyle name="40% - 强调文字颜色 2 17 8" xfId="607"/>
    <cellStyle name="40% - 强调文字颜色 2 17 9" xfId="615"/>
    <cellStyle name="40% - 强调文字颜色 2 18" xfId="626"/>
    <cellStyle name="40% - 强调文字颜色 2 18 2" xfId="639"/>
    <cellStyle name="40% - 强调文字颜色 2 18 3" xfId="648"/>
    <cellStyle name="40% - 强调文字颜色 2 18 4" xfId="659"/>
    <cellStyle name="40% - 强调文字颜色 2 18 5" xfId="665"/>
    <cellStyle name="40% - 强调文字颜色 2 18 6" xfId="670"/>
    <cellStyle name="40% - 强调文字颜色 2 18 7" xfId="675"/>
    <cellStyle name="40% - 强调文字颜色 2 18 8" xfId="679"/>
    <cellStyle name="40% - 强调文字颜色 2 18 9" xfId="683"/>
    <cellStyle name="40% - 强调文字颜色 2 19" xfId="690"/>
    <cellStyle name="40% - 强调文字颜色 2 19 2" xfId="702"/>
    <cellStyle name="40% - 强调文字颜色 2 19 3" xfId="709"/>
    <cellStyle name="40% - 强调文字颜色 2 19 4" xfId="715"/>
    <cellStyle name="40% - 强调文字颜色 2 19 5" xfId="4"/>
    <cellStyle name="40% - 强调文字颜色 2 19 6" xfId="720"/>
    <cellStyle name="40% - 强调文字颜色 2 19 7" xfId="725"/>
    <cellStyle name="40% - 强调文字颜色 2 19 8" xfId="729"/>
    <cellStyle name="40% - 强调文字颜色 2 19 9" xfId="733"/>
    <cellStyle name="40% - 强调文字颜色 2 2 10" xfId="2640"/>
    <cellStyle name="40% - 强调文字颜色 2 2 2 3 2" xfId="3063"/>
    <cellStyle name="40% - 强调文字颜色 2 2 2 3 2 2" xfId="2562"/>
    <cellStyle name="40% - 强调文字颜色 2 2 2 3 2 3" xfId="2565"/>
    <cellStyle name="40% - 强调文字颜色 2 2 2 4 2" xfId="3077"/>
    <cellStyle name="40% - 强调文字颜色 2 2 3 2 2" xfId="25"/>
    <cellStyle name="40% - 强调文字颜色 2 2 4 2 2" xfId="60"/>
    <cellStyle name="40% - 强调文字颜色 2 2 7" xfId="806"/>
    <cellStyle name="40% - 强调文字颜色 2 2 7 2" xfId="269"/>
    <cellStyle name="40% - 强调文字颜色 2 2 7 3" xfId="278"/>
    <cellStyle name="40% - 强调文字颜色 2 2 8" xfId="883"/>
    <cellStyle name="40% - 强调文字颜色 2 2 9" xfId="900"/>
    <cellStyle name="40% - 强调文字颜色 2 20" xfId="410"/>
    <cellStyle name="40% - 强调文字颜色 2 20 2" xfId="424"/>
    <cellStyle name="40% - 强调文字颜色 2 20 3" xfId="438"/>
    <cellStyle name="40% - 强调文字颜色 2 20 4" xfId="443"/>
    <cellStyle name="40% - 强调文字颜色 2 20 5" xfId="447"/>
    <cellStyle name="40% - 强调文字颜色 2 20 6" xfId="450"/>
    <cellStyle name="40% - 强调文字颜色 2 20 7" xfId="454"/>
    <cellStyle name="40% - 强调文字颜色 2 20 8" xfId="460"/>
    <cellStyle name="40% - 强调文字颜色 2 20 9" xfId="473"/>
    <cellStyle name="40% - 强调文字颜色 2 21" xfId="486"/>
    <cellStyle name="40% - 强调文字颜色 2 21 2" xfId="500"/>
    <cellStyle name="40% - 强调文字颜色 2 21 3" xfId="507"/>
    <cellStyle name="40% - 强调文字颜色 2 21 4" xfId="514"/>
    <cellStyle name="40% - 强调文字颜色 2 21 5" xfId="518"/>
    <cellStyle name="40% - 强调文字颜色 2 21 6" xfId="523"/>
    <cellStyle name="40% - 强调文字颜色 2 21 7" xfId="527"/>
    <cellStyle name="40% - 强调文字颜色 2 21 8" xfId="532"/>
    <cellStyle name="40% - 强调文字颜色 2 21 9" xfId="113"/>
    <cellStyle name="40% - 强调文字颜色 2 22" xfId="550"/>
    <cellStyle name="40% - 强调文字颜色 2 22 2" xfId="568"/>
    <cellStyle name="40% - 强调文字颜色 2 22 3" xfId="579"/>
    <cellStyle name="40% - 强调文字颜色 2 22 4" xfId="588"/>
    <cellStyle name="40% - 强调文字颜色 2 22 5" xfId="596"/>
    <cellStyle name="40% - 强调文字颜色 2 22 6" xfId="602"/>
    <cellStyle name="40% - 强调文字颜色 2 22 7" xfId="188"/>
    <cellStyle name="40% - 强调文字颜色 2 22 8" xfId="608"/>
    <cellStyle name="40% - 强调文字颜色 2 22 9" xfId="616"/>
    <cellStyle name="40% - 强调文字颜色 2 23" xfId="627"/>
    <cellStyle name="40% - 强调文字颜色 2 23 2" xfId="640"/>
    <cellStyle name="40% - 强调文字颜色 2 23 3" xfId="649"/>
    <cellStyle name="40% - 强调文字颜色 2 23 4" xfId="660"/>
    <cellStyle name="40% - 强调文字颜色 2 23 5" xfId="666"/>
    <cellStyle name="40% - 强调文字颜色 2 23 6" xfId="671"/>
    <cellStyle name="40% - 强调文字颜色 2 23 7" xfId="676"/>
    <cellStyle name="40% - 强调文字颜色 2 23 8" xfId="680"/>
    <cellStyle name="40% - 强调文字颜色 2 23 9" xfId="684"/>
    <cellStyle name="40% - 强调文字颜色 2 24" xfId="691"/>
    <cellStyle name="40% - 强调文字颜色 2 24 2" xfId="703"/>
    <cellStyle name="40% - 强调文字颜色 2 24 3" xfId="710"/>
    <cellStyle name="40% - 强调文字颜色 2 24 4" xfId="716"/>
    <cellStyle name="40% - 强调文字颜色 2 24 5" xfId="5"/>
    <cellStyle name="40% - 强调文字颜色 2 24 6" xfId="721"/>
    <cellStyle name="40% - 强调文字颜色 2 24 7" xfId="726"/>
    <cellStyle name="40% - 强调文字颜色 2 24 8" xfId="730"/>
    <cellStyle name="40% - 强调文字颜色 2 24 9" xfId="734"/>
    <cellStyle name="40% - 强调文字颜色 2 25" xfId="740"/>
    <cellStyle name="40% - 强调文字颜色 2 25 2" xfId="753"/>
    <cellStyle name="40% - 强调文字颜色 2 25 3" xfId="760"/>
    <cellStyle name="40% - 强调文字颜色 2 25 4" xfId="765"/>
    <cellStyle name="40% - 强调文字颜色 2 25 5" xfId="769"/>
    <cellStyle name="40% - 强调文字颜色 2 25 6" xfId="773"/>
    <cellStyle name="40% - 强调文字颜色 2 25 7" xfId="777"/>
    <cellStyle name="40% - 强调文字颜色 2 25 8" xfId="781"/>
    <cellStyle name="40% - 强调文字颜色 2 25 9" xfId="785"/>
    <cellStyle name="40% - 强调文字颜色 2 26" xfId="939"/>
    <cellStyle name="40% - 强调文字颜色 2 26 2" xfId="951"/>
    <cellStyle name="40% - 强调文字颜色 2 26 3" xfId="956"/>
    <cellStyle name="40% - 强调文字颜色 2 26 4" xfId="961"/>
    <cellStyle name="40% - 强调文字颜色 2 26 5" xfId="965"/>
    <cellStyle name="40% - 强调文字颜色 2 26 6" xfId="969"/>
    <cellStyle name="40% - 强调文字颜色 2 26 7" xfId="973"/>
    <cellStyle name="40% - 强调文字颜色 2 26 8" xfId="977"/>
    <cellStyle name="40% - 强调文字颜色 2 26 9" xfId="988"/>
    <cellStyle name="40% - 强调文字颜色 2 27" xfId="995"/>
    <cellStyle name="40% - 强调文字颜色 2 27 2" xfId="1007"/>
    <cellStyle name="40% - 强调文字颜色 2 27 3" xfId="1013"/>
    <cellStyle name="40% - 强调文字颜色 2 27 4" xfId="1019"/>
    <cellStyle name="40% - 强调文字颜色 2 27 5" xfId="1024"/>
    <cellStyle name="40% - 强调文字颜色 2 27 6" xfId="1029"/>
    <cellStyle name="40% - 强调文字颜色 2 27 7" xfId="1034"/>
    <cellStyle name="40% - 强调文字颜色 2 27 8" xfId="1040"/>
    <cellStyle name="40% - 强调文字颜色 2 27 9" xfId="1051"/>
    <cellStyle name="40% - 强调文字颜色 2 28" xfId="1058"/>
    <cellStyle name="40% - 强调文字颜色 2 28 2" xfId="1066"/>
    <cellStyle name="40% - 强调文字颜色 2 28 3" xfId="1071"/>
    <cellStyle name="40% - 强调文字颜色 2 28 4" xfId="1079"/>
    <cellStyle name="40% - 强调文字颜色 2 28 5" xfId="1085"/>
    <cellStyle name="40% - 强调文字颜色 2 28 6" xfId="1091"/>
    <cellStyle name="40% - 强调文字颜色 2 28 7" xfId="809"/>
    <cellStyle name="40% - 强调文字颜色 2 28 8" xfId="820"/>
    <cellStyle name="40% - 强调文字颜色 2 28 9" xfId="129"/>
    <cellStyle name="40% - 强调文字颜色 2 29" xfId="1097"/>
    <cellStyle name="40% - 强调文字颜色 2 29 2" xfId="799"/>
    <cellStyle name="40% - 强调文字颜色 2 29 3" xfId="224"/>
    <cellStyle name="40% - 强调文字颜色 2 29 4" xfId="44"/>
    <cellStyle name="40% - 强调文字颜色 2 29 5" xfId="289"/>
    <cellStyle name="40% - 强调文字颜色 2 29 6" xfId="351"/>
    <cellStyle name="40% - 强调文字颜色 2 29 7" xfId="418"/>
    <cellStyle name="40% - 强调文字颜色 2 29 8" xfId="477"/>
    <cellStyle name="40% - 强调文字颜色 2 29 9" xfId="540"/>
    <cellStyle name="40% - 强调文字颜色 2 3 2" xfId="3007"/>
    <cellStyle name="40% - 强调文字颜色 2 3 2 2" xfId="3010"/>
    <cellStyle name="40% - 强调文字颜色 2 3 2 3" xfId="3012"/>
    <cellStyle name="40% - 强调文字颜色 2 3 2 4" xfId="3016"/>
    <cellStyle name="40% - 强调文字颜色 2 3 3" xfId="3025"/>
    <cellStyle name="40% - 强调文字颜色 2 3 3 2" xfId="3027"/>
    <cellStyle name="40% - 强调文字颜色 2 3 3 3" xfId="3029"/>
    <cellStyle name="40% - 强调文字颜色 2 3 3 4" xfId="3031"/>
    <cellStyle name="40% - 强调文字颜色 2 3 4" xfId="3040"/>
    <cellStyle name="40% - 强调文字颜色 2 3 5" xfId="3098"/>
    <cellStyle name="40% - 强调文字颜色 2 3 6" xfId="3101"/>
    <cellStyle name="40% - 强调文字颜色 2 3 7" xfId="1157"/>
    <cellStyle name="40% - 强调文字颜色 2 3 8" xfId="1167"/>
    <cellStyle name="40% - 强调文字颜色 2 3 9" xfId="1175"/>
    <cellStyle name="40% - 强调文字颜色 2 30" xfId="741"/>
    <cellStyle name="40% - 强调文字颜色 2 30 2" xfId="754"/>
    <cellStyle name="40% - 强调文字颜色 2 30 3" xfId="761"/>
    <cellStyle name="40% - 强调文字颜色 2 30 4" xfId="766"/>
    <cellStyle name="40% - 强调文字颜色 2 30 5" xfId="770"/>
    <cellStyle name="40% - 强调文字颜色 2 30 6" xfId="774"/>
    <cellStyle name="40% - 强调文字颜色 2 30 7" xfId="778"/>
    <cellStyle name="40% - 强调文字颜色 2 30 8" xfId="782"/>
    <cellStyle name="40% - 强调文字颜色 2 30 9" xfId="786"/>
    <cellStyle name="40% - 强调文字颜色 2 31" xfId="940"/>
    <cellStyle name="40% - 强调文字颜色 2 31 2" xfId="952"/>
    <cellStyle name="40% - 强调文字颜色 2 31 3" xfId="957"/>
    <cellStyle name="40% - 强调文字颜色 2 31 4" xfId="962"/>
    <cellStyle name="40% - 强调文字颜色 2 31 5" xfId="966"/>
    <cellStyle name="40% - 强调文字颜色 2 31 6" xfId="970"/>
    <cellStyle name="40% - 强调文字颜色 2 31 7" xfId="974"/>
    <cellStyle name="40% - 强调文字颜色 2 31 8" xfId="978"/>
    <cellStyle name="40% - 强调文字颜色 2 31 9" xfId="989"/>
    <cellStyle name="40% - 强调文字颜色 2 32" xfId="996"/>
    <cellStyle name="40% - 强调文字颜色 2 32 2" xfId="1008"/>
    <cellStyle name="40% - 强调文字颜色 2 32 3" xfId="1014"/>
    <cellStyle name="40% - 强调文字颜色 2 32 4" xfId="1020"/>
    <cellStyle name="40% - 强调文字颜色 2 32 5" xfId="1025"/>
    <cellStyle name="40% - 强调文字颜色 2 32 6" xfId="1030"/>
    <cellStyle name="40% - 强调文字颜色 2 32 7" xfId="1035"/>
    <cellStyle name="40% - 强调文字颜色 2 32 8" xfId="1041"/>
    <cellStyle name="40% - 强调文字颜色 2 32 9" xfId="1052"/>
    <cellStyle name="40% - 强调文字颜色 2 33" xfId="1059"/>
    <cellStyle name="40% - 强调文字颜色 2 33 2" xfId="1067"/>
    <cellStyle name="40% - 强调文字颜色 2 33 3" xfId="1072"/>
    <cellStyle name="40% - 强调文字颜色 2 33 4" xfId="1080"/>
    <cellStyle name="40% - 强调文字颜色 2 33 5" xfId="1086"/>
    <cellStyle name="40% - 强调文字颜色 2 33 6" xfId="1092"/>
    <cellStyle name="40% - 强调文字颜色 2 33 7" xfId="810"/>
    <cellStyle name="40% - 强调文字颜色 2 33 8" xfId="821"/>
    <cellStyle name="40% - 强调文字颜色 2 33 9" xfId="128"/>
    <cellStyle name="40% - 强调文字颜色 2 34" xfId="1098"/>
    <cellStyle name="40% - 强调文字颜色 2 34 2" xfId="800"/>
    <cellStyle name="40% - 强调文字颜色 2 34 3" xfId="223"/>
    <cellStyle name="40% - 强调文字颜色 2 34 4" xfId="43"/>
    <cellStyle name="40% - 强调文字颜色 2 34 5" xfId="288"/>
    <cellStyle name="40% - 强调文字颜色 2 34 6" xfId="350"/>
    <cellStyle name="40% - 强调文字颜色 2 34 7" xfId="417"/>
    <cellStyle name="40% - 强调文字颜色 2 34 8" xfId="478"/>
    <cellStyle name="40% - 强调文字颜色 2 34 9" xfId="541"/>
    <cellStyle name="40% - 强调文字颜色 2 35" xfId="1101"/>
    <cellStyle name="40% - 强调文字颜色 2 35 2" xfId="1111"/>
    <cellStyle name="40% - 强调文字颜色 2 35 3" xfId="1119"/>
    <cellStyle name="40% - 强调文字颜色 2 35 4" xfId="1127"/>
    <cellStyle name="40% - 强调文字颜色 2 35 5" xfId="1134"/>
    <cellStyle name="40% - 强调文字颜色 2 35 6" xfId="1141"/>
    <cellStyle name="40% - 强调文字颜色 2 35 7" xfId="834"/>
    <cellStyle name="40% - 强调文字颜色 2 35 8" xfId="847"/>
    <cellStyle name="40% - 强调文字颜色 2 35 9" xfId="859"/>
    <cellStyle name="40% - 强调文字颜色 2 36" xfId="1198"/>
    <cellStyle name="40% - 强调文字颜色 2 36 2" xfId="1203"/>
    <cellStyle name="40% - 强调文字颜色 2 36 3" xfId="1207"/>
    <cellStyle name="40% - 强调文字颜色 2 36 4" xfId="1212"/>
    <cellStyle name="40% - 强调文字颜色 2 36 5" xfId="1217"/>
    <cellStyle name="40% - 强调文字颜色 2 36 6" xfId="1222"/>
    <cellStyle name="40% - 强调文字颜色 2 36 7" xfId="873"/>
    <cellStyle name="40% - 强调文字颜色 2 36 8" xfId="369"/>
    <cellStyle name="40% - 强调文字颜色 2 36 9" xfId="1227"/>
    <cellStyle name="40% - 强调文字颜色 2 37" xfId="1233"/>
    <cellStyle name="40% - 强调文字颜色 2 37 2" xfId="1238"/>
    <cellStyle name="40% - 强调文字颜色 2 37 3" xfId="1244"/>
    <cellStyle name="40% - 强调文字颜色 2 37 4" xfId="1250"/>
    <cellStyle name="40% - 强调文字颜色 2 37 5" xfId="1257"/>
    <cellStyle name="40% - 强调文字颜色 2 37 6" xfId="1265"/>
    <cellStyle name="40% - 强调文字颜色 2 37 7" xfId="1273"/>
    <cellStyle name="40% - 强调文字颜色 2 37 8" xfId="1280"/>
    <cellStyle name="40% - 强调文字颜色 2 37 9" xfId="1287"/>
    <cellStyle name="40% - 强调文字颜色 2 38" xfId="1293"/>
    <cellStyle name="40% - 强调文字颜色 2 38 2" xfId="1301"/>
    <cellStyle name="40% - 强调文字颜色 2 38 3" xfId="1305"/>
    <cellStyle name="40% - 强调文字颜色 2 38 4" xfId="1311"/>
    <cellStyle name="40% - 强调文字颜色 2 38 5" xfId="1316"/>
    <cellStyle name="40% - 强调文字颜色 2 38 6" xfId="1321"/>
    <cellStyle name="40% - 强调文字颜色 2 38 7" xfId="1325"/>
    <cellStyle name="40% - 强调文字颜色 2 38 8" xfId="1329"/>
    <cellStyle name="40% - 强调文字颜色 2 38 9" xfId="1333"/>
    <cellStyle name="40% - 强调文字颜色 2 39" xfId="1338"/>
    <cellStyle name="40% - 强调文字颜色 2 39 2" xfId="67"/>
    <cellStyle name="40% - 强调文字颜色 2 39 3" xfId="1151"/>
    <cellStyle name="40% - 强调文字颜色 2 39 4" xfId="1344"/>
    <cellStyle name="40% - 强调文字颜色 2 39 5" xfId="1350"/>
    <cellStyle name="40% - 强调文字颜色 2 39 6" xfId="1355"/>
    <cellStyle name="40% - 强调文字颜色 2 39 7" xfId="1359"/>
    <cellStyle name="40% - 强调文字颜色 2 39 8" xfId="1363"/>
    <cellStyle name="40% - 强调文字颜色 2 39 9" xfId="1367"/>
    <cellStyle name="40% - 强调文字颜色 2 4 2 2" xfId="1719"/>
    <cellStyle name="40% - 强调文字颜色 2 4 2 3" xfId="1723"/>
    <cellStyle name="40% - 强调文字颜色 2 4 2 4" xfId="1730"/>
    <cellStyle name="40% - 强调文字颜色 2 4 3 2" xfId="1750"/>
    <cellStyle name="40% - 强调文字颜色 2 4 3 3" xfId="1753"/>
    <cellStyle name="40% - 强调文字颜色 2 4 3 4" xfId="1758"/>
    <cellStyle name="40% - 强调文字颜色 2 4 7" xfId="1392"/>
    <cellStyle name="40% - 强调文字颜色 2 4 8" xfId="98"/>
    <cellStyle name="40% - 强调文字颜色 2 4 9" xfId="1416"/>
    <cellStyle name="40% - 强调文字颜色 2 40" xfId="1102"/>
    <cellStyle name="40% - 强调文字颜色 2 40 2" xfId="1112"/>
    <cellStyle name="40% - 强调文字颜色 2 40 3" xfId="1120"/>
    <cellStyle name="40% - 强调文字颜色 2 40 4" xfId="1128"/>
    <cellStyle name="40% - 强调文字颜色 2 40 5" xfId="1135"/>
    <cellStyle name="40% - 强调文字颜色 2 40 6" xfId="1142"/>
    <cellStyle name="40% - 强调文字颜色 2 40 7" xfId="835"/>
    <cellStyle name="40% - 强调文字颜色 2 40 8" xfId="848"/>
    <cellStyle name="40% - 强调文字颜色 2 40 9" xfId="860"/>
    <cellStyle name="40% - 强调文字颜色 2 41" xfId="1199"/>
    <cellStyle name="40% - 强调文字颜色 2 41 2" xfId="1204"/>
    <cellStyle name="40% - 强调文字颜色 2 41 3" xfId="1208"/>
    <cellStyle name="40% - 强调文字颜色 2 41 4" xfId="1213"/>
    <cellStyle name="40% - 强调文字颜色 2 41 5" xfId="1218"/>
    <cellStyle name="40% - 强调文字颜色 2 41 6" xfId="1223"/>
    <cellStyle name="40% - 强调文字颜色 2 41 7" xfId="874"/>
    <cellStyle name="40% - 强调文字颜色 2 41 8" xfId="368"/>
    <cellStyle name="40% - 强调文字颜色 2 41 9" xfId="1228"/>
    <cellStyle name="40% - 强调文字颜色 2 42" xfId="1234"/>
    <cellStyle name="40% - 强调文字颜色 2 42 2" xfId="1239"/>
    <cellStyle name="40% - 强调文字颜色 2 43" xfId="1294"/>
    <cellStyle name="40% - 强调文字颜色 2 44" xfId="1339"/>
    <cellStyle name="40% - 强调文字颜色 2 45" xfId="51"/>
    <cellStyle name="40% - 强调文字颜色 2 46" xfId="1431"/>
    <cellStyle name="40% - 强调文字颜色 2 47" xfId="1438"/>
    <cellStyle name="40% - 强调文字颜色 2 48" xfId="1443"/>
    <cellStyle name="40% - 强调文字颜色 2 49" xfId="1450"/>
    <cellStyle name="40% - 强调文字颜色 2 5 2 2" xfId="2593"/>
    <cellStyle name="40% - 强调文字颜色 2 5 2 3" xfId="2598"/>
    <cellStyle name="40% - 强调文字颜色 2 5 2 4" xfId="2604"/>
    <cellStyle name="40% - 强调文字颜色 2 5 3" xfId="2383"/>
    <cellStyle name="40% - 强调文字颜色 2 5 3 2" xfId="2622"/>
    <cellStyle name="40% - 强调文字颜色 2 5 7" xfId="1464"/>
    <cellStyle name="40% - 强调文字颜色 2 5 8" xfId="1472"/>
    <cellStyle name="40% - 强调文字颜色 2 5 9" xfId="1483"/>
    <cellStyle name="40% - 强调文字颜色 2 50" xfId="50"/>
    <cellStyle name="40% - 强调文字颜色 2 51" xfId="1432"/>
    <cellStyle name="40% - 强调文字颜色 2 52" xfId="1439"/>
    <cellStyle name="40% - 强调文字颜色 2 53" xfId="1444"/>
    <cellStyle name="40% - 强调文字颜色 2 54" xfId="1451"/>
    <cellStyle name="40% - 强调文字颜色 2 55" xfId="1106"/>
    <cellStyle name="40% - 强调文字颜色 2 56" xfId="1115"/>
    <cellStyle name="40% - 强调文字颜色 2 57" xfId="1124"/>
    <cellStyle name="40% - 强调文字颜色 2 58" xfId="1131"/>
    <cellStyle name="40% - 强调文字颜色 2 59" xfId="1138"/>
    <cellStyle name="40% - 强调文字颜色 2 6 7" xfId="1497"/>
    <cellStyle name="40% - 强调文字颜色 2 6 8" xfId="1501"/>
    <cellStyle name="40% - 强调文字颜色 2 6 9" xfId="1505"/>
    <cellStyle name="40% - 强调文字颜色 2 60" xfId="1107"/>
    <cellStyle name="40% - 强调文字颜色 2 61" xfId="1116"/>
    <cellStyle name="40% - 强调文字颜色 2 7 7" xfId="1521"/>
    <cellStyle name="40% - 强调文字颜色 2 7 8" xfId="1526"/>
    <cellStyle name="40% - 强调文字颜色 2 7 9" xfId="1529"/>
    <cellStyle name="40% - 强调文字颜色 2 8 2" xfId="3667"/>
    <cellStyle name="40% - 强调文字颜色 2 8 2 2" xfId="3673"/>
    <cellStyle name="40% - 强调文字颜色 2 8 3" xfId="3690"/>
    <cellStyle name="40% - 强调文字颜色 2 8 4" xfId="3706"/>
    <cellStyle name="40% - 强调文字颜色 2 8 5" xfId="3751"/>
    <cellStyle name="40% - 强调文字颜色 2 8 6" xfId="3757"/>
    <cellStyle name="40% - 强调文字颜色 2 8 7" xfId="1552"/>
    <cellStyle name="40% - 强调文字颜色 2 8 8" xfId="1559"/>
    <cellStyle name="40% - 强调文字颜色 2 8 9" xfId="1564"/>
    <cellStyle name="40% - 强调文字颜色 2 9 2 2" xfId="2423"/>
    <cellStyle name="40% - 强调文字颜色 2 9 7" xfId="1585"/>
    <cellStyle name="40% - 强调文字颜色 2 9 8" xfId="1594"/>
    <cellStyle name="40% - 强调文字颜色 2 9 9" xfId="1597"/>
    <cellStyle name="40% - 强调文字颜色 3 11" xfId="1605"/>
    <cellStyle name="40% - 强调文字颜色 3 11 10" xfId="1610"/>
    <cellStyle name="40% - 强调文字颜色 3 11 2" xfId="1617"/>
    <cellStyle name="40% - 强调文字颜色 3 11 2 2" xfId="1295"/>
    <cellStyle name="40% - 强调文字颜色 3 11 3" xfId="1620"/>
    <cellStyle name="40% - 强调文字颜色 3 11 4" xfId="1622"/>
    <cellStyle name="40% - 强调文字颜色 3 11 5" xfId="1624"/>
    <cellStyle name="40% - 强调文字颜色 3 11 6" xfId="1626"/>
    <cellStyle name="40% - 强调文字颜色 3 11 7" xfId="1628"/>
    <cellStyle name="40% - 强调文字颜色 3 11 8" xfId="1630"/>
    <cellStyle name="40% - 强调文字颜色 3 11 9" xfId="1632"/>
    <cellStyle name="40% - 强调文字颜色 3 12" xfId="1634"/>
    <cellStyle name="40% - 强调文字颜色 3 12 10" xfId="1637"/>
    <cellStyle name="40% - 强调文字颜色 3 12 2" xfId="1642"/>
    <cellStyle name="40% - 强调文字颜色 3 12 2 2" xfId="1648"/>
    <cellStyle name="40% - 强调文字颜色 3 12 3" xfId="1653"/>
    <cellStyle name="40% - 强调文字颜色 3 12 4" xfId="1658"/>
    <cellStyle name="40% - 强调文字颜色 3 12 5" xfId="1662"/>
    <cellStyle name="40% - 强调文字颜色 3 12 6" xfId="1665"/>
    <cellStyle name="40% - 强调文字颜色 3 12 7" xfId="1668"/>
    <cellStyle name="40% - 强调文字颜色 3 12 8" xfId="1670"/>
    <cellStyle name="40% - 强调文字颜色 3 12 9" xfId="1672"/>
    <cellStyle name="40% - 强调文字颜色 3 13" xfId="1674"/>
    <cellStyle name="40% - 强调文字颜色 3 13 10" xfId="1678"/>
    <cellStyle name="40% - 强调文字颜色 3 13 2" xfId="1682"/>
    <cellStyle name="40% - 强调文字颜色 3 13 2 2" xfId="1686"/>
    <cellStyle name="40% - 强调文字颜色 3 13 3" xfId="1689"/>
    <cellStyle name="40% - 强调文字颜色 3 13 4" xfId="1691"/>
    <cellStyle name="40% - 强调文字颜色 3 13 5" xfId="1693"/>
    <cellStyle name="40% - 强调文字颜色 3 13 6" xfId="1695"/>
    <cellStyle name="40% - 强调文字颜色 3 13 7" xfId="1697"/>
    <cellStyle name="40% - 强调文字颜色 3 13 8" xfId="1700"/>
    <cellStyle name="40% - 强调文字颜色 3 13 9" xfId="1702"/>
    <cellStyle name="40% - 强调文字颜色 3 14" xfId="1704"/>
    <cellStyle name="40% - 强调文字颜色 3 14 10" xfId="1493"/>
    <cellStyle name="40% - 强调文字颜色 3 14 2" xfId="1707"/>
    <cellStyle name="40% - 强调文字颜色 3 14 2 2" xfId="1709"/>
    <cellStyle name="40% - 强调文字颜色 3 14 3" xfId="1713"/>
    <cellStyle name="40% - 强调文字颜色 3 14 4" xfId="1715"/>
    <cellStyle name="40% - 强调文字颜色 3 14 5" xfId="1717"/>
    <cellStyle name="40% - 强调文字颜色 3 14 6" xfId="1720"/>
    <cellStyle name="40% - 强调文字颜色 3 14 7" xfId="1724"/>
    <cellStyle name="40% - 强调文字颜色 3 14 8" xfId="1731"/>
    <cellStyle name="40% - 强调文字颜色 3 14 9" xfId="1734"/>
    <cellStyle name="40% - 强调文字颜色 3 15" xfId="1737"/>
    <cellStyle name="40% - 强调文字颜色 3 15 2" xfId="1741"/>
    <cellStyle name="40% - 强调文字颜色 3 20" xfId="1738"/>
    <cellStyle name="40% - 强调文字颜色 3 20 2" xfId="1742"/>
    <cellStyle name="40% - 强调文字颜色 3 38 9" xfId="2247"/>
    <cellStyle name="40% - 强调文字颜色 3 5 12" xfId="841"/>
    <cellStyle name="40% - 强调文字颜色 3 5 13" xfId="843"/>
    <cellStyle name="40% - 强调文字颜色 3 9 7" xfId="1941"/>
    <cellStyle name="40% - 强调文字颜色 3 9 8" xfId="1944"/>
    <cellStyle name="40% - 强调文字颜色 4 14 6" xfId="2424"/>
    <cellStyle name="40% - 强调文字颜色 4 14 7" xfId="2429"/>
    <cellStyle name="40% - 强调文字颜色 4 25 3" xfId="551"/>
    <cellStyle name="40% - 强调文字颜色 4 25 4" xfId="628"/>
    <cellStyle name="40% - 强调文字颜色 4 25 5" xfId="692"/>
    <cellStyle name="40% - 强调文字颜色 4 25 6" xfId="742"/>
    <cellStyle name="40% - 强调文字颜色 4 25 7" xfId="941"/>
    <cellStyle name="40% - 强调文字颜色 4 25 8" xfId="997"/>
    <cellStyle name="40% - 强调文字颜色 4 26 3" xfId="2758"/>
    <cellStyle name="40% - 强调文字颜色 4 26 4" xfId="2763"/>
    <cellStyle name="40% - 强调文字颜色 4 26 5" xfId="2769"/>
    <cellStyle name="40% - 强调文字颜色 4 26 6" xfId="2774"/>
    <cellStyle name="40% - 强调文字颜色 4 27 3" xfId="2795"/>
    <cellStyle name="40% - 强调文字颜色 4 27 4" xfId="2801"/>
    <cellStyle name="40% - 强调文字颜色 4 27 5" xfId="2807"/>
    <cellStyle name="40% - 强调文字颜色 4 28 3" xfId="2832"/>
    <cellStyle name="40% - 强调文字颜色 4 28 4" xfId="2840"/>
    <cellStyle name="40% - 强调文字颜色 4 29 3" xfId="2873"/>
    <cellStyle name="40% - 强调文字颜色 4 29 4" xfId="2878"/>
    <cellStyle name="40% - 强调文字颜色 4 29 5" xfId="2883"/>
    <cellStyle name="40% - 强调文字颜色 4 30 3" xfId="552"/>
    <cellStyle name="40% - 强调文字颜色 4 30 4" xfId="629"/>
    <cellStyle name="40% - 强调文字颜色 4 30 5" xfId="693"/>
    <cellStyle name="40% - 强调文字颜色 4 30 6" xfId="743"/>
    <cellStyle name="40% - 强调文字颜色 4 30 7" xfId="942"/>
    <cellStyle name="40% - 强调文字颜色 4 30 8" xfId="998"/>
    <cellStyle name="40% - 强调文字颜色 4 31 3" xfId="2759"/>
    <cellStyle name="40% - 强调文字颜色 4 31 4" xfId="2764"/>
    <cellStyle name="40% - 强调文字颜色 4 31 5" xfId="2770"/>
    <cellStyle name="40% - 强调文字颜色 4 31 6" xfId="2775"/>
    <cellStyle name="40% - 强调文字颜色 4 32 3" xfId="2796"/>
    <cellStyle name="40% - 强调文字颜色 4 32 4" xfId="2802"/>
    <cellStyle name="40% - 强调文字颜色 4 32 5" xfId="2808"/>
    <cellStyle name="40% - 强调文字颜色 4 33 3" xfId="2833"/>
    <cellStyle name="40% - 强调文字颜色 4 33 4" xfId="2841"/>
    <cellStyle name="40% - 强调文字颜色 4 34 3" xfId="2874"/>
    <cellStyle name="40% - 强调文字颜色 4 34 4" xfId="2879"/>
    <cellStyle name="40% - 强调文字颜色 4 34 5" xfId="2884"/>
    <cellStyle name="40% - 强调文字颜色 4 35 3" xfId="1797"/>
    <cellStyle name="40% - 强调文字颜色 4 35 4" xfId="1827"/>
    <cellStyle name="40% - 强调文字颜色 4 40 3" xfId="1798"/>
    <cellStyle name="40% - 强调文字颜色 4 40 4" xfId="1828"/>
    <cellStyle name="40% - 强调文字颜色 4 6 7" xfId="3148"/>
    <cellStyle name="40% - 强调文字颜色 4 9 7" xfId="1957"/>
    <cellStyle name="40% - 强调文字颜色 4 9 8" xfId="1961"/>
    <cellStyle name="40% - 强调文字颜色 5 11 4" xfId="3226"/>
    <cellStyle name="40% - 强调文字颜色 5 12 2 2" xfId="3235"/>
    <cellStyle name="40% - 强调文字颜色 5 16 4" xfId="3300"/>
    <cellStyle name="40% - 强调文字颜色 5 2 4 2 2" xfId="2128"/>
    <cellStyle name="40% - 强调文字颜色 5 21 4" xfId="3301"/>
    <cellStyle name="40% - 强调文字颜色 5 25 3" xfId="3410"/>
    <cellStyle name="40% - 强调文字颜色 5 3 2 2" xfId="1081"/>
    <cellStyle name="40% - 强调文字颜色 5 3 2 3" xfId="1087"/>
    <cellStyle name="40% - 强调文字颜色 5 3 2 4" xfId="1093"/>
    <cellStyle name="40% - 强调文字颜色 5 3 3 2" xfId="42"/>
    <cellStyle name="40% - 强调文字颜色 5 3 3 3" xfId="287"/>
    <cellStyle name="40% - 强调文字颜色 5 3 3 4" xfId="349"/>
    <cellStyle name="40% - 强调文字颜色 5 3 6 2" xfId="1251"/>
    <cellStyle name="40% - 强调文字颜色 5 3 6 3" xfId="1258"/>
    <cellStyle name="40% - 强调文字颜色 5 3 6 4" xfId="1266"/>
    <cellStyle name="40% - 强调文字颜色 5 30 3" xfId="3411"/>
    <cellStyle name="40% - 强调文字颜色 5 36 7" xfId="2170"/>
    <cellStyle name="40% - 强调文字颜色 5 41 7" xfId="2171"/>
    <cellStyle name="40% - 强调文字颜色 5 5 9" xfId="1377"/>
    <cellStyle name="40% - 强调文字颜色 6 12 10" xfId="650"/>
    <cellStyle name="40% - 强调文字颜色 6 2 2 3 2 3" xfId="3318"/>
    <cellStyle name="60% - 强调文字颜色 1 12 2 2" xfId="3540"/>
    <cellStyle name="60% - 强调文字颜色 1 2" xfId="2654"/>
    <cellStyle name="60% - 强调文字颜色 1 2 2 2" xfId="2334"/>
    <cellStyle name="60% - 强调文字颜色 1 2 2 3" xfId="2336"/>
    <cellStyle name="60% - 强调文字颜色 1 2 2 3 3" xfId="2586"/>
    <cellStyle name="60% - 强调文字颜色 1 2 2 3 4" xfId="2668"/>
    <cellStyle name="60% - 强调文字颜色 1 2 2 4" xfId="2338"/>
    <cellStyle name="60% - 强调文字颜色 1 2 2 4 3" xfId="2912"/>
    <cellStyle name="60% - 强调文字颜色 1 2 2 4 4" xfId="2924"/>
    <cellStyle name="60% - 强调文字颜色 1 2 2 5" xfId="1887"/>
    <cellStyle name="60% - 强调文字颜色 1 2 2 5 3" xfId="3053"/>
    <cellStyle name="60% - 强调文字颜色 1 2 2 6" xfId="1891"/>
    <cellStyle name="60% - 强调文字颜色 1 2 2 7" xfId="1895"/>
    <cellStyle name="60% - 强调文字颜色 1 2 3 2" xfId="2347"/>
    <cellStyle name="60% - 强调文字颜色 1 2 3 3" xfId="2349"/>
    <cellStyle name="60% - 强调文字颜色 1 2 3 4" xfId="2351"/>
    <cellStyle name="60% - 强调文字颜色 1 2 3 5" xfId="2035"/>
    <cellStyle name="60% - 强调文字颜色 1 2 4 2" xfId="2366"/>
    <cellStyle name="60% - 强调文字颜色 1 2 4 3" xfId="2369"/>
    <cellStyle name="60% - 强调文字颜色 1 2 4 4" xfId="2373"/>
    <cellStyle name="60% - 强调文字颜色 1 2 5 2" xfId="1945"/>
    <cellStyle name="60% - 强调文字颜色 1 2 5 3" xfId="2378"/>
    <cellStyle name="60% - 强调文字颜色 1 3 2 2" xfId="3150"/>
    <cellStyle name="60% - 强调文字颜色 1 3 3 2" xfId="3174"/>
    <cellStyle name="60% - 强调文字颜色 1 4 2 2" xfId="3796"/>
    <cellStyle name="60% - 强调文字颜色 1 4 2 3" xfId="3798"/>
    <cellStyle name="60% - 强调文字颜色 1 4 2 4" xfId="3800"/>
    <cellStyle name="60% - 强调文字颜色 1 4 3 2" xfId="3814"/>
    <cellStyle name="60% - 强调文字颜色 1 4 3 3" xfId="3611"/>
    <cellStyle name="60% - 强调文字颜色 1 4 3 4" xfId="3615"/>
    <cellStyle name="60% - 强调文字颜色 2 17" xfId="2439"/>
    <cellStyle name="60% - 强调文字颜色 2 17 2" xfId="2444"/>
    <cellStyle name="60% - 强调文字颜色 2 18" xfId="2449"/>
    <cellStyle name="60% - 强调文字颜色 2 19" xfId="2454"/>
    <cellStyle name="60% - 强调文字颜色 2 2" xfId="3095"/>
    <cellStyle name="60% - 强调文字颜色 2 22" xfId="2440"/>
    <cellStyle name="60% - 强调文字颜色 2 22 2" xfId="2445"/>
    <cellStyle name="60% - 强调文字颜色 2 23" xfId="2450"/>
    <cellStyle name="60% - 强调文字颜色 2 24" xfId="2455"/>
    <cellStyle name="60% - 强调文字颜色 2 25" xfId="2459"/>
    <cellStyle name="60% - 强调文字颜色 2 26" xfId="2464"/>
    <cellStyle name="60% - 强调文字颜色 2 27" xfId="2470"/>
    <cellStyle name="60% - 强调文字颜色 2 28" xfId="2475"/>
    <cellStyle name="60% - 强调文字颜色 2 29" xfId="2480"/>
    <cellStyle name="60% - 强调文字颜色 2 30" xfId="2460"/>
    <cellStyle name="60% - 强调文字颜色 2 31" xfId="2465"/>
    <cellStyle name="60% - 强调文字颜色 2 32" xfId="2471"/>
    <cellStyle name="60% - 强调文字颜色 2 33" xfId="2476"/>
    <cellStyle name="60% - 强调文字颜色 2 34" xfId="2481"/>
    <cellStyle name="60% - 强调文字颜色 2 6 6" xfId="240"/>
    <cellStyle name="60% - 强调文字颜色 3 14 3" xfId="316"/>
    <cellStyle name="60% - 强调文字颜色 3 17" xfId="487"/>
    <cellStyle name="60% - 强调文字颜色 3 18" xfId="553"/>
    <cellStyle name="60% - 强调文字颜色 3 19" xfId="630"/>
    <cellStyle name="60% - 强调文字颜色 3 19 3" xfId="651"/>
    <cellStyle name="60% - 强调文字颜色 3 2" xfId="3140"/>
    <cellStyle name="60% - 强调文字颜色 3 2 10" xfId="2623"/>
    <cellStyle name="60% - 强调文字颜色 3 22" xfId="488"/>
    <cellStyle name="60% - 强调文字颜色 3 23" xfId="554"/>
    <cellStyle name="60% - 强调文字颜色 3 24" xfId="631"/>
    <cellStyle name="60% - 强调文字颜色 3 24 3" xfId="652"/>
    <cellStyle name="60% - 强调文字颜色 3 25" xfId="694"/>
    <cellStyle name="60% - 强调文字颜色 3 26" xfId="744"/>
    <cellStyle name="60% - 强调文字颜色 3 27" xfId="943"/>
    <cellStyle name="60% - 强调文字颜色 3 28" xfId="999"/>
    <cellStyle name="60% - 强调文字颜色 3 29" xfId="1060"/>
    <cellStyle name="60% - 强调文字颜色 3 29 3" xfId="1073"/>
    <cellStyle name="60% - 强调文字颜色 3 30" xfId="695"/>
    <cellStyle name="60% - 强调文字颜色 3 31" xfId="745"/>
    <cellStyle name="60% - 强调文字颜色 3 32" xfId="944"/>
    <cellStyle name="60% - 强调文字颜色 3 33" xfId="1000"/>
    <cellStyle name="60% - 强调文字颜色 3 34" xfId="1061"/>
    <cellStyle name="60% - 强调文字颜色 3 34 3" xfId="1074"/>
    <cellStyle name="60% - 强调文字颜色 3 36 8" xfId="849"/>
    <cellStyle name="60% - 强调文字颜色 3 36 9" xfId="861"/>
    <cellStyle name="60% - 强调文字颜色 3 39 3" xfId="1306"/>
    <cellStyle name="60% - 强调文字颜色 3 41 8" xfId="850"/>
    <cellStyle name="60% - 强调文字颜色 3 41 9" xfId="862"/>
    <cellStyle name="60% - 强调文字颜色 3 6 6" xfId="184"/>
    <cellStyle name="60% - 强调文字颜色 4 12 10" xfId="1611"/>
    <cellStyle name="60% - 强调文字颜色 4 12 2 2" xfId="1296"/>
    <cellStyle name="60% - 强调文字颜色 4 14 2 2" xfId="1687"/>
    <cellStyle name="60% - 强调文字颜色 4 17" xfId="1768"/>
    <cellStyle name="60% - 强调文字颜色 4 18" xfId="1799"/>
    <cellStyle name="60% - 强调文字颜色 4 18 2" xfId="8"/>
    <cellStyle name="60% - 强调文字颜色 4 19" xfId="1829"/>
    <cellStyle name="60% - 强调文字颜色 4 2" xfId="3165"/>
    <cellStyle name="60% - 强调文字颜色 4 22" xfId="1769"/>
    <cellStyle name="60% - 强调文字颜色 4 23" xfId="1800"/>
    <cellStyle name="60% - 强调文字颜色 4 23 2" xfId="9"/>
    <cellStyle name="60% - 强调文字颜色 4 24" xfId="1830"/>
    <cellStyle name="60% - 强调文字颜色 4 25" xfId="1858"/>
    <cellStyle name="60% - 强调文字颜色 4 25 6" xfId="982"/>
    <cellStyle name="60% - 强调文字颜色 4 25 7" xfId="1397"/>
    <cellStyle name="60% - 强调文字颜色 4 25 8" xfId="1403"/>
    <cellStyle name="60% - 强调文字颜色 4 26" xfId="1880"/>
    <cellStyle name="60% - 强调文字颜色 4 26 6" xfId="1046"/>
    <cellStyle name="60% - 强调文字颜色 4 26 7" xfId="1408"/>
    <cellStyle name="60% - 强调文字颜色 4 26 8" xfId="1413"/>
    <cellStyle name="60% - 强调文字颜色 4 27" xfId="2028"/>
    <cellStyle name="60% - 强调文字颜色 4 28" xfId="2057"/>
    <cellStyle name="60% - 强调文字颜色 4 29" xfId="2085"/>
    <cellStyle name="60% - 强调文字颜色 4 30" xfId="1859"/>
    <cellStyle name="60% - 强调文字颜色 4 30 6" xfId="983"/>
    <cellStyle name="60% - 强调文字颜色 4 30 7" xfId="1398"/>
    <cellStyle name="60% - 强调文字颜色 4 30 8" xfId="1404"/>
    <cellStyle name="60% - 强调文字颜色 4 31" xfId="1881"/>
    <cellStyle name="60% - 强调文字颜色 4 31 6" xfId="1047"/>
    <cellStyle name="60% - 强调文字颜色 4 31 7" xfId="1409"/>
    <cellStyle name="60% - 强调文字颜色 4 31 8" xfId="1414"/>
    <cellStyle name="60% - 强调文字颜色 4 32" xfId="2029"/>
    <cellStyle name="60% - 强调文字颜色 4 33" xfId="2058"/>
    <cellStyle name="60% - 强调文字颜色 4 34" xfId="2086"/>
    <cellStyle name="60% - 强调文字颜色 4 4 2 4" xfId="1581"/>
    <cellStyle name="60% - 强调文字颜色 4 4 3 4" xfId="1938"/>
    <cellStyle name="60% - 强调文字颜色 4 5 2 4" xfId="1979"/>
    <cellStyle name="60% - 强调文字颜色 4 6 3" xfId="295"/>
    <cellStyle name="60% - 强调文字颜色 4 6 6" xfId="307"/>
    <cellStyle name="60% - 强调文字颜色 5 11 2 2" xfId="905"/>
    <cellStyle name="60% - 强调文字颜色 5 12 2 2" xfId="2384"/>
    <cellStyle name="60% - 强调文字颜色 5 17" xfId="2485"/>
    <cellStyle name="60% - 强调文字颜色 5 18" xfId="2507"/>
    <cellStyle name="60% - 强调文字颜色 5 19" xfId="2528"/>
    <cellStyle name="60% - 强调文字颜色 5 2" xfId="3187"/>
    <cellStyle name="60% - 强调文字颜色 5 22" xfId="2486"/>
    <cellStyle name="60% - 强调文字颜色 5 23" xfId="2508"/>
    <cellStyle name="60% - 强调文字颜色 5 24" xfId="2529"/>
    <cellStyle name="60% - 强调文字颜色 5 25" xfId="2550"/>
    <cellStyle name="60% - 强调文字颜色 5 25 6" xfId="1590"/>
    <cellStyle name="60% - 强调文字颜色 5 26" xfId="2572"/>
    <cellStyle name="60% - 强调文字颜色 5 26 2" xfId="489"/>
    <cellStyle name="60% - 强调文字颜色 5 26 3" xfId="555"/>
    <cellStyle name="60% - 强调文字颜色 5 26 4" xfId="632"/>
    <cellStyle name="60% - 强调文字颜色 5 26 5" xfId="696"/>
    <cellStyle name="60% - 强调文字颜色 5 26 6" xfId="746"/>
    <cellStyle name="60% - 强调文字颜色 5 26 7" xfId="945"/>
    <cellStyle name="60% - 强调文字颜色 5 26 8" xfId="1001"/>
    <cellStyle name="60% - 强调文字颜色 5 26 9" xfId="1062"/>
    <cellStyle name="60% - 强调文字颜色 5 27" xfId="2750"/>
    <cellStyle name="60% - 强调文字颜色 5 28" xfId="2785"/>
    <cellStyle name="60% - 强调文字颜色 5 29" xfId="2822"/>
    <cellStyle name="60% - 强调文字颜色 5 30" xfId="2551"/>
    <cellStyle name="60% - 强调文字颜色 5 30 6" xfId="1591"/>
    <cellStyle name="60% - 强调文字颜色 5 31" xfId="2573"/>
    <cellStyle name="60% - 强调文字颜色 5 31 2" xfId="490"/>
    <cellStyle name="60% - 强调文字颜色 5 31 3" xfId="556"/>
    <cellStyle name="60% - 强调文字颜色 5 31 4" xfId="633"/>
    <cellStyle name="60% - 强调文字颜色 5 31 5" xfId="697"/>
    <cellStyle name="60% - 强调文字颜色 5 31 6" xfId="747"/>
    <cellStyle name="60% - 强调文字颜色 5 31 7" xfId="946"/>
    <cellStyle name="60% - 强调文字颜色 5 31 8" xfId="1002"/>
    <cellStyle name="60% - 强调文字颜色 5 31 9" xfId="1063"/>
    <cellStyle name="60% - 强调文字颜色 5 32" xfId="2751"/>
    <cellStyle name="60% - 强调文字颜色 5 33" xfId="2786"/>
    <cellStyle name="60% - 强调文字颜色 5 34" xfId="2823"/>
    <cellStyle name="60% - 强调文字颜色 5 36 2" xfId="1770"/>
    <cellStyle name="60% - 强调文字颜色 5 36 3" xfId="1801"/>
    <cellStyle name="60% - 强调文字颜色 5 36 4" xfId="1831"/>
    <cellStyle name="60% - 强调文字颜色 5 36 5" xfId="1860"/>
    <cellStyle name="60% - 强调文字颜色 5 36 6" xfId="1882"/>
    <cellStyle name="60% - 强调文字颜色 5 36 7" xfId="2030"/>
    <cellStyle name="60% - 强调文字颜色 5 36 8" xfId="2059"/>
    <cellStyle name="60% - 强调文字颜色 5 36 9" xfId="2087"/>
    <cellStyle name="60% - 强调文字颜色 5 4 2 4" xfId="2172"/>
    <cellStyle name="60% - 强调文字颜色 5 41 2" xfId="1771"/>
    <cellStyle name="60% - 强调文字颜色 5 41 3" xfId="1802"/>
    <cellStyle name="60% - 强调文字颜色 5 41 4" xfId="1832"/>
    <cellStyle name="60% - 强调文字颜色 5 41 5" xfId="1861"/>
    <cellStyle name="60% - 强调文字颜色 5 41 6" xfId="1883"/>
    <cellStyle name="60% - 强调文字颜色 5 41 7" xfId="2031"/>
    <cellStyle name="60% - 强调文字颜色 5 41 8" xfId="2060"/>
    <cellStyle name="60% - 强调文字颜色 5 41 9" xfId="2088"/>
    <cellStyle name="60% - 强调文字颜色 5 6 6" xfId="359"/>
    <cellStyle name="60% - 强调文字颜色 6 2" xfId="3207"/>
    <cellStyle name="60% - 强调文字颜色 6 2 4 2 2" xfId="542"/>
    <cellStyle name="60% - 强调文字颜色 6 6 6" xfId="430"/>
    <cellStyle name="标题 1 3" xfId="3668"/>
    <cellStyle name="标题 1 3 2" xfId="3674"/>
    <cellStyle name="标题 1 3 3" xfId="3679"/>
    <cellStyle name="标题 1 4" xfId="3691"/>
    <cellStyle name="标题 1 5" xfId="3707"/>
    <cellStyle name="标题 12" xfId="1751"/>
    <cellStyle name="标题 13" xfId="1754"/>
    <cellStyle name="标题 14" xfId="1759"/>
    <cellStyle name="标题 16 2" xfId="3432"/>
    <cellStyle name="标题 16 3" xfId="3436"/>
    <cellStyle name="标题 16 4" xfId="3441"/>
    <cellStyle name="标题 16 5" xfId="3446"/>
    <cellStyle name="标题 16 6" xfId="3452"/>
    <cellStyle name="标题 16 7" xfId="3458"/>
    <cellStyle name="标题 2 11 10" xfId="3747"/>
    <cellStyle name="标题 2 11 2 2" xfId="3864"/>
    <cellStyle name="标题 2 2 2 6" xfId="1958"/>
    <cellStyle name="标题 2 2 2 7" xfId="1962"/>
    <cellStyle name="标题 2 3 2" xfId="2425"/>
    <cellStyle name="标题 2 3 3" xfId="2430"/>
    <cellStyle name="标题 2 35 9" xfId="24"/>
    <cellStyle name="标题 2 4 11" xfId="239"/>
    <cellStyle name="标题 2 40 9" xfId="23"/>
    <cellStyle name="标题 2 9 2" xfId="748"/>
    <cellStyle name="标题 2 9 2 2" xfId="755"/>
    <cellStyle name="标题 2 9 3" xfId="947"/>
    <cellStyle name="标题 2 9 4" xfId="1003"/>
    <cellStyle name="标题 21 2" xfId="3433"/>
    <cellStyle name="标题 21 3" xfId="3437"/>
    <cellStyle name="标题 21 4" xfId="3442"/>
    <cellStyle name="标题 21 5" xfId="3447"/>
    <cellStyle name="标题 21 6" xfId="3453"/>
    <cellStyle name="标题 21 7" xfId="3459"/>
    <cellStyle name="标题 26 2" xfId="3595"/>
    <cellStyle name="标题 26 3" xfId="3600"/>
    <cellStyle name="标题 26 4" xfId="3606"/>
    <cellStyle name="标题 3 17 3" xfId="3252"/>
    <cellStyle name="标题 3 17 4" xfId="3256"/>
    <cellStyle name="标题 3 17 5" xfId="3260"/>
    <cellStyle name="标题 3 17 6" xfId="3265"/>
    <cellStyle name="标题 3 17 7" xfId="3270"/>
    <cellStyle name="标题 3 17 8" xfId="3466"/>
    <cellStyle name="标题 3 17 9" xfId="3471"/>
    <cellStyle name="标题 3 18 3" xfId="3282"/>
    <cellStyle name="标题 3 18 4" xfId="3286"/>
    <cellStyle name="标题 3 18 5" xfId="3290"/>
    <cellStyle name="标题 3 19 3" xfId="2948"/>
    <cellStyle name="标题 3 19 4" xfId="2955"/>
    <cellStyle name="标题 3 19 5" xfId="2962"/>
    <cellStyle name="标题 3 22 3" xfId="3253"/>
    <cellStyle name="标题 3 22 4" xfId="3257"/>
    <cellStyle name="标题 3 22 5" xfId="3261"/>
    <cellStyle name="标题 3 22 6" xfId="3266"/>
    <cellStyle name="标题 3 22 7" xfId="3271"/>
    <cellStyle name="标题 3 22 8" xfId="3467"/>
    <cellStyle name="标题 3 22 9" xfId="3472"/>
    <cellStyle name="标题 3 23 3" xfId="3283"/>
    <cellStyle name="标题 3 23 4" xfId="3287"/>
    <cellStyle name="标题 3 23 5" xfId="3291"/>
    <cellStyle name="标题 3 24 3" xfId="2949"/>
    <cellStyle name="标题 3 24 4" xfId="2956"/>
    <cellStyle name="标题 3 24 5" xfId="2963"/>
    <cellStyle name="标题 3 25 3" xfId="3327"/>
    <cellStyle name="标题 3 25 4" xfId="3333"/>
    <cellStyle name="标题 3 30 3" xfId="3328"/>
    <cellStyle name="标题 3 30 4" xfId="3334"/>
    <cellStyle name="标题 31 2" xfId="3596"/>
    <cellStyle name="标题 31 3" xfId="3601"/>
    <cellStyle name="标题 31 4" xfId="3607"/>
    <cellStyle name="标题 4 10 10" xfId="2234"/>
    <cellStyle name="标题 4 18 6" xfId="3898"/>
    <cellStyle name="标题 4 18 7" xfId="3904"/>
    <cellStyle name="标题 4 19 6" xfId="3919"/>
    <cellStyle name="标题 4 19 7" xfId="3925"/>
    <cellStyle name="标题 4 2 6 2" xfId="915"/>
    <cellStyle name="标题 4 2 6 3" xfId="919"/>
    <cellStyle name="标题 4 2 6 4" xfId="927"/>
    <cellStyle name="标题 4 2 7 2" xfId="1180"/>
    <cellStyle name="标题 4 2 7 3" xfId="1185"/>
    <cellStyle name="标题 4 23 6" xfId="3899"/>
    <cellStyle name="标题 4 23 7" xfId="3905"/>
    <cellStyle name="标题 4 24 6" xfId="3920"/>
    <cellStyle name="标题 4 24 7" xfId="3926"/>
    <cellStyle name="标题 4 3 6 2" xfId="2006"/>
    <cellStyle name="标题 4 35 2" xfId="147"/>
    <cellStyle name="标题 4 35 3" xfId="154"/>
    <cellStyle name="标题 4 35 4" xfId="162"/>
    <cellStyle name="标题 4 39 2" xfId="2644"/>
    <cellStyle name="标题 4 39 3" xfId="2660"/>
    <cellStyle name="标题 4 39 4" xfId="2665"/>
    <cellStyle name="标题 4 40 2" xfId="146"/>
    <cellStyle name="标题 4 40 3" xfId="153"/>
    <cellStyle name="标题 4 40 4" xfId="161"/>
    <cellStyle name="标题 5" xfId="264"/>
    <cellStyle name="标题 6" xfId="273"/>
    <cellStyle name="差 2 2 7" xfId="95"/>
    <cellStyle name="差 2 4 3" xfId="2395"/>
    <cellStyle name="常规" xfId="0" builtinId="0"/>
    <cellStyle name="常规 10 2 11 2" xfId="220"/>
    <cellStyle name="常规 10 2 2 2" xfId="2370"/>
    <cellStyle name="常规 10 2 2 2 2 3 2 2" xfId="3043"/>
    <cellStyle name="常规 10 2 4 4 2" xfId="1925"/>
    <cellStyle name="常规 10 2 4 5 2" xfId="1948"/>
    <cellStyle name="常规 10 2 4 6 2" xfId="215"/>
    <cellStyle name="常规 10 2 5 3 2 2" xfId="3515"/>
    <cellStyle name="常规 10 2 5 3 2 3" xfId="3518"/>
    <cellStyle name="常规 10 2 6 2 2 2" xfId="380"/>
    <cellStyle name="常规 10 2 6 2 2 3" xfId="384"/>
    <cellStyle name="常规 10 2 6 2 2 4" xfId="388"/>
    <cellStyle name="常规 10 2 6 2 3 2" xfId="446"/>
    <cellStyle name="常规 10 2 6 2 4 2" xfId="519"/>
    <cellStyle name="常规 10 3 2 2 2 2 2" xfId="3878"/>
    <cellStyle name="常规 10 3 2 2 2 2 2 2" xfId="3882"/>
    <cellStyle name="常规 10 3 2 2 2 2 2 2 2" xfId="3886"/>
    <cellStyle name="常规 10 3 2 2 2 2 2 3" xfId="3889"/>
    <cellStyle name="常规 10 3 2 2 2 2 2 4" xfId="3892"/>
    <cellStyle name="常规 10 3 2 2 2 2 3" xfId="117"/>
    <cellStyle name="常规 10 3 2 2 2 2 3 2" xfId="3908"/>
    <cellStyle name="常规 10 3 2 2 2 2 4" xfId="3929"/>
    <cellStyle name="常规 10 3 2 2 2 2 4 2" xfId="3932"/>
    <cellStyle name="常规 10 3 2 2 4 2 2" xfId="263"/>
    <cellStyle name="常规 10 3 2 2 4 2 3" xfId="272"/>
    <cellStyle name="常规 10 4 2 3 2 2" xfId="84"/>
    <cellStyle name="常规 10 6 5" xfId="21"/>
    <cellStyle name="常规 10 8 2 2 2" xfId="2666"/>
    <cellStyle name="常规 11 2 2 2 3 2 2" xfId="2950"/>
    <cellStyle name="常规 11 2 2 2 3 2 3" xfId="2957"/>
    <cellStyle name="常规 11 2 3 2 2" xfId="1666"/>
    <cellStyle name="常规 12 3 2 2 2 2" xfId="2190"/>
    <cellStyle name="常规 12 3 2 2 2 3" xfId="2193"/>
    <cellStyle name="常规 12 3 2 2 2 4" xfId="2196"/>
    <cellStyle name="常规 13 2 2 4 2" xfId="3790"/>
    <cellStyle name="常规 14 2 2" xfId="3950"/>
    <cellStyle name="常规 14 2 2 2" xfId="3954"/>
    <cellStyle name="常规 14 2 2 3" xfId="3960"/>
    <cellStyle name="常规 14 2 3" xfId="3977"/>
    <cellStyle name="常规 2" xfId="3997"/>
    <cellStyle name="常规 2 11 2 2 2 3" xfId="557"/>
    <cellStyle name="常规 2 11 2 2 2 3 2" xfId="569"/>
    <cellStyle name="常规 2 15 2" xfId="2925"/>
    <cellStyle name="常规 2 2 17" xfId="196"/>
    <cellStyle name="常规 2 2 2 2 3 2 3 2" xfId="3791"/>
    <cellStyle name="常规 2 2 2 3 3 2 2" xfId="3961"/>
    <cellStyle name="常规 2 2 2 5 2 2 3 2 2" xfId="984"/>
    <cellStyle name="常规 2 2 2 5 3 2" xfId="14"/>
    <cellStyle name="常规 2 2 2 5 3 2 2 2 2 2" xfId="123"/>
    <cellStyle name="常规 2 2 2 5 3 2 2 2 2 3" xfId="134"/>
    <cellStyle name="常规 2 2 2 5 3 2 2 2 3 2" xfId="560"/>
    <cellStyle name="常规 2 2 3 2 2 2 2 3 2" xfId="204"/>
    <cellStyle name="常规 2 2 3 2 2 3 2 3 2" xfId="1612"/>
    <cellStyle name="常规 2 2 3 3 2 2 2" xfId="3719"/>
    <cellStyle name="常规 2 2 3 3 2 2 3" xfId="3721"/>
    <cellStyle name="常规 2 2 3 3 2 3 2 2 2" xfId="2162"/>
    <cellStyle name="常规 2 2 3 3 2 6" xfId="3590"/>
    <cellStyle name="常规 2 2 5 2 2 2 2 2 2" xfId="589"/>
    <cellStyle name="常规 2 2 5 2 2 2 2 2 3" xfId="597"/>
    <cellStyle name="常规 2 2 5 2 2 2 2 2 4" xfId="603"/>
    <cellStyle name="常规 2 2 5 2 2 2 2 3 2" xfId="661"/>
    <cellStyle name="常规 2 2 5 4 2 4" xfId="3462"/>
    <cellStyle name="常规 2 2 6 2" xfId="1546"/>
    <cellStyle name="常规 2 2 6 3" xfId="1548"/>
    <cellStyle name="常规 2 2 7 2 2" xfId="822"/>
    <cellStyle name="常规 2 2 7 2 3" xfId="127"/>
    <cellStyle name="常规 2 2 7 2 4" xfId="138"/>
    <cellStyle name="常规 2 2 7 3 2" xfId="479"/>
    <cellStyle name="常规 2 2 7 4 2" xfId="851"/>
    <cellStyle name="常规 2 2 7 5 2" xfId="367"/>
    <cellStyle name="常规 2 2 8 3 2 2" xfId="3424"/>
    <cellStyle name="常规 2 2 9 2 2 2" xfId="57"/>
    <cellStyle name="常规 2 20 2" xfId="2926"/>
    <cellStyle name="常规 2 3 2 2 2 2 2 2" xfId="3275"/>
    <cellStyle name="常规 2 3 2 2 2 3 2 2 2" xfId="580"/>
    <cellStyle name="常规 2 3 2 2 2 3 2 2 3" xfId="590"/>
    <cellStyle name="常规 2 3 2 6 2 2 2" xfId="1454"/>
    <cellStyle name="常规 2 3 3 2 2 2 2" xfId="3568"/>
    <cellStyle name="常规 2 3 4 2 2 2" xfId="3247"/>
    <cellStyle name="常规 2 3 4 2 2 3" xfId="3249"/>
    <cellStyle name="常规 2 3 4 2 3 2" xfId="3277"/>
    <cellStyle name="常规 2 3 4 2 3 3" xfId="3279"/>
    <cellStyle name="常规 2 3 4 2 5 2" xfId="3322"/>
    <cellStyle name="常规 2 3 5 2 2" xfId="49"/>
    <cellStyle name="常规 2 3 5 2 3" xfId="1433"/>
    <cellStyle name="常规 2 3 6 3" xfId="3227"/>
    <cellStyle name="常规 2 6 2 2 2 2 2 2" xfId="3801"/>
    <cellStyle name="常规 2 6 2 2 2 2 2 3" xfId="3803"/>
    <cellStyle name="常规 2 6 2 2 2 2 2 4" xfId="3805"/>
    <cellStyle name="常规 2 6 2 2 2 2 3 2" xfId="3616"/>
    <cellStyle name="常规 2 6 2 2 2 2 4 2" xfId="3828"/>
    <cellStyle name="常规 2 6 2 2 3 2" xfId="2307"/>
    <cellStyle name="常规 2 6 2 2 3 3" xfId="2309"/>
    <cellStyle name="常规 2 6 2 2 4 2" xfId="2313"/>
    <cellStyle name="常规 2 6 2 2 4 3" xfId="2315"/>
    <cellStyle name="常规 2 6 2 2 5" xfId="1903"/>
    <cellStyle name="常规 2 6 2 2 5 2" xfId="1920"/>
    <cellStyle name="常规 2 6 2 2 6" xfId="2150"/>
    <cellStyle name="常规 2 6 3 2 3 2" xfId="3110"/>
    <cellStyle name="常规 2 6 3 2 4 2" xfId="3117"/>
    <cellStyle name="常规 2 6 6 2" xfId="2154"/>
    <cellStyle name="常规 2 6 6 3" xfId="2156"/>
    <cellStyle name="常规 2 7 6 2" xfId="2355"/>
    <cellStyle name="常规 2 9 4 2 2" xfId="3302"/>
    <cellStyle name="常规 2 9 4 2 3" xfId="3329"/>
    <cellStyle name="常规 2 9 4 2 4" xfId="3335"/>
    <cellStyle name="常规 3" xfId="3996"/>
    <cellStyle name="常规 3 6 2" xfId="3118"/>
    <cellStyle name="常规 3 6 3" xfId="3123"/>
    <cellStyle name="常规 4 2 2 2 2 2 2 2" xfId="1725"/>
    <cellStyle name="常规 4 2 2 2 4 2 2" xfId="1905"/>
    <cellStyle name="常规 4 2 2 2 4 2 3" xfId="1907"/>
    <cellStyle name="常规 4 2 2 2 4 2 4" xfId="1909"/>
    <cellStyle name="常规 4 2 2 2 4 2 5" xfId="1911"/>
    <cellStyle name="常规 4 2 2 2 4 2 6" xfId="1913"/>
    <cellStyle name="常规 4 2 2 3 2 4" xfId="2359"/>
    <cellStyle name="常规 4 2 2 6 2 3 2 2" xfId="72"/>
    <cellStyle name="常规 4 2 3 5 3 2" xfId="219"/>
    <cellStyle name="常规 4 2 3 5 3 3" xfId="38"/>
    <cellStyle name="常规 4 2 3 5 3 4" xfId="283"/>
    <cellStyle name="常规 4 2 3 8" xfId="2917"/>
    <cellStyle name="常规 4 2 4 3 3 2 2" xfId="142"/>
    <cellStyle name="常规 4 2 5 2 2 4" xfId="429"/>
    <cellStyle name="常规 4 2 5 2 3" xfId="906"/>
    <cellStyle name="常规 4 2 5 2 4" xfId="909"/>
    <cellStyle name="常规 4 2 5 3 2" xfId="2904"/>
    <cellStyle name="常规 4 2 5 3 2 2" xfId="3591"/>
    <cellStyle name="常规 4 2 5 3 2 3 2" xfId="3764"/>
    <cellStyle name="常规 4 2 5 3 3" xfId="2907"/>
    <cellStyle name="常规 4 2 5 5 2 2" xfId="3044"/>
    <cellStyle name="常规 4 2 6 2 2 2" xfId="2594"/>
    <cellStyle name="常规 4 2 6 2 2 3" xfId="2599"/>
    <cellStyle name="常规 4 2 6 2 2 4" xfId="2605"/>
    <cellStyle name="常规 4 2 6 2 3" xfId="2385"/>
    <cellStyle name="常规 4 2 6 2 3 2" xfId="2624"/>
    <cellStyle name="常规 4 2 6 3 2 6" xfId="3955"/>
    <cellStyle name="常规 4 2 6 5 2" xfId="3669"/>
    <cellStyle name="常规 4 2 6 5 2 2" xfId="3675"/>
    <cellStyle name="常规 4 2 6 5 3" xfId="3692"/>
    <cellStyle name="常规 4 2 6 5 4" xfId="3708"/>
    <cellStyle name="常规 4 2 6 5 5" xfId="3752"/>
    <cellStyle name="常规 4 2 6 5 6" xfId="3758"/>
    <cellStyle name="常规 4 3 3 2 2 2 2" xfId="3132"/>
    <cellStyle name="常规 4 3 3 2 2 3 2" xfId="3159"/>
    <cellStyle name="常规 4 3 3 2 3 2 2" xfId="62"/>
    <cellStyle name="常规 4 3 4 2 2 3 2 2" xfId="2927"/>
    <cellStyle name="常规 4 3 5 2 3" xfId="3319"/>
    <cellStyle name="常规 4 3 5 2 4" xfId="3323"/>
    <cellStyle name="常规 4 3 5 3 2 2" xfId="884"/>
    <cellStyle name="常规 4 3 5 3 2 3" xfId="901"/>
    <cellStyle name="常规 4 3 5 3 3" xfId="3348"/>
    <cellStyle name="常规 4 3 5 5 3" xfId="3385"/>
    <cellStyle name="常规 4 3 5 5 4" xfId="3388"/>
    <cellStyle name="常规 4 3 5 5 5" xfId="3391"/>
    <cellStyle name="常规 4 3 5 5 6" xfId="3394"/>
    <cellStyle name="常规 4 3 6 2 2 2" xfId="3262"/>
    <cellStyle name="常规 4 3 6 2 3 2" xfId="3292"/>
    <cellStyle name="常规 4 3 6 2 3 3" xfId="3294"/>
    <cellStyle name="常规 4 3 6 2 3 4" xfId="3296"/>
    <cellStyle name="常规 4 4 2 2 2" xfId="3753"/>
    <cellStyle name="常规 4 4 2 2 2 2 2" xfId="1726"/>
    <cellStyle name="常规 4 4 2 2 2 3 2" xfId="1755"/>
    <cellStyle name="常规 4 4 2 2 2 3 3" xfId="1760"/>
    <cellStyle name="常规 4 4 2 2 2 3 4" xfId="1763"/>
    <cellStyle name="常规 4 4 2 2 3" xfId="3759"/>
    <cellStyle name="常规 4 4 2 2 4" xfId="1553"/>
    <cellStyle name="常规 4 4 4 5 4" xfId="231"/>
    <cellStyle name="常规 4 4 4 5 4 2" xfId="238"/>
    <cellStyle name="常规 4 4 4 5 5" xfId="248"/>
    <cellStyle name="常规 4 4 4 5 6" xfId="180"/>
    <cellStyle name="常规 4 4 5 3 2 2" xfId="262"/>
    <cellStyle name="常规 4 5 3 2 2" xfId="2787"/>
    <cellStyle name="常规 4 7 2 3 2 2" xfId="1510"/>
    <cellStyle name="常规 5 2 2 2 6 3 2" xfId="1541"/>
    <cellStyle name="常规 5 2 2 2 6 4 2" xfId="1578"/>
    <cellStyle name="常规 5 2 2 4 2 2 2" xfId="1189"/>
    <cellStyle name="常规 5 2 2 4 2 2 2 2" xfId="3034"/>
    <cellStyle name="常规 5 2 2 4 2 2 3 2" xfId="2574"/>
    <cellStyle name="常规 5 2 2 4 2 2 3 2 2" xfId="491"/>
    <cellStyle name="常规 5 2 2 4 2 2 3 3" xfId="2752"/>
    <cellStyle name="常规 5 2 2 4 2 2 3 4" xfId="2788"/>
    <cellStyle name="常规 5 2 2 4 2 2 3 5" xfId="2824"/>
    <cellStyle name="常规 5 2 2 4 2 4" xfId="2738"/>
    <cellStyle name="常规 5 2 2 5 2 2 2" xfId="2197"/>
    <cellStyle name="常规 5 2 2 5 3 2 2" xfId="97"/>
    <cellStyle name="常规 5 2 2 5 3 2 2 2" xfId="1048"/>
    <cellStyle name="常规 5 2 2 5 3 2 3" xfId="1417"/>
    <cellStyle name="常规 5 2 2 5 3 2 4" xfId="1421"/>
    <cellStyle name="常规 5 2 2 5 3 2 5" xfId="1423"/>
    <cellStyle name="常规 5 2 2 5 3 2 6" xfId="1425"/>
    <cellStyle name="常规 5 2 2 5 5 2 2" xfId="3068"/>
    <cellStyle name="常规 5 2 2 5 5 2 3" xfId="3082"/>
    <cellStyle name="常规 5 2 2 5 5 3 2" xfId="3113"/>
    <cellStyle name="常规 5 2 2 5 5 4 2" xfId="3151"/>
    <cellStyle name="常规 5 2 2 6 2 2 2" xfId="2964"/>
    <cellStyle name="常规 5 2 2 7 2 2 2" xfId="3619"/>
    <cellStyle name="常规 5 2 3 2 2 2 3 5" xfId="3981"/>
    <cellStyle name="常规 5 2 3 4 2 4" xfId="3200"/>
    <cellStyle name="常规 5 2 3 4 3 2 3 2" xfId="2789"/>
    <cellStyle name="常规 5 2 3 4 5" xfId="214"/>
    <cellStyle name="常规 5 2 3 4 5 2" xfId="230"/>
    <cellStyle name="常规 5 2 3 4 5 2 2" xfId="237"/>
    <cellStyle name="常规 5 2 3 4 5 3" xfId="247"/>
    <cellStyle name="常规 5 2 3 4 5 4" xfId="179"/>
    <cellStyle name="常规 5 2 3 4 5 5" xfId="193"/>
    <cellStyle name="常规 5 2 3 4 5 6" xfId="201"/>
    <cellStyle name="常规 5 2 3 4 6" xfId="32"/>
    <cellStyle name="常规 5 2 3 4 6 2" xfId="174"/>
    <cellStyle name="常规 5 2 3 4 7" xfId="280"/>
    <cellStyle name="常规 5 2 3 5 2" xfId="1445"/>
    <cellStyle name="常规 5 2 3 5 3" xfId="1452"/>
    <cellStyle name="常规 5 2 3 5 3 2 2" xfId="394"/>
    <cellStyle name="常规 5 2 3 5 4" xfId="1108"/>
    <cellStyle name="常规 5 2 4 6 4 2" xfId="160"/>
    <cellStyle name="常规 5 2 6 2" xfId="409"/>
    <cellStyle name="常规 5 2 6 2 2" xfId="423"/>
    <cellStyle name="常规 5 2 6 2 2 2" xfId="428"/>
    <cellStyle name="常规 5 2 6 2 3" xfId="437"/>
    <cellStyle name="常规 5 2 6 2 4" xfId="442"/>
    <cellStyle name="常规 5 2 6 3" xfId="492"/>
    <cellStyle name="常规 5 2 6 3 2" xfId="501"/>
    <cellStyle name="常规 5 2 6 3 3" xfId="508"/>
    <cellStyle name="常规 5 2 6 4" xfId="558"/>
    <cellStyle name="常规 5 2 6 4 2" xfId="570"/>
    <cellStyle name="常规 5 2 6 5" xfId="634"/>
    <cellStyle name="常规 5 2 6 5 2" xfId="641"/>
    <cellStyle name="常规 5 2 6 5 3" xfId="653"/>
    <cellStyle name="常规 5 2 6 5 3 2" xfId="1434"/>
    <cellStyle name="常规 5 2 6 5 4" xfId="662"/>
    <cellStyle name="常规 5 2 6 5 5" xfId="667"/>
    <cellStyle name="常规 5 2 6 5 6" xfId="672"/>
    <cellStyle name="常规 5 2 6 6" xfId="698"/>
    <cellStyle name="常规 5 2 6 6 2" xfId="704"/>
    <cellStyle name="常规 5 2 6 7" xfId="749"/>
    <cellStyle name="常规 5 3 4 3 2" xfId="3047"/>
    <cellStyle name="常规 5 3 4 3 3" xfId="3049"/>
    <cellStyle name="常规 5 3 5 3 2" xfId="3209"/>
    <cellStyle name="常规 5 3 9 3 2" xfId="3468"/>
    <cellStyle name="常规 5 4 2 2 3 2 2" xfId="31"/>
    <cellStyle name="常规 5 4 8 2 3" xfId="48"/>
    <cellStyle name="常规 5 5 6 4 2" xfId="2584"/>
    <cellStyle name="常规 5 7 3 2 2" xfId="885"/>
    <cellStyle name="常规 5 7 3 2 2 2" xfId="334"/>
    <cellStyle name="常规 5 7 3 2 3" xfId="902"/>
    <cellStyle name="常规 5 7 3 2 3 2" xfId="400"/>
    <cellStyle name="常规 5 7 3 2 4" xfId="916"/>
    <cellStyle name="常规 5 7 3 2 4 2" xfId="461"/>
    <cellStyle name="常规 5 7 3 2 5" xfId="920"/>
    <cellStyle name="常规 5 7 3 2 6" xfId="928"/>
    <cellStyle name="常规 5 7 5 2 2" xfId="2669"/>
    <cellStyle name="常规 5 7 5 2 3" xfId="2689"/>
    <cellStyle name="常规 5 7 5 3 2" xfId="2928"/>
    <cellStyle name="常规 5 7 5 4 2" xfId="3069"/>
    <cellStyle name="常规 6 12 3 2" xfId="2661"/>
    <cellStyle name="常规 6 2 2 2 2 2 2 2" xfId="2619"/>
    <cellStyle name="常规 6 2 2 2 2 3 2 2" xfId="2636"/>
    <cellStyle name="常规 6 2 2 2 4 2 4 2" xfId="183"/>
    <cellStyle name="常规 6 2 2 4 3 2 2 2" xfId="3106"/>
    <cellStyle name="常规 6 2 2 5 5 4 2" xfId="2250"/>
    <cellStyle name="常规 6 2 3 2 2 2 2 2" xfId="3475"/>
    <cellStyle name="常规 6 2 3 2 2 2 3 2 2" xfId="2330"/>
    <cellStyle name="常规 6 2 3 2 2 3 2 2" xfId="3478"/>
    <cellStyle name="常规 6 2 3 2 5 2 3" xfId="462"/>
    <cellStyle name="常规 6 2 3 3 2 2" xfId="803"/>
    <cellStyle name="常规 6 2 3 4 3 2 2" xfId="2145"/>
    <cellStyle name="常规 6 2 3 4 3 2 3" xfId="2148"/>
    <cellStyle name="常规 6 2 3 8 2 2" xfId="2275"/>
    <cellStyle name="常规 6 2 3 8 5" xfId="1476"/>
    <cellStyle name="常规 6 2 3 8 6" xfId="1479"/>
    <cellStyle name="常规 6 2 4 2 2 3 2 2" xfId="2431"/>
    <cellStyle name="常规 6 2 4 3 2 2" xfId="2371"/>
    <cellStyle name="常规 6 2 5 2 3 2 2" xfId="345"/>
    <cellStyle name="常规 6 2 8 3 2" xfId="3951"/>
    <cellStyle name="常规 6 2 8 3 2 2" xfId="3956"/>
    <cellStyle name="常规 6 2 8 3 3" xfId="3978"/>
    <cellStyle name="常规 6 2 8 3 3 2" xfId="3982"/>
    <cellStyle name="常规 6 3 2 2 5 2 2" xfId="3412"/>
    <cellStyle name="常规 6 3 2 2 5 2 3" xfId="3415"/>
    <cellStyle name="常规 6 3 2 2 5 3 2" xfId="3489"/>
    <cellStyle name="常规 6 3 2 2 5 4 2" xfId="3508"/>
    <cellStyle name="常规 6 3 4 2 2 3 3" xfId="2277"/>
    <cellStyle name="常规 6 3 4 2 2 3 4" xfId="2279"/>
    <cellStyle name="常规 6 3 4 2 2 3 5" xfId="2281"/>
    <cellStyle name="常规 6 3 5 3 2 4 2" xfId="306"/>
    <cellStyle name="常规 6 4 2 2 2 2" xfId="1727"/>
    <cellStyle name="常规 6 4 2 2 2 3" xfId="1732"/>
    <cellStyle name="常规 6 4 2 2 3 2" xfId="1756"/>
    <cellStyle name="常规 6 4 2 2 3 3" xfId="1761"/>
    <cellStyle name="常规 6 4 2 3 2 2" xfId="2600"/>
    <cellStyle name="常规 6 4 2 3 2 3" xfId="2606"/>
    <cellStyle name="常规 6 5 2 3 2 2" xfId="3267"/>
    <cellStyle name="常规 6 5 6 2 2" xfId="2380"/>
    <cellStyle name="常规 6 5 6 2 3" xfId="2092"/>
    <cellStyle name="常规 6 6 5 4" xfId="229"/>
    <cellStyle name="常规 6 6 5 4 2" xfId="236"/>
    <cellStyle name="常规 6 6 5 5" xfId="246"/>
    <cellStyle name="常规 6 6 5 6" xfId="178"/>
    <cellStyle name="常规 6 7 3 2 2" xfId="261"/>
    <cellStyle name="常规 6 7 3 2 3" xfId="271"/>
    <cellStyle name="常规 7 2 2 10 2" xfId="2426"/>
    <cellStyle name="常规 7 2 2 2 2 5 4 2" xfId="1675"/>
    <cellStyle name="常规 7 2 2 2 3" xfId="2691"/>
    <cellStyle name="常规 7 2 2 2 3 2" xfId="2695"/>
    <cellStyle name="常规 7 2 2 2 3 3" xfId="2697"/>
    <cellStyle name="常规 7 2 2 2 4" xfId="2701"/>
    <cellStyle name="常规 7 2 2 2 4 2 4 2" xfId="1721"/>
    <cellStyle name="常规 7 2 2 2 5" xfId="2707"/>
    <cellStyle name="常规 7 2 2 3 3" xfId="2712"/>
    <cellStyle name="常规 7 2 2 3 3 2 5" xfId="3304"/>
    <cellStyle name="常规 7 2 2 3 3 2 6" xfId="3308"/>
    <cellStyle name="常规 7 2 2 3 4" xfId="2718"/>
    <cellStyle name="常规 7 2 2 3 5 4" xfId="71"/>
    <cellStyle name="常规 7 2 2 3 5 4 2" xfId="3013"/>
    <cellStyle name="常规 7 2 2 4 3" xfId="2723"/>
    <cellStyle name="常规 7 2 2 4 3 2 4 2" xfId="3879"/>
    <cellStyle name="常规 7 2 2 4 4" xfId="2728"/>
    <cellStyle name="常规 7 2 2 4 5" xfId="2733"/>
    <cellStyle name="常规 7 2 2 5 3" xfId="2739"/>
    <cellStyle name="常规 7 2 2 5 4" xfId="2744"/>
    <cellStyle name="常规 7 2 2 6 2 3 2" xfId="1606"/>
    <cellStyle name="常规 7 2 2 6 2 3 2 2" xfId="1618"/>
    <cellStyle name="常规 7 2 2 6 2 3 3" xfId="1635"/>
    <cellStyle name="常规 7 2 2 6 2 3 3 2" xfId="1643"/>
    <cellStyle name="常规 7 2 2 6 2 3 4" xfId="1676"/>
    <cellStyle name="常规 7 2 2 6 2 3 5" xfId="1705"/>
    <cellStyle name="常规 7 2 3 2 5 5" xfId="1009"/>
    <cellStyle name="常规 7 2 3 2 5 6" xfId="1015"/>
    <cellStyle name="常规 7 2 3 3 2 2 2" xfId="2391"/>
    <cellStyle name="常规 7 2 3 3 2 2 3" xfId="2393"/>
    <cellStyle name="常规 7 2 3 3 2 3 2" xfId="2401"/>
    <cellStyle name="常规 7 2 3 3 2 3 3" xfId="2403"/>
    <cellStyle name="常规 7 2 3 4 3" xfId="2951"/>
    <cellStyle name="常规 7 2 3 4 4" xfId="2958"/>
    <cellStyle name="常规 7 2 3 4 5" xfId="2965"/>
    <cellStyle name="常规 7 2 3 5 2 3 2 2" xfId="635"/>
    <cellStyle name="常规 7 2 3 5 2 3 3 2" xfId="2765"/>
    <cellStyle name="常规 7 2 3 6 2 2" xfId="1473"/>
    <cellStyle name="常规 7 2 3 6 2 2 2" xfId="1477"/>
    <cellStyle name="常规 7 2 3 6 2 3" xfId="1484"/>
    <cellStyle name="常规 7 2 3 6 2 4" xfId="1488"/>
    <cellStyle name="常规 7 2 3 6 2 5" xfId="209"/>
    <cellStyle name="常规 7 2 3 6 2 6" xfId="1490"/>
    <cellStyle name="常规 7 2 3 8 2 2" xfId="3114"/>
    <cellStyle name="常规 7 2 3 8 2 3" xfId="3128"/>
    <cellStyle name="常规 7 2 3 8 3 2" xfId="3152"/>
    <cellStyle name="常规 7 2 3 8 4 2" xfId="3175"/>
    <cellStyle name="常规 7 3 2 2 3" xfId="3129"/>
    <cellStyle name="常规 7 3 2 2 3 2" xfId="2894"/>
    <cellStyle name="常规 7 3 2 2 3 3" xfId="3482"/>
    <cellStyle name="常规 7 3 2 2 4" xfId="3133"/>
    <cellStyle name="常规 7 3 2 2 5" xfId="3136"/>
    <cellStyle name="常规 7 3 2 2 5 5" xfId="1"/>
    <cellStyle name="常规 7 3 2 3 3" xfId="3155"/>
    <cellStyle name="常规 7 3 2 3 4" xfId="3160"/>
    <cellStyle name="常规 7 3 2 4 2 4 2" xfId="94"/>
    <cellStyle name="常规 7 3 2 4 3" xfId="3178"/>
    <cellStyle name="常规 7 3 3 2 2" xfId="1373"/>
    <cellStyle name="常规 7 3 3 2 3" xfId="1378"/>
    <cellStyle name="常规 7 3 3 2 4" xfId="61"/>
    <cellStyle name="常规 7 4 3 2 2 2" xfId="1735"/>
    <cellStyle name="常规 7 4 5 2 3 2 2" xfId="1480"/>
    <cellStyle name="常规 7 5 2 2 3" xfId="2797"/>
    <cellStyle name="常规 7 5 2 2 4" xfId="2803"/>
    <cellStyle name="常规 7 5 2 3 3" xfId="2834"/>
    <cellStyle name="常规 7 5 2 3 4" xfId="2842"/>
    <cellStyle name="常规 7 6 5 4" xfId="294"/>
    <cellStyle name="常规 8 2 2 2 6 4" xfId="2405"/>
    <cellStyle name="常规 8 2 2 4 2 2 3 2" xfId="200"/>
    <cellStyle name="常规 8 2 2 4 2 2 3 3" xfId="252"/>
    <cellStyle name="常规 8 2 2 4 2 2 3 4" xfId="211"/>
    <cellStyle name="常规 8 2 2 4 2 2 3 5" xfId="168"/>
    <cellStyle name="常规 8 2 2 4 5 2 2" xfId="3914"/>
    <cellStyle name="常规 8 2 2 4 5 2 3" xfId="3916"/>
    <cellStyle name="常规 8 2 2 4 5 3 2" xfId="3941"/>
    <cellStyle name="常规 8 2 2 4 5 4 2" xfId="3968"/>
    <cellStyle name="常规 8 2 2 5 5 3 2" xfId="56"/>
    <cellStyle name="常规 8 2 3 2 2 2 2" xfId="3521"/>
    <cellStyle name="常规 8 2 3 2 2 2 3" xfId="3525"/>
    <cellStyle name="常规 8 2 3 2 2 3 2" xfId="3543"/>
    <cellStyle name="常规 8 2 3 2 2 3 3" xfId="3546"/>
    <cellStyle name="常规 8 2 3 2 2 3 4" xfId="3785"/>
    <cellStyle name="常规 8 2 3 2 3 2 3" xfId="235"/>
    <cellStyle name="常规 8 2 3 2 5 2 3" xfId="305"/>
    <cellStyle name="常规 8 2 3 3 2 2 4" xfId="93"/>
    <cellStyle name="常规 8 2 5 2 2 3 2" xfId="1259"/>
    <cellStyle name="常规 8 2 5 2 2 3 2 2" xfId="3156"/>
    <cellStyle name="常规 8 2 5 2 2 3 3" xfId="1267"/>
    <cellStyle name="常规 8 2 5 2 2 3 3 2" xfId="3179"/>
    <cellStyle name="常规 8 2 5 2 2 3 4" xfId="1274"/>
    <cellStyle name="常规 8 2 5 2 2 3 5" xfId="1281"/>
    <cellStyle name="常规 8 3 2 2 4 2" xfId="2177"/>
    <cellStyle name="常规 8 3 6 2 3 3" xfId="3844"/>
    <cellStyle name="常规 8 3 6 2 3 3 2" xfId="3846"/>
    <cellStyle name="常规 8 3 6 2 3 4" xfId="3848"/>
    <cellStyle name="常规 8 3 6 2 3 5" xfId="3850"/>
    <cellStyle name="常规 8 4 5 3 4" xfId="1607"/>
    <cellStyle name="常规 8 4 6 2 4 2" xfId="3819"/>
    <cellStyle name="常规 8 4 8 4 2" xfId="1075"/>
    <cellStyle name="常规 8 6 2" xfId="3786"/>
    <cellStyle name="常规 8 6 3" xfId="3788"/>
    <cellStyle name="常规 8 6 4" xfId="3792"/>
    <cellStyle name="常规 8 7 2 2 3 2 2" xfId="3900"/>
    <cellStyle name="常规 8 7 2 2 3 3 2" xfId="3921"/>
    <cellStyle name="常规 8 7 2 2 3 4" xfId="3737"/>
    <cellStyle name="常规 8 7 2 2 3 5" xfId="3743"/>
    <cellStyle name="常规 8 8 2 3 2 2" xfId="1698"/>
    <cellStyle name="常规 8 8 2 3 3 2" xfId="1728"/>
    <cellStyle name="常规 8 9 2 2" xfId="1036"/>
    <cellStyle name="常规 8 9 3 2" xfId="811"/>
    <cellStyle name="常规 8 9 3 3" xfId="823"/>
    <cellStyle name="常规 8 9 3 4" xfId="126"/>
    <cellStyle name="常规 8 9 3 5" xfId="137"/>
    <cellStyle name="常规 9 2 2 4" xfId="304"/>
    <cellStyle name="常规 9 3 2 4" xfId="358"/>
    <cellStyle name="常规 95" xfId="1839"/>
    <cellStyle name="好 13 8" xfId="1649"/>
    <cellStyle name="好 2 6 3" xfId="2417"/>
    <cellStyle name="好 3 2 2 2" xfId="1200"/>
    <cellStyle name="好 7 6" xfId="293"/>
    <cellStyle name="好 7 9" xfId="303"/>
    <cellStyle name="汇总 10 2 2" xfId="1282"/>
    <cellStyle name="汇总 18 9" xfId="1744"/>
    <cellStyle name="汇总 2 14" xfId="1240"/>
    <cellStyle name="汇总 2 15" xfId="1245"/>
    <cellStyle name="汇总 2 16" xfId="1252"/>
    <cellStyle name="汇总 2 17" xfId="1260"/>
    <cellStyle name="汇总 2 18" xfId="1268"/>
    <cellStyle name="汇总 2 19" xfId="1275"/>
    <cellStyle name="汇总 2 4 3" xfId="2363"/>
    <cellStyle name="汇总 2 5 2" xfId="3448"/>
    <cellStyle name="汇总 2 5 3" xfId="3454"/>
    <cellStyle name="汇总 23 9" xfId="1745"/>
    <cellStyle name="汇总 3 16" xfId="3612"/>
    <cellStyle name="计算 16 2" xfId="1613"/>
    <cellStyle name="计算 21 2" xfId="1614"/>
    <cellStyle name="计算 26 2" xfId="1638"/>
    <cellStyle name="计算 31 2" xfId="1639"/>
    <cellStyle name="计算 36 2" xfId="1679"/>
    <cellStyle name="计算 38 2" xfId="933"/>
    <cellStyle name="计算 39 2" xfId="83"/>
    <cellStyle name="计算 41 2" xfId="1680"/>
    <cellStyle name="检查单元格 15" xfId="2827"/>
    <cellStyle name="检查单元格 16" xfId="2835"/>
    <cellStyle name="检查单元格 17" xfId="2843"/>
    <cellStyle name="检查单元格 18" xfId="2847"/>
    <cellStyle name="检查单元格 18 6" xfId="268"/>
    <cellStyle name="检查单元格 18 7" xfId="277"/>
    <cellStyle name="检查单元格 18 8" xfId="829"/>
    <cellStyle name="检查单元格 18 9" xfId="869"/>
    <cellStyle name="检查单元格 19" xfId="2851"/>
    <cellStyle name="检查单元格 19 6" xfId="333"/>
    <cellStyle name="检查单元格 19 7" xfId="341"/>
    <cellStyle name="检查单元格 19 8" xfId="892"/>
    <cellStyle name="检查单元格 19 9" xfId="897"/>
    <cellStyle name="检查单元格 2 5 2" xfId="292"/>
    <cellStyle name="检查单元格 20" xfId="2828"/>
    <cellStyle name="检查单元格 21" xfId="2836"/>
    <cellStyle name="检查单元格 22" xfId="2844"/>
    <cellStyle name="检查单元格 23" xfId="2848"/>
    <cellStyle name="检查单元格 23 6" xfId="267"/>
    <cellStyle name="检查单元格 23 7" xfId="276"/>
    <cellStyle name="检查单元格 23 8" xfId="830"/>
    <cellStyle name="检查单元格 23 9" xfId="870"/>
    <cellStyle name="检查单元格 24" xfId="2852"/>
    <cellStyle name="检查单元格 24 6" xfId="332"/>
    <cellStyle name="检查单元格 24 7" xfId="340"/>
    <cellStyle name="检查单元格 24 8" xfId="893"/>
    <cellStyle name="检查单元格 24 9" xfId="898"/>
    <cellStyle name="检查单元格 25" xfId="2855"/>
    <cellStyle name="检查单元格 25 6" xfId="399"/>
    <cellStyle name="检查单元格 25 7" xfId="407"/>
    <cellStyle name="检查单元格 25 8" xfId="911"/>
    <cellStyle name="检查单元格 26" xfId="2859"/>
    <cellStyle name="检查单元格 26 6" xfId="466"/>
    <cellStyle name="检查单元格 26 7" xfId="469"/>
    <cellStyle name="检查单元格 27" xfId="2864"/>
    <cellStyle name="检查单元格 27 6" xfId="536"/>
    <cellStyle name="检查单元格 27 7" xfId="110"/>
    <cellStyle name="检查单元格 27 8" xfId="923"/>
    <cellStyle name="检查单元格 28" xfId="3119"/>
    <cellStyle name="检查单元格 28 6" xfId="611"/>
    <cellStyle name="检查单元格 28 7" xfId="619"/>
    <cellStyle name="检查单元格 29" xfId="3124"/>
    <cellStyle name="检查单元格 3 13" xfId="3055"/>
    <cellStyle name="检查单元格 3 14" xfId="3059"/>
    <cellStyle name="检查单元格 3 15" xfId="3064"/>
    <cellStyle name="检查单元格 30" xfId="2856"/>
    <cellStyle name="检查单元格 30 6" xfId="398"/>
    <cellStyle name="检查单元格 30 7" xfId="406"/>
    <cellStyle name="检查单元格 30 8" xfId="912"/>
    <cellStyle name="检查单元格 31" xfId="2860"/>
    <cellStyle name="检查单元格 31 6" xfId="465"/>
    <cellStyle name="检查单元格 31 7" xfId="470"/>
    <cellStyle name="检查单元格 32" xfId="2865"/>
    <cellStyle name="检查单元格 32 6" xfId="537"/>
    <cellStyle name="检查单元格 32 7" xfId="109"/>
    <cellStyle name="检查单元格 32 8" xfId="924"/>
    <cellStyle name="检查单元格 33" xfId="3120"/>
    <cellStyle name="检查单元格 33 6" xfId="612"/>
    <cellStyle name="检查单元格 33 7" xfId="620"/>
    <cellStyle name="检查单元格 34" xfId="3125"/>
    <cellStyle name="检查单元格 35" xfId="3144"/>
    <cellStyle name="检查单元格 38 2" xfId="1927"/>
    <cellStyle name="检查单元格 38 3" xfId="1929"/>
    <cellStyle name="检查单元格 38 4" xfId="1931"/>
    <cellStyle name="检查单元格 38 5" xfId="1615"/>
    <cellStyle name="检查单元格 40" xfId="3145"/>
    <cellStyle name="检查单元格 8 3" xfId="15"/>
    <cellStyle name="解释性文本 10 2" xfId="863"/>
    <cellStyle name="解释性文本 14 6" xfId="120"/>
    <cellStyle name="解释性文本 14 7" xfId="101"/>
    <cellStyle name="解释性文本 14 8" xfId="141"/>
    <cellStyle name="解释性文本 14 9" xfId="145"/>
    <cellStyle name="解释性文本 18 6" xfId="2588"/>
    <cellStyle name="解释性文本 18 7" xfId="2614"/>
    <cellStyle name="解释性文本 18 8" xfId="2630"/>
    <cellStyle name="解释性文本 18 9" xfId="2645"/>
    <cellStyle name="解释性文本 19 6" xfId="2671"/>
    <cellStyle name="解释性文本 19 7" xfId="2676"/>
    <cellStyle name="解释性文本 19 8" xfId="2681"/>
    <cellStyle name="解释性文本 19 9" xfId="2686"/>
    <cellStyle name="解释性文本 2" xfId="3014"/>
    <cellStyle name="解释性文本 2 2 5 2" xfId="119"/>
    <cellStyle name="解释性文本 2 2 5 3" xfId="100"/>
    <cellStyle name="解释性文本 23 6" xfId="2589"/>
    <cellStyle name="解释性文本 23 7" xfId="2615"/>
    <cellStyle name="解释性文本 23 8" xfId="2631"/>
    <cellStyle name="解释性文本 23 9" xfId="2646"/>
    <cellStyle name="解释性文本 24 6" xfId="2672"/>
    <cellStyle name="解释性文本 24 7" xfId="2677"/>
    <cellStyle name="解释性文本 24 8" xfId="2682"/>
    <cellStyle name="解释性文本 24 9" xfId="2687"/>
    <cellStyle name="解释性文本 25 6" xfId="2692"/>
    <cellStyle name="解释性文本 25 7" xfId="2702"/>
    <cellStyle name="解释性文本 25 8" xfId="2708"/>
    <cellStyle name="解释性文本 26 6" xfId="2713"/>
    <cellStyle name="解释性文本 26 7" xfId="2719"/>
    <cellStyle name="解释性文本 27 6" xfId="2724"/>
    <cellStyle name="解释性文本 27 7" xfId="2729"/>
    <cellStyle name="解释性文本 27 8" xfId="2734"/>
    <cellStyle name="解释性文本 28 6" xfId="2740"/>
    <cellStyle name="解释性文本 28 7" xfId="2745"/>
    <cellStyle name="解释性文本 3" xfId="3017"/>
    <cellStyle name="解释性文本 3 13" xfId="3901"/>
    <cellStyle name="解释性文本 3 14" xfId="3906"/>
    <cellStyle name="解释性文本 30 6" xfId="2693"/>
    <cellStyle name="解释性文本 30 7" xfId="2703"/>
    <cellStyle name="解释性文本 30 8" xfId="2709"/>
    <cellStyle name="解释性文本 31 6" xfId="2714"/>
    <cellStyle name="解释性文本 31 7" xfId="2720"/>
    <cellStyle name="解释性文本 32 6" xfId="2725"/>
    <cellStyle name="解释性文本 32 7" xfId="2730"/>
    <cellStyle name="解释性文本 32 8" xfId="2735"/>
    <cellStyle name="解释性文本 33 6" xfId="2741"/>
    <cellStyle name="解释性文本 33 7" xfId="2746"/>
    <cellStyle name="警告文本 13 2 2" xfId="2503"/>
    <cellStyle name="警告文本 19 8" xfId="228"/>
    <cellStyle name="警告文本 19 9" xfId="245"/>
    <cellStyle name="警告文本 2 5 2" xfId="3455"/>
    <cellStyle name="警告文本 2 5 3" xfId="3460"/>
    <cellStyle name="警告文本 24 8" xfId="227"/>
    <cellStyle name="警告文本 24 9" xfId="244"/>
    <cellStyle name="警告文本 25" xfId="393"/>
    <cellStyle name="警告文本 25 8" xfId="173"/>
    <cellStyle name="警告文本 25 9" xfId="257"/>
    <cellStyle name="警告文本 26 8" xfId="300"/>
    <cellStyle name="警告文本 26 9" xfId="315"/>
    <cellStyle name="警告文本 27 8" xfId="18"/>
    <cellStyle name="警告文本 27 9" xfId="373"/>
    <cellStyle name="警告文本 28 8" xfId="422"/>
    <cellStyle name="警告文本 28 9" xfId="436"/>
    <cellStyle name="警告文本 29 8" xfId="502"/>
    <cellStyle name="警告文本 29 9" xfId="509"/>
    <cellStyle name="警告文本 30" xfId="392"/>
    <cellStyle name="警告文本 30 8" xfId="172"/>
    <cellStyle name="警告文本 30 9" xfId="256"/>
    <cellStyle name="警告文本 31 8" xfId="299"/>
    <cellStyle name="警告文本 31 9" xfId="314"/>
    <cellStyle name="警告文本 32 8" xfId="19"/>
    <cellStyle name="警告文本 32 9" xfId="372"/>
    <cellStyle name="警告文本 33 8" xfId="421"/>
    <cellStyle name="警告文本 33 9" xfId="435"/>
    <cellStyle name="警告文本 34 8" xfId="503"/>
    <cellStyle name="警告文本 34 9" xfId="510"/>
    <cellStyle name="警告文本 35 5" xfId="3244"/>
    <cellStyle name="警告文本 35 8" xfId="571"/>
    <cellStyle name="警告文本 35 9" xfId="581"/>
    <cellStyle name="警告文本 36 3" xfId="1710"/>
    <cellStyle name="警告文本 36 8" xfId="642"/>
    <cellStyle name="警告文本 36 9" xfId="654"/>
    <cellStyle name="警告文本 37 8" xfId="705"/>
    <cellStyle name="警告文本 37 9" xfId="711"/>
    <cellStyle name="警告文本 38 8" xfId="756"/>
    <cellStyle name="警告文本 38 9" xfId="762"/>
    <cellStyle name="警告文本 39 8" xfId="953"/>
    <cellStyle name="警告文本 39 9" xfId="958"/>
    <cellStyle name="警告文本 40 5" xfId="3245"/>
    <cellStyle name="警告文本 40 8" xfId="572"/>
    <cellStyle name="警告文本 40 9" xfId="582"/>
    <cellStyle name="警告文本 41 3" xfId="1711"/>
    <cellStyle name="警告文本 41 8" xfId="643"/>
    <cellStyle name="警告文本 41 9" xfId="655"/>
    <cellStyle name="警告文本 6 10" xfId="376"/>
    <cellStyle name="警告文本 6 11" xfId="379"/>
    <cellStyle name="警告文本 6 12" xfId="383"/>
    <cellStyle name="警告文本 7 10" xfId="717"/>
    <cellStyle name="警告文本 7 11" xfId="6"/>
    <cellStyle name="警告文本 7 12" xfId="722"/>
    <cellStyle name="警告文本 8 10" xfId="41"/>
    <cellStyle name="警告文本 8 11" xfId="286"/>
    <cellStyle name="警告文本 8 12" xfId="348"/>
    <cellStyle name="警告文本 9 10" xfId="1345"/>
    <cellStyle name="链接单元格 11 10" xfId="339"/>
    <cellStyle name="链接单元格 14 2 2" xfId="1654"/>
    <cellStyle name="链接单元格 2 2 2 2 2" xfId="948"/>
    <cellStyle name="链接单元格 2 2 2 2 3" xfId="1004"/>
    <cellStyle name="链接单元格 4 6" xfId="1922"/>
    <cellStyle name="链接单元格 4 7" xfId="1935"/>
    <cellStyle name="链接单元格 4 8" xfId="1952"/>
    <cellStyle name="链接单元格 4 9" xfId="1968"/>
    <cellStyle name="链接单元格 5 6" xfId="1977"/>
    <cellStyle name="链接单元格 5 7" xfId="1984"/>
    <cellStyle name="链接单元格 5 8" xfId="1988"/>
    <cellStyle name="链接单元格 5 9" xfId="1992"/>
    <cellStyle name="链接单元格 6 6" xfId="1995"/>
    <cellStyle name="链接单元格 6 7" xfId="2001"/>
    <cellStyle name="链接单元格 6 8" xfId="2004"/>
    <cellStyle name="链接单元格 7 6" xfId="2008"/>
    <cellStyle name="链接单元格 7 7" xfId="2011"/>
    <cellStyle name="链接单元格 8 6" xfId="2013"/>
    <cellStyle name="链接单元格 8 7" xfId="2016"/>
    <cellStyle name="链接单元格 8 8" xfId="2019"/>
    <cellStyle name="链接单元格 9 6" xfId="2021"/>
    <cellStyle name="链接单元格 9 7" xfId="2023"/>
    <cellStyle name="强调文字颜色 1 12 10" xfId="3857"/>
    <cellStyle name="强调文字颜色 1 13 10" xfId="3957"/>
    <cellStyle name="强调文字颜色 1 2 2 2 2 3" xfId="2414"/>
    <cellStyle name="强调文字颜色 1 29 5" xfId="2595"/>
    <cellStyle name="强调文字颜色 1 29 6" xfId="2601"/>
    <cellStyle name="强调文字颜色 1 29 7" xfId="2607"/>
    <cellStyle name="强调文字颜色 1 34 5" xfId="2596"/>
    <cellStyle name="强调文字颜色 1 34 6" xfId="2602"/>
    <cellStyle name="强调文字颜色 1 34 7" xfId="2608"/>
    <cellStyle name="强调文字颜色 1 35 5" xfId="2625"/>
    <cellStyle name="强调文字颜色 1 40 5" xfId="2626"/>
    <cellStyle name="强调文字颜色 2 2 2 2" xfId="312"/>
    <cellStyle name="强调文字颜色 2 2 2 2 2" xfId="1158"/>
    <cellStyle name="强调文字颜色 2 2 2 2 2 2" xfId="1160"/>
    <cellStyle name="强调文字颜色 2 2 2 2 2 3" xfId="1162"/>
    <cellStyle name="强调文字颜色 2 2 2 2 3" xfId="1168"/>
    <cellStyle name="强调文字颜色 2 2 2 2 4" xfId="1176"/>
    <cellStyle name="强调文字颜色 2 2 2 2 5" xfId="1181"/>
    <cellStyle name="强调文字颜色 2 2 2 2 6" xfId="1186"/>
    <cellStyle name="强调文字颜色 2 2 2 2 7" xfId="1192"/>
    <cellStyle name="强调文字颜色 2 2 2 2 8" xfId="1195"/>
    <cellStyle name="强调文字颜色 2 2 2 3" xfId="1388"/>
    <cellStyle name="强调文字颜色 2 2 2 3 2" xfId="1393"/>
    <cellStyle name="强调文字颜色 2 2 2 3 2 2" xfId="985"/>
    <cellStyle name="强调文字颜色 2 2 2 3 2 3" xfId="1399"/>
    <cellStyle name="强调文字颜色 2 2 2 3 3" xfId="96"/>
    <cellStyle name="强调文字颜色 2 2 2 3 4" xfId="1418"/>
    <cellStyle name="强调文字颜色 2 2 2 4" xfId="1455"/>
    <cellStyle name="强调文字颜色 2 2 2 4 2" xfId="1465"/>
    <cellStyle name="强调文字颜色 2 2 2 4 2 2" xfId="1467"/>
    <cellStyle name="强调文字颜色 2 2 2 4 2 3" xfId="1469"/>
    <cellStyle name="强调文字颜色 2 2 2 4 3" xfId="1474"/>
    <cellStyle name="强调文字颜色 2 2 2 4 4" xfId="1485"/>
    <cellStyle name="强调文字颜色 2 2 2 5" xfId="1495"/>
    <cellStyle name="强调文字颜色 2 2 2 5 2" xfId="1498"/>
    <cellStyle name="强调文字颜色 2 2 2 5 3" xfId="1502"/>
    <cellStyle name="强调文字颜色 2 2 2 6" xfId="1514"/>
    <cellStyle name="强调文字颜色 2 2 2 7" xfId="1543"/>
    <cellStyle name="强调文字颜色 2 2 3 2" xfId="2151"/>
    <cellStyle name="强调文字颜色 2 2 3 2 2" xfId="2165"/>
    <cellStyle name="强调文字颜色 2 2 3 2 3" xfId="2178"/>
    <cellStyle name="强调文字颜色 2 2 3 3" xfId="2270"/>
    <cellStyle name="强调文字颜色 2 2 3 4" xfId="2299"/>
    <cellStyle name="强调文字颜色 2 2 3 5" xfId="2326"/>
    <cellStyle name="强调文字颜色 2 2 4 2" xfId="2898"/>
    <cellStyle name="强调文字颜色 2 2 4 2 2" xfId="2913"/>
    <cellStyle name="强调文字颜色 2 2 4 2 3" xfId="2929"/>
    <cellStyle name="强调文字颜色 2 2 4 3" xfId="3045"/>
    <cellStyle name="强调文字颜色 2 2 4 4" xfId="3103"/>
    <cellStyle name="强调文字颜色 2 2 5 2" xfId="1297"/>
    <cellStyle name="强调文字颜色 2 2 5 3" xfId="1340"/>
    <cellStyle name="强调文字颜色 3 2 19" xfId="35"/>
    <cellStyle name="强调文字颜色 3 2 2 2 2" xfId="326"/>
    <cellStyle name="强调文字颜色 3 2 2 2 3" xfId="329"/>
    <cellStyle name="强调文字颜色 3 2 2 2 4" xfId="336"/>
    <cellStyle name="强调文字颜色 3 2 2 2 5" xfId="890"/>
    <cellStyle name="强调文字颜色 3 2 2 2 6" xfId="895"/>
    <cellStyle name="强调文字颜色 3 2 2 2 7" xfId="1390"/>
    <cellStyle name="强调文字颜色 3 2 2 2 8" xfId="804"/>
    <cellStyle name="强调文字颜色 3 2 2 3" xfId="3625"/>
    <cellStyle name="强调文字颜色 3 2 2 3 2" xfId="387"/>
    <cellStyle name="强调文字颜色 3 2 2 3 3" xfId="391"/>
    <cellStyle name="强调文字颜色 3 2 2 3 4" xfId="403"/>
    <cellStyle name="强调文字颜色 3 2 2 4" xfId="3628"/>
    <cellStyle name="强调文字颜色 3 2 2 4 2" xfId="453"/>
    <cellStyle name="强调文字颜色 3 2 2 4 3" xfId="459"/>
    <cellStyle name="强调文字颜色 3 2 2 4 4" xfId="474"/>
    <cellStyle name="强调文字颜色 3 2 2 5" xfId="3631"/>
    <cellStyle name="强调文字颜色 3 2 2 5 2" xfId="528"/>
    <cellStyle name="强调文字颜色 3 2 2 5 3" xfId="533"/>
    <cellStyle name="强调文字颜色 3 2 2 6" xfId="3634"/>
    <cellStyle name="强调文字颜色 3 2 2 7" xfId="3637"/>
    <cellStyle name="强调文字颜色 3 2 3 3" xfId="3647"/>
    <cellStyle name="强调文字颜色 3 2 3 4" xfId="3650"/>
    <cellStyle name="强调文字颜色 3 2 3 5" xfId="3653"/>
    <cellStyle name="强调文字颜色 3 2 4 3" xfId="3676"/>
    <cellStyle name="强调文字颜色 3 2 4 4" xfId="3680"/>
    <cellStyle name="强调文字颜色 3 2 5 3" xfId="3695"/>
    <cellStyle name="强调文字颜色 3 2 6 3" xfId="70"/>
    <cellStyle name="强调文字颜色 3 2 6 4" xfId="3711"/>
    <cellStyle name="强调文字颜色 3 26 4" xfId="3056"/>
    <cellStyle name="强调文字颜色 3 26 5" xfId="3060"/>
    <cellStyle name="强调文字颜色 3 26 6" xfId="3065"/>
    <cellStyle name="强调文字颜色 3 27 4" xfId="3071"/>
    <cellStyle name="强调文字颜色 3 27 5" xfId="3074"/>
    <cellStyle name="强调文字颜色 3 27 6" xfId="3078"/>
    <cellStyle name="强调文字颜色 3 31 4" xfId="3057"/>
    <cellStyle name="强调文字颜色 3 31 5" xfId="3061"/>
    <cellStyle name="强调文字颜色 3 31 6" xfId="3066"/>
    <cellStyle name="强调文字颜色 3 32 4" xfId="3072"/>
    <cellStyle name="强调文字颜色 3 32 5" xfId="3075"/>
    <cellStyle name="强调文字颜色 3 32 6" xfId="3079"/>
    <cellStyle name="强调文字颜色 3 8 3" xfId="2938"/>
    <cellStyle name="强调文字颜色 3 8 4" xfId="2941"/>
    <cellStyle name="强调文字颜色 3 8 5" xfId="2944"/>
    <cellStyle name="强调文字颜色 3 8 6" xfId="2968"/>
    <cellStyle name="强调文字颜色 3 8 7" xfId="2650"/>
    <cellStyle name="强调文字颜色 3 8 8" xfId="2655"/>
    <cellStyle name="强调文字颜色 3 8 9" xfId="789"/>
    <cellStyle name="强调文字颜色 3 9 3" xfId="3083"/>
    <cellStyle name="强调文字颜色 3 9 4" xfId="3086"/>
    <cellStyle name="强调文字颜色 3 9 5" xfId="3089"/>
    <cellStyle name="强调文字颜色 3 9 6" xfId="3092"/>
    <cellStyle name="强调文字颜色 4 2 2" xfId="1016"/>
    <cellStyle name="强调文字颜色 4 2 3" xfId="1021"/>
    <cellStyle name="强调文字颜色 4 2 4" xfId="1026"/>
    <cellStyle name="强调文字颜色 4 2 5" xfId="1031"/>
    <cellStyle name="强调文字颜色 4 2 6" xfId="1037"/>
    <cellStyle name="强调文字颜色 4 2 7" xfId="1042"/>
    <cellStyle name="强调文字颜色 4 2 8" xfId="1053"/>
    <cellStyle name="强调文字颜色 4 25 6" xfId="814"/>
    <cellStyle name="强调文字颜色 4 25 7" xfId="826"/>
    <cellStyle name="强调文字颜色 4 25 8" xfId="122"/>
    <cellStyle name="强调文字颜色 4 25 9" xfId="133"/>
    <cellStyle name="强调文字颜色 4 26 4" xfId="3211"/>
    <cellStyle name="强调文字颜色 4 26 6" xfId="414"/>
    <cellStyle name="强调文字颜色 4 26 7" xfId="494"/>
    <cellStyle name="强调文字颜色 4 26 8" xfId="561"/>
    <cellStyle name="强调文字颜色 4 27 6" xfId="838"/>
    <cellStyle name="强调文字颜色 4 27 7" xfId="854"/>
    <cellStyle name="强调文字颜色 4 27 8" xfId="866"/>
    <cellStyle name="强调文字颜色 4 28 6" xfId="877"/>
    <cellStyle name="强调文字颜色 4 28 7" xfId="364"/>
    <cellStyle name="强调文字颜色 4 3 2" xfId="1076"/>
    <cellStyle name="强调文字颜色 4 3 3" xfId="1082"/>
    <cellStyle name="强调文字颜色 4 3 4" xfId="1088"/>
    <cellStyle name="强调文字颜色 4 3 5" xfId="1094"/>
    <cellStyle name="强调文字颜色 4 3 6" xfId="812"/>
    <cellStyle name="强调文字颜色 4 3 7" xfId="824"/>
    <cellStyle name="强调文字颜色 4 3 8" xfId="125"/>
    <cellStyle name="强调文字颜色 4 3 9" xfId="136"/>
    <cellStyle name="强调文字颜色 4 30 6" xfId="815"/>
    <cellStyle name="强调文字颜色 4 30 7" xfId="827"/>
    <cellStyle name="强调文字颜色 4 30 8" xfId="121"/>
    <cellStyle name="强调文字颜色 4 30 9" xfId="132"/>
    <cellStyle name="强调文字颜色 4 31 4" xfId="3212"/>
    <cellStyle name="强调文字颜色 4 31 6" xfId="413"/>
    <cellStyle name="强调文字颜色 4 31 7" xfId="495"/>
    <cellStyle name="强调文字颜色 4 31 8" xfId="562"/>
    <cellStyle name="强调文字颜色 4 32 6" xfId="839"/>
    <cellStyle name="强调文字颜色 4 32 7" xfId="855"/>
    <cellStyle name="强调文字颜色 4 32 8" xfId="867"/>
    <cellStyle name="强调文字颜色 4 33 6" xfId="878"/>
    <cellStyle name="强调文字颜色 4 33 7" xfId="363"/>
    <cellStyle name="强调文字颜色 4 4 2" xfId="222"/>
    <cellStyle name="强调文字颜色 4 4 3" xfId="40"/>
    <cellStyle name="强调文字颜色 4 4 4" xfId="285"/>
    <cellStyle name="强调文字颜色 4 4 5" xfId="347"/>
    <cellStyle name="强调文字颜色 4 4 6" xfId="416"/>
    <cellStyle name="强调文字颜色 4 4 7" xfId="480"/>
    <cellStyle name="强调文字颜色 4 4 8" xfId="543"/>
    <cellStyle name="强调文字颜色 4 5 2" xfId="1121"/>
    <cellStyle name="强调文字颜色 4 5 2 2" xfId="1419"/>
    <cellStyle name="强调文字颜色 4 5 3" xfId="1129"/>
    <cellStyle name="强调文字颜色 4 5 3 2" xfId="1486"/>
    <cellStyle name="强调文字颜色 4 5 4" xfId="1136"/>
    <cellStyle name="强调文字颜色 4 5 5" xfId="1143"/>
    <cellStyle name="强调文字颜色 4 5 6" xfId="836"/>
    <cellStyle name="强调文字颜色 4 5 7" xfId="852"/>
    <cellStyle name="强调文字颜色 4 5 8" xfId="864"/>
    <cellStyle name="强调文字颜色 4 6 2" xfId="1209"/>
    <cellStyle name="强调文字颜色 4 6 3" xfId="1214"/>
    <cellStyle name="强调文字颜色 4 6 4" xfId="1219"/>
    <cellStyle name="强调文字颜色 4 6 5" xfId="1224"/>
    <cellStyle name="强调文字颜色 4 6 6" xfId="875"/>
    <cellStyle name="强调文字颜色 4 6 7" xfId="366"/>
    <cellStyle name="强调文字颜色 4 6 8" xfId="1229"/>
    <cellStyle name="强调文字颜色 4 7 10" xfId="3438"/>
    <cellStyle name="强调文字颜色 4 7 11" xfId="3443"/>
    <cellStyle name="强调文字颜色 4 7 12" xfId="3449"/>
    <cellStyle name="强调文字颜色 4 7 2" xfId="1246"/>
    <cellStyle name="强调文字颜色 4 7 3" xfId="1253"/>
    <cellStyle name="强调文字颜色 4 7 4" xfId="1261"/>
    <cellStyle name="强调文字颜色 4 7 5" xfId="1269"/>
    <cellStyle name="强调文字颜色 4 7 6" xfId="1276"/>
    <cellStyle name="强调文字颜色 4 7 7" xfId="1283"/>
    <cellStyle name="强调文字颜色 4 7 8" xfId="1288"/>
    <cellStyle name="强调文字颜色 4 8 10" xfId="3602"/>
    <cellStyle name="强调文字颜色 4 8 11" xfId="3608"/>
    <cellStyle name="强调文字颜色 4 8 2" xfId="1307"/>
    <cellStyle name="强调文字颜色 4 8 3" xfId="1312"/>
    <cellStyle name="强调文字颜色 4 8 4" xfId="1317"/>
    <cellStyle name="强调文字颜色 4 8 5" xfId="1322"/>
    <cellStyle name="强调文字颜色 4 8 6" xfId="1326"/>
    <cellStyle name="强调文字颜色 4 8 7" xfId="1330"/>
    <cellStyle name="强调文字颜色 4 8 8" xfId="1334"/>
    <cellStyle name="强调文字颜色 4 8 9" xfId="1516"/>
    <cellStyle name="强调文字颜色 4 9 2" xfId="1152"/>
    <cellStyle name="强调文字颜色 4 9 3" xfId="1346"/>
    <cellStyle name="强调文字颜色 4 9 4" xfId="1351"/>
    <cellStyle name="强调文字颜色 4 9 5" xfId="1356"/>
    <cellStyle name="强调文字颜色 4 9 6" xfId="1360"/>
    <cellStyle name="强调文字颜色 4 9 7" xfId="1364"/>
    <cellStyle name="强调文字颜色 4 9 8" xfId="1368"/>
    <cellStyle name="强调文字颜色 5 10 2 2" xfId="402"/>
    <cellStyle name="强调文字颜色 5 2 2 2 2 3" xfId="879"/>
    <cellStyle name="强调文字颜色 5 4 2 2" xfId="3311"/>
    <cellStyle name="强调文字颜色 5 4 2 3" xfId="3313"/>
    <cellStyle name="强调文字颜色 5 4 3 2" xfId="3340"/>
    <cellStyle name="强调文字颜色 5 4 3 3" xfId="3343"/>
    <cellStyle name="强调文字颜色 5 7 10" xfId="171"/>
    <cellStyle name="强调文字颜色 5 7 11" xfId="255"/>
    <cellStyle name="强调文字颜色 5 7 12" xfId="74"/>
    <cellStyle name="强调文字颜色 5 8 10" xfId="573"/>
    <cellStyle name="强调文字颜色 5 8 11" xfId="583"/>
    <cellStyle name="强调文字颜色 5 8 12" xfId="591"/>
    <cellStyle name="强调文字颜色 5 8 3" xfId="3725"/>
    <cellStyle name="强调文字颜色 5 8 4" xfId="3729"/>
    <cellStyle name="强调文字颜色 5 8 5" xfId="3732"/>
    <cellStyle name="强调文字颜色 5 9 10" xfId="1010"/>
    <cellStyle name="强调文字颜色 5 9 2 2" xfId="3922"/>
    <cellStyle name="强调文字颜色 5 9 3" xfId="3738"/>
    <cellStyle name="强调文字颜色 5 9 4" xfId="3744"/>
    <cellStyle name="强调文字颜色 5 9 5" xfId="3748"/>
    <cellStyle name="强调文字颜色 6 10 6" xfId="1499"/>
    <cellStyle name="强调文字颜色 6 10 7" xfId="1503"/>
    <cellStyle name="强调文字颜色 6 10 8" xfId="1506"/>
    <cellStyle name="强调文字颜色 6 11 6" xfId="1522"/>
    <cellStyle name="强调文字颜色 6 11 7" xfId="1527"/>
    <cellStyle name="强调文字颜色 6 11 8" xfId="1530"/>
    <cellStyle name="强调文字颜色 6 12 2" xfId="3693"/>
    <cellStyle name="强调文字颜色 6 12 3" xfId="3709"/>
    <cellStyle name="强调文字颜色 6 12 4" xfId="3754"/>
    <cellStyle name="强调文字颜色 6 12 5" xfId="3760"/>
    <cellStyle name="强调文字颜色 6 12 6" xfId="1554"/>
    <cellStyle name="强调文字颜色 6 12 7" xfId="1560"/>
    <cellStyle name="强调文字颜色 6 12 8" xfId="1565"/>
    <cellStyle name="强调文字颜色 6 13 2 2" xfId="2466"/>
    <cellStyle name="强调文字颜色 6 13 6" xfId="1586"/>
    <cellStyle name="强调文字颜色 6 13 7" xfId="1595"/>
    <cellStyle name="强调文字颜色 6 13 8" xfId="1598"/>
    <cellStyle name="强调文字颜色 6 3 6 2" xfId="251"/>
    <cellStyle name="强调文字颜色 6 7 10" xfId="1644"/>
    <cellStyle name="强调文字颜色 6 7 11" xfId="1655"/>
    <cellStyle name="强调文字颜色 6 7 12" xfId="1659"/>
    <cellStyle name="强调文字颜色 6 8 3" xfId="3768"/>
    <cellStyle name="强调文字颜色 6 8 4" xfId="104"/>
    <cellStyle name="强调文字颜色 6 8 5" xfId="3771"/>
    <cellStyle name="强调文字颜色 6 9 3" xfId="3774"/>
    <cellStyle name="强调文字颜色 6 9 4" xfId="3778"/>
    <cellStyle name="强调文字颜色 6 9 5" xfId="3782"/>
    <cellStyle name="适中 12 2 2" xfId="82"/>
    <cellStyle name="适中 13 2 2" xfId="1813"/>
    <cellStyle name="适中 14 2" xfId="81"/>
    <cellStyle name="适中 14 2 2" xfId="2656"/>
    <cellStyle name="适中 14 3" xfId="55"/>
    <cellStyle name="适中 14 4" xfId="30"/>
    <cellStyle name="适中 14 5" xfId="91"/>
    <cellStyle name="适中 14 6" xfId="159"/>
    <cellStyle name="适中 14 7" xfId="167"/>
    <cellStyle name="适中 2 4 2 2" xfId="1512"/>
    <cellStyle name="适中 2 6" xfId="3775"/>
    <cellStyle name="适中 2 6 2" xfId="90"/>
    <cellStyle name="适中 2 6 3" xfId="158"/>
    <cellStyle name="适中 2 6 4" xfId="166"/>
    <cellStyle name="适中 2 7" xfId="3779"/>
    <cellStyle name="适中 2 8" xfId="3783"/>
    <cellStyle name="适中 8 2" xfId="165"/>
    <cellStyle name="输出 2 15" xfId="1650"/>
    <cellStyle name="输出 2 2 3 2" xfId="791"/>
    <cellStyle name="输出 2 2 3 3" xfId="793"/>
    <cellStyle name="输出 2 2 3 4" xfId="795"/>
    <cellStyle name="输出 2 8" xfId="3220"/>
    <cellStyle name="输出 3 2 2" xfId="2544"/>
    <cellStyle name="输出 3 3 2" xfId="2566"/>
    <cellStyle name="输出 3 6 2" xfId="2815"/>
  </cellStyles>
  <dxfs count="1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Tencent%20Files/1213241580/FileRecv/2019.3&#26376;&#25552;&#25104;&#34920;&#23458;&#26381;&#25552;&#25104;.et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类"/>
      <sheetName val="A类"/>
      <sheetName val="T类"/>
      <sheetName val="Z类"/>
      <sheetName val="MS类"/>
      <sheetName val="C类刷头"/>
      <sheetName val="S类"/>
      <sheetName val="头花"/>
      <sheetName val="C类打底裤"/>
      <sheetName val="L类"/>
      <sheetName val="E类"/>
      <sheetName val="G类"/>
      <sheetName val="J类"/>
      <sheetName val="提成汇总1"/>
      <sheetName val="#REF!"/>
    </sheetNames>
    <sheetDataSet>
      <sheetData sheetId="0">
        <row r="55">
          <cell r="J55">
            <v>0</v>
          </cell>
        </row>
        <row r="138">
          <cell r="J138">
            <v>165.61286023660071</v>
          </cell>
        </row>
        <row r="140">
          <cell r="I140">
            <v>72.802182910566557</v>
          </cell>
        </row>
        <row r="141">
          <cell r="I141">
            <v>5.6497125791044835</v>
          </cell>
        </row>
        <row r="146">
          <cell r="J146">
            <v>0</v>
          </cell>
        </row>
        <row r="169">
          <cell r="J169">
            <v>220.73181634108232</v>
          </cell>
        </row>
        <row r="170">
          <cell r="J170">
            <v>1790.9827301759947</v>
          </cell>
        </row>
      </sheetData>
      <sheetData sheetId="1">
        <row r="94">
          <cell r="J94">
            <v>3715.5246363651595</v>
          </cell>
        </row>
        <row r="95">
          <cell r="J95">
            <v>4875.7413342801574</v>
          </cell>
        </row>
      </sheetData>
      <sheetData sheetId="2">
        <row r="132">
          <cell r="J132">
            <v>11900.618029658692</v>
          </cell>
        </row>
        <row r="133">
          <cell r="J133">
            <v>11900.618029658692</v>
          </cell>
        </row>
      </sheetData>
      <sheetData sheetId="3">
        <row r="149">
          <cell r="J149">
            <v>18276.378543426632</v>
          </cell>
        </row>
        <row r="150">
          <cell r="J150">
            <v>12560.289587768519</v>
          </cell>
        </row>
      </sheetData>
      <sheetData sheetId="4">
        <row r="25">
          <cell r="J25">
            <v>0</v>
          </cell>
        </row>
      </sheetData>
      <sheetData sheetId="5">
        <row r="21">
          <cell r="J21">
            <v>0</v>
          </cell>
        </row>
      </sheetData>
      <sheetData sheetId="6"/>
      <sheetData sheetId="7"/>
      <sheetData sheetId="8">
        <row r="94">
          <cell r="J94">
            <v>1044.028765774224</v>
          </cell>
        </row>
        <row r="95">
          <cell r="J95">
            <v>3763.6120941742265</v>
          </cell>
        </row>
      </sheetData>
      <sheetData sheetId="9">
        <row r="77">
          <cell r="J77">
            <v>1140.5121851529416</v>
          </cell>
        </row>
      </sheetData>
      <sheetData sheetId="10">
        <row r="113">
          <cell r="J113">
            <v>2678.674289869668</v>
          </cell>
        </row>
        <row r="114">
          <cell r="J114">
            <v>17499.360262669823</v>
          </cell>
        </row>
      </sheetData>
      <sheetData sheetId="11">
        <row r="125">
          <cell r="J125">
            <v>10218.283275248541</v>
          </cell>
        </row>
        <row r="126">
          <cell r="J126">
            <v>11322.984424173543</v>
          </cell>
        </row>
      </sheetData>
      <sheetData sheetId="12">
        <row r="34">
          <cell r="J34">
            <v>0</v>
          </cell>
        </row>
      </sheetData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194"/>
  <sheetViews>
    <sheetView zoomScaleSheetLayoutView="100" workbookViewId="0">
      <pane ySplit="2" topLeftCell="A3" activePane="bottomLeft" state="frozen"/>
      <selection pane="bottomLeft" activeCell="N3" sqref="N3"/>
    </sheetView>
  </sheetViews>
  <sheetFormatPr defaultRowHeight="13.5"/>
  <cols>
    <col min="1" max="1" width="10.875" style="21" hidden="1" customWidth="1"/>
    <col min="2" max="2" width="9.125" style="21" hidden="1" customWidth="1"/>
    <col min="3" max="3" width="10.875" style="21" customWidth="1"/>
    <col min="4" max="4" width="10" style="21" customWidth="1"/>
    <col min="5" max="5" width="9.625" style="21" customWidth="1"/>
    <col min="6" max="6" width="15.25" style="21" customWidth="1"/>
    <col min="7" max="7" width="13.625" style="59" customWidth="1"/>
    <col min="8" max="8" width="15.375" style="60" customWidth="1"/>
    <col min="9" max="9" width="14.625" style="61" customWidth="1"/>
    <col min="10" max="11" width="15.125" style="59" customWidth="1"/>
    <col min="12" max="12" width="13.875" style="83" customWidth="1"/>
    <col min="13" max="13" width="14.75" style="83" customWidth="1"/>
    <col min="14" max="14" width="10.5" style="83" customWidth="1"/>
    <col min="15" max="15" width="8.5" style="21" customWidth="1"/>
    <col min="16" max="16" width="18.25" style="21" customWidth="1"/>
    <col min="17" max="17" width="13.875" style="21" customWidth="1"/>
    <col min="18" max="19" width="12.75" style="21" customWidth="1"/>
    <col min="20" max="20" width="14" style="21" customWidth="1"/>
    <col min="21" max="22" width="9" style="21"/>
    <col min="23" max="24" width="8.125" style="21" customWidth="1"/>
    <col min="25" max="25" width="7.75" style="21" customWidth="1"/>
    <col min="26" max="26" width="13.25" style="21" customWidth="1"/>
    <col min="27" max="16384" width="9" style="21"/>
  </cols>
  <sheetData>
    <row r="1" spans="1:25">
      <c r="C1" s="21" t="s">
        <v>0</v>
      </c>
    </row>
    <row r="2" spans="1:25" s="22" customFormat="1" ht="21" customHeight="1">
      <c r="A2" s="24"/>
      <c r="B2" s="24"/>
      <c r="C2" s="25" t="s">
        <v>1</v>
      </c>
      <c r="D2" s="25" t="s">
        <v>2</v>
      </c>
      <c r="E2" s="25"/>
      <c r="F2" s="26" t="s">
        <v>3</v>
      </c>
      <c r="G2" s="26" t="s">
        <v>4</v>
      </c>
      <c r="H2" s="28" t="s">
        <v>5</v>
      </c>
      <c r="I2" s="29" t="s">
        <v>6</v>
      </c>
      <c r="J2" s="29" t="s">
        <v>7</v>
      </c>
      <c r="K2" s="38" t="s">
        <v>8</v>
      </c>
      <c r="L2" s="39"/>
      <c r="M2" s="40" t="s">
        <v>9</v>
      </c>
      <c r="N2" s="41">
        <v>7.01</v>
      </c>
      <c r="O2" s="42"/>
      <c r="P2" s="43"/>
      <c r="Q2" s="44"/>
      <c r="R2" s="45"/>
      <c r="S2" s="45"/>
      <c r="W2" s="46"/>
      <c r="X2" s="46"/>
      <c r="Y2" s="46"/>
    </row>
    <row r="3" spans="1:25">
      <c r="A3" s="64">
        <v>43556</v>
      </c>
      <c r="B3" s="21" t="s">
        <v>0</v>
      </c>
      <c r="C3" s="102" t="s">
        <v>10</v>
      </c>
      <c r="D3" s="21" t="s">
        <v>11</v>
      </c>
      <c r="E3" s="21" t="s">
        <v>12</v>
      </c>
      <c r="F3" s="33" t="s">
        <v>13</v>
      </c>
      <c r="G3" s="57"/>
      <c r="H3" s="54"/>
      <c r="I3" s="68"/>
      <c r="J3" s="57">
        <f>G3*H3*0.98-I3</f>
        <v>0</v>
      </c>
      <c r="K3" s="57">
        <f>(J3+J4+J5)*N2*0.025</f>
        <v>0</v>
      </c>
      <c r="L3" s="83">
        <f>K3/0.025*0.25</f>
        <v>0</v>
      </c>
      <c r="M3" s="83">
        <f>L3-K3</f>
        <v>0</v>
      </c>
    </row>
    <row r="4" spans="1:25">
      <c r="A4" s="64">
        <v>43556</v>
      </c>
      <c r="B4" s="21" t="s">
        <v>0</v>
      </c>
      <c r="C4" s="103"/>
      <c r="D4" s="21" t="s">
        <v>11</v>
      </c>
      <c r="E4" s="21" t="s">
        <v>12</v>
      </c>
      <c r="F4" s="33" t="s">
        <v>14</v>
      </c>
      <c r="G4" s="57"/>
      <c r="H4" s="54"/>
      <c r="I4" s="68"/>
      <c r="J4" s="57">
        <f>G4*H4*0.98-I4</f>
        <v>0</v>
      </c>
      <c r="K4" s="57"/>
    </row>
    <row r="5" spans="1:25">
      <c r="A5" s="64">
        <v>43556</v>
      </c>
      <c r="B5" s="21" t="s">
        <v>0</v>
      </c>
      <c r="C5" s="103"/>
      <c r="D5" s="21" t="s">
        <v>11</v>
      </c>
      <c r="E5" s="21" t="s">
        <v>12</v>
      </c>
      <c r="F5" s="33" t="s">
        <v>15</v>
      </c>
      <c r="G5" s="57"/>
      <c r="H5" s="54"/>
      <c r="I5" s="68"/>
      <c r="J5" s="57">
        <f>G5*H5*0.98-I5</f>
        <v>0</v>
      </c>
      <c r="K5" s="57"/>
    </row>
    <row r="6" spans="1:25">
      <c r="A6" s="64">
        <v>43556</v>
      </c>
      <c r="B6" s="21" t="s">
        <v>0</v>
      </c>
      <c r="C6" s="103"/>
      <c r="D6" s="21" t="s">
        <v>16</v>
      </c>
      <c r="E6" s="21" t="s">
        <v>17</v>
      </c>
      <c r="F6" s="33" t="s">
        <v>18</v>
      </c>
      <c r="G6" s="57"/>
      <c r="H6" s="54"/>
      <c r="I6" s="68"/>
      <c r="J6" s="57">
        <f t="shared" ref="J6:J11" si="0">G6*H6*0.98-I6</f>
        <v>0</v>
      </c>
      <c r="K6" s="57"/>
    </row>
    <row r="7" spans="1:25">
      <c r="A7" s="64">
        <v>43556</v>
      </c>
      <c r="B7" s="21" t="s">
        <v>0</v>
      </c>
      <c r="C7" s="103"/>
      <c r="D7" s="21" t="s">
        <v>19</v>
      </c>
      <c r="E7" s="21" t="s">
        <v>20</v>
      </c>
      <c r="F7" s="33" t="s">
        <v>21</v>
      </c>
      <c r="G7" s="57"/>
      <c r="H7" s="54"/>
      <c r="I7" s="68"/>
      <c r="J7" s="57">
        <f t="shared" si="0"/>
        <v>0</v>
      </c>
      <c r="K7" s="57">
        <f>(J7+J8+J9)*0.015*N2</f>
        <v>0</v>
      </c>
      <c r="L7" s="83">
        <f>K7/0.015*0.25</f>
        <v>0</v>
      </c>
      <c r="M7" s="83">
        <f>L7-K7</f>
        <v>0</v>
      </c>
    </row>
    <row r="8" spans="1:25">
      <c r="A8" s="64">
        <v>43556</v>
      </c>
      <c r="B8" s="21" t="s">
        <v>0</v>
      </c>
      <c r="C8" s="103"/>
      <c r="D8" s="21" t="s">
        <v>19</v>
      </c>
      <c r="E8" s="21" t="s">
        <v>20</v>
      </c>
      <c r="F8" s="33" t="s">
        <v>22</v>
      </c>
      <c r="G8" s="57"/>
      <c r="H8" s="54"/>
      <c r="I8" s="68"/>
      <c r="J8" s="57">
        <f t="shared" si="0"/>
        <v>0</v>
      </c>
      <c r="K8" s="57"/>
    </row>
    <row r="9" spans="1:25">
      <c r="A9" s="64">
        <v>43556</v>
      </c>
      <c r="B9" s="21" t="s">
        <v>0</v>
      </c>
      <c r="C9" s="103"/>
      <c r="D9" s="21" t="s">
        <v>19</v>
      </c>
      <c r="E9" s="21" t="s">
        <v>20</v>
      </c>
      <c r="F9" s="33" t="s">
        <v>23</v>
      </c>
      <c r="G9" s="57"/>
      <c r="H9" s="54"/>
      <c r="I9" s="68"/>
      <c r="J9" s="57">
        <f t="shared" si="0"/>
        <v>0</v>
      </c>
      <c r="K9" s="57"/>
    </row>
    <row r="10" spans="1:25">
      <c r="A10" s="64">
        <v>43556</v>
      </c>
      <c r="B10" s="21" t="s">
        <v>0</v>
      </c>
      <c r="C10" s="103"/>
      <c r="D10" s="21" t="s">
        <v>24</v>
      </c>
      <c r="E10" s="21" t="s">
        <v>25</v>
      </c>
      <c r="F10" s="33" t="s">
        <v>26</v>
      </c>
      <c r="G10" s="57"/>
      <c r="H10" s="54"/>
      <c r="I10" s="68"/>
      <c r="J10" s="57">
        <f t="shared" si="0"/>
        <v>0</v>
      </c>
      <c r="K10" s="57"/>
    </row>
    <row r="11" spans="1:25">
      <c r="A11" s="64"/>
      <c r="C11" s="103"/>
      <c r="D11" s="21" t="s">
        <v>24</v>
      </c>
      <c r="E11" s="21" t="s">
        <v>25</v>
      </c>
      <c r="F11" s="33" t="s">
        <v>27</v>
      </c>
      <c r="G11" s="57"/>
      <c r="H11" s="54"/>
      <c r="I11" s="68"/>
      <c r="J11" s="57">
        <f t="shared" si="0"/>
        <v>0</v>
      </c>
      <c r="K11" s="57"/>
    </row>
    <row r="12" spans="1:25">
      <c r="A12" s="64">
        <v>43556</v>
      </c>
      <c r="B12" s="21" t="s">
        <v>0</v>
      </c>
      <c r="C12" s="103"/>
      <c r="D12" s="21" t="s">
        <v>24</v>
      </c>
      <c r="E12" s="21" t="s">
        <v>25</v>
      </c>
      <c r="F12" s="33" t="s">
        <v>28</v>
      </c>
      <c r="G12" s="57"/>
      <c r="H12" s="54"/>
      <c r="I12" s="68"/>
      <c r="J12" s="57">
        <f t="shared" ref="J12:J48" si="1">G12*H12*0.98-I12</f>
        <v>0</v>
      </c>
      <c r="K12" s="57"/>
    </row>
    <row r="13" spans="1:25" customFormat="1">
      <c r="A13" s="64">
        <v>43556</v>
      </c>
      <c r="B13" s="21" t="s">
        <v>0</v>
      </c>
      <c r="C13" s="103"/>
      <c r="D13" s="21" t="s">
        <v>29</v>
      </c>
      <c r="E13" s="21" t="s">
        <v>17</v>
      </c>
      <c r="F13" s="33" t="s">
        <v>18</v>
      </c>
      <c r="G13" s="57"/>
      <c r="H13" s="54"/>
      <c r="I13" s="68"/>
      <c r="J13" s="57">
        <f t="shared" si="1"/>
        <v>0</v>
      </c>
      <c r="K13" s="57"/>
      <c r="L13" s="83"/>
      <c r="M13" s="83"/>
      <c r="N13" s="83"/>
      <c r="O13" s="21"/>
      <c r="P13" s="21"/>
    </row>
    <row r="14" spans="1:25">
      <c r="A14" s="64">
        <v>43556</v>
      </c>
      <c r="B14" s="21" t="s">
        <v>0</v>
      </c>
      <c r="C14" s="103"/>
      <c r="D14" s="21" t="s">
        <v>30</v>
      </c>
      <c r="E14" s="21" t="s">
        <v>20</v>
      </c>
      <c r="F14" s="33" t="s">
        <v>21</v>
      </c>
      <c r="G14" s="57"/>
      <c r="H14" s="54"/>
      <c r="I14" s="68"/>
      <c r="J14" s="57">
        <f t="shared" si="1"/>
        <v>0</v>
      </c>
      <c r="K14" s="96"/>
      <c r="L14" s="97"/>
      <c r="M14" s="97"/>
      <c r="N14" s="97"/>
      <c r="O14" s="98"/>
      <c r="P14" s="98"/>
    </row>
    <row r="15" spans="1:25">
      <c r="A15" s="64">
        <v>43556</v>
      </c>
      <c r="B15" s="21" t="s">
        <v>0</v>
      </c>
      <c r="C15" s="103"/>
      <c r="D15" s="21" t="s">
        <v>31</v>
      </c>
      <c r="E15" s="21" t="s">
        <v>20</v>
      </c>
      <c r="F15" s="33" t="s">
        <v>21</v>
      </c>
      <c r="G15" s="57"/>
      <c r="H15" s="54"/>
      <c r="I15" s="68"/>
      <c r="J15" s="57">
        <f t="shared" si="1"/>
        <v>0</v>
      </c>
      <c r="K15" s="57">
        <f>(J15+J16+J17+J14)*0.05*N2</f>
        <v>0</v>
      </c>
      <c r="L15" s="83">
        <f>K15/0.05*0.25</f>
        <v>0</v>
      </c>
      <c r="M15" s="83">
        <f>L15-K15-3000</f>
        <v>-3000</v>
      </c>
    </row>
    <row r="16" spans="1:25">
      <c r="A16" s="64">
        <v>43556</v>
      </c>
      <c r="B16" s="21" t="s">
        <v>0</v>
      </c>
      <c r="C16" s="103"/>
      <c r="D16" s="21" t="s">
        <v>31</v>
      </c>
      <c r="E16" s="21" t="s">
        <v>20</v>
      </c>
      <c r="F16" s="33" t="s">
        <v>22</v>
      </c>
      <c r="G16" s="57"/>
      <c r="H16" s="54"/>
      <c r="I16" s="67"/>
      <c r="J16" s="57">
        <f t="shared" si="1"/>
        <v>0</v>
      </c>
      <c r="K16" s="57"/>
    </row>
    <row r="17" spans="1:14">
      <c r="A17" s="64">
        <v>43556</v>
      </c>
      <c r="B17" s="21" t="s">
        <v>0</v>
      </c>
      <c r="C17" s="103"/>
      <c r="D17" s="21" t="s">
        <v>31</v>
      </c>
      <c r="E17" s="21" t="s">
        <v>20</v>
      </c>
      <c r="F17" s="33" t="s">
        <v>23</v>
      </c>
      <c r="G17" s="57"/>
      <c r="H17" s="54"/>
      <c r="I17" s="67"/>
      <c r="J17" s="57">
        <f t="shared" si="1"/>
        <v>0</v>
      </c>
      <c r="K17" s="57"/>
    </row>
    <row r="18" spans="1:14">
      <c r="A18" s="64">
        <v>43556</v>
      </c>
      <c r="B18" s="21" t="s">
        <v>0</v>
      </c>
      <c r="C18" s="103"/>
      <c r="D18" s="21" t="s">
        <v>32</v>
      </c>
      <c r="E18" s="21" t="s">
        <v>33</v>
      </c>
      <c r="F18" s="33" t="s">
        <v>34</v>
      </c>
      <c r="G18" s="57"/>
      <c r="H18" s="54"/>
      <c r="I18" s="68"/>
      <c r="J18" s="57">
        <f t="shared" si="1"/>
        <v>0</v>
      </c>
      <c r="K18" s="57"/>
    </row>
    <row r="19" spans="1:14">
      <c r="A19" s="64">
        <v>43556</v>
      </c>
      <c r="B19" s="21" t="s">
        <v>0</v>
      </c>
      <c r="C19" s="103"/>
      <c r="D19" s="21" t="s">
        <v>32</v>
      </c>
      <c r="E19" s="21" t="s">
        <v>33</v>
      </c>
      <c r="F19" s="33" t="s">
        <v>35</v>
      </c>
      <c r="G19" s="57"/>
      <c r="H19" s="54"/>
      <c r="I19" s="68"/>
      <c r="J19" s="57">
        <f t="shared" si="1"/>
        <v>0</v>
      </c>
      <c r="K19" s="57">
        <f>(J18+J19+J20+J21+J22+J23)*0.2*N2-3630</f>
        <v>-3630</v>
      </c>
    </row>
    <row r="20" spans="1:14">
      <c r="A20" s="64">
        <v>43556</v>
      </c>
      <c r="B20" s="21" t="s">
        <v>0</v>
      </c>
      <c r="C20" s="103"/>
      <c r="D20" s="21" t="s">
        <v>32</v>
      </c>
      <c r="E20" s="21" t="s">
        <v>33</v>
      </c>
      <c r="F20" s="33" t="s">
        <v>36</v>
      </c>
      <c r="G20" s="57"/>
      <c r="H20" s="54"/>
      <c r="I20" s="68"/>
      <c r="J20" s="57">
        <f t="shared" si="1"/>
        <v>0</v>
      </c>
      <c r="K20" s="57"/>
      <c r="N20" s="83" t="s">
        <v>37</v>
      </c>
    </row>
    <row r="21" spans="1:14">
      <c r="A21" s="64">
        <v>43556</v>
      </c>
      <c r="B21" s="21" t="s">
        <v>0</v>
      </c>
      <c r="C21" s="103"/>
      <c r="D21" s="21" t="s">
        <v>38</v>
      </c>
      <c r="E21" s="21" t="s">
        <v>33</v>
      </c>
      <c r="F21" s="33" t="s">
        <v>34</v>
      </c>
      <c r="G21" s="57"/>
      <c r="H21" s="54"/>
      <c r="I21" s="68"/>
      <c r="J21" s="57">
        <f t="shared" si="1"/>
        <v>0</v>
      </c>
      <c r="K21" s="57"/>
    </row>
    <row r="22" spans="1:14">
      <c r="A22" s="64">
        <v>43556</v>
      </c>
      <c r="B22" s="21" t="s">
        <v>0</v>
      </c>
      <c r="C22" s="103"/>
      <c r="D22" s="21" t="s">
        <v>38</v>
      </c>
      <c r="E22" s="21" t="s">
        <v>33</v>
      </c>
      <c r="F22" s="33" t="s">
        <v>35</v>
      </c>
      <c r="G22" s="57"/>
      <c r="H22" s="54"/>
      <c r="I22" s="68"/>
      <c r="J22" s="57">
        <f t="shared" si="1"/>
        <v>0</v>
      </c>
      <c r="K22" s="57"/>
    </row>
    <row r="23" spans="1:14">
      <c r="A23" s="64">
        <v>43556</v>
      </c>
      <c r="B23" s="21" t="s">
        <v>0</v>
      </c>
      <c r="C23" s="103"/>
      <c r="D23" s="21" t="s">
        <v>38</v>
      </c>
      <c r="E23" s="21" t="s">
        <v>33</v>
      </c>
      <c r="F23" s="33" t="s">
        <v>36</v>
      </c>
      <c r="G23" s="57"/>
      <c r="H23" s="54"/>
      <c r="I23" s="68"/>
      <c r="J23" s="57">
        <f t="shared" si="1"/>
        <v>0</v>
      </c>
      <c r="K23" s="57"/>
    </row>
    <row r="24" spans="1:14">
      <c r="A24" s="64">
        <v>43556</v>
      </c>
      <c r="B24" s="21" t="s">
        <v>0</v>
      </c>
      <c r="C24" s="103"/>
      <c r="D24" s="21" t="s">
        <v>39</v>
      </c>
      <c r="E24" s="21" t="s">
        <v>40</v>
      </c>
      <c r="F24" s="33" t="s">
        <v>41</v>
      </c>
      <c r="G24" s="57"/>
      <c r="H24" s="54"/>
      <c r="I24" s="68"/>
      <c r="J24" s="57">
        <f t="shared" si="1"/>
        <v>0</v>
      </c>
      <c r="K24" s="57"/>
    </row>
    <row r="25" spans="1:14">
      <c r="A25" s="64">
        <v>43556</v>
      </c>
      <c r="B25" s="21" t="s">
        <v>0</v>
      </c>
      <c r="C25" s="103"/>
      <c r="D25" s="21" t="s">
        <v>39</v>
      </c>
      <c r="E25" s="21" t="s">
        <v>40</v>
      </c>
      <c r="F25" s="33" t="s">
        <v>42</v>
      </c>
      <c r="G25" s="57"/>
      <c r="H25" s="54"/>
      <c r="I25" s="68"/>
      <c r="J25" s="57">
        <f t="shared" si="1"/>
        <v>0</v>
      </c>
      <c r="K25" s="57">
        <f>(J24+J25+J26+J27+J28)*0.05*N2</f>
        <v>0</v>
      </c>
      <c r="L25" s="83">
        <f>K25/0.05*0.25</f>
        <v>0</v>
      </c>
      <c r="M25" s="83">
        <f>L25-K25-4400</f>
        <v>-4400</v>
      </c>
      <c r="N25" s="83">
        <f>L25*0.1</f>
        <v>0</v>
      </c>
    </row>
    <row r="26" spans="1:14">
      <c r="A26" s="64">
        <v>43556</v>
      </c>
      <c r="B26" s="21" t="s">
        <v>0</v>
      </c>
      <c r="C26" s="103"/>
      <c r="D26" s="21" t="s">
        <v>39</v>
      </c>
      <c r="E26" s="21" t="s">
        <v>40</v>
      </c>
      <c r="F26" s="33" t="s">
        <v>43</v>
      </c>
      <c r="G26" s="57"/>
      <c r="H26" s="54"/>
      <c r="I26" s="67"/>
      <c r="J26" s="57">
        <f t="shared" si="1"/>
        <v>0</v>
      </c>
      <c r="K26" s="57"/>
    </row>
    <row r="27" spans="1:14">
      <c r="A27" s="64">
        <v>43556</v>
      </c>
      <c r="B27" s="21" t="s">
        <v>0</v>
      </c>
      <c r="C27" s="103"/>
      <c r="D27" s="21" t="s">
        <v>44</v>
      </c>
      <c r="E27" s="21" t="s">
        <v>40</v>
      </c>
      <c r="F27" s="33" t="s">
        <v>41</v>
      </c>
      <c r="G27" s="57"/>
      <c r="H27" s="54"/>
      <c r="I27" s="67"/>
      <c r="J27" s="57">
        <f t="shared" si="1"/>
        <v>0</v>
      </c>
      <c r="K27" s="57"/>
    </row>
    <row r="28" spans="1:14">
      <c r="A28" s="64">
        <v>43556</v>
      </c>
      <c r="B28" s="21" t="s">
        <v>0</v>
      </c>
      <c r="C28" s="103"/>
      <c r="D28" s="21" t="s">
        <v>44</v>
      </c>
      <c r="E28" s="21" t="s">
        <v>40</v>
      </c>
      <c r="F28" s="33" t="s">
        <v>43</v>
      </c>
      <c r="G28" s="57"/>
      <c r="H28" s="54"/>
      <c r="I28" s="68"/>
      <c r="J28" s="57">
        <f t="shared" si="1"/>
        <v>0</v>
      </c>
      <c r="K28" s="57"/>
    </row>
    <row r="29" spans="1:14">
      <c r="A29" s="64">
        <v>43556</v>
      </c>
      <c r="B29" s="21" t="s">
        <v>0</v>
      </c>
      <c r="C29" s="103"/>
      <c r="D29" s="21" t="s">
        <v>45</v>
      </c>
      <c r="E29" s="21" t="s">
        <v>46</v>
      </c>
      <c r="F29" s="33" t="s">
        <v>47</v>
      </c>
      <c r="G29" s="57"/>
      <c r="H29" s="54"/>
      <c r="I29" s="68"/>
      <c r="J29" s="57">
        <f t="shared" si="1"/>
        <v>0</v>
      </c>
      <c r="K29" s="57">
        <f>(J29+J30+J31+J32+J38+J39)*0.03*N2</f>
        <v>0</v>
      </c>
      <c r="L29" s="83">
        <f>K29/0.03*0.25</f>
        <v>0</v>
      </c>
      <c r="M29" s="83">
        <f>L29-K29-3000</f>
        <v>-3000</v>
      </c>
    </row>
    <row r="30" spans="1:14">
      <c r="A30" s="64">
        <v>43556</v>
      </c>
      <c r="B30" s="21" t="s">
        <v>0</v>
      </c>
      <c r="C30" s="103"/>
      <c r="D30" s="21" t="s">
        <v>45</v>
      </c>
      <c r="E30" s="21" t="s">
        <v>46</v>
      </c>
      <c r="F30" s="33" t="s">
        <v>48</v>
      </c>
      <c r="G30" s="57"/>
      <c r="H30" s="54"/>
      <c r="I30" s="67"/>
      <c r="J30" s="57">
        <f t="shared" si="1"/>
        <v>0</v>
      </c>
      <c r="K30" s="57"/>
    </row>
    <row r="31" spans="1:14">
      <c r="A31" s="64">
        <v>43556</v>
      </c>
      <c r="B31" s="21" t="s">
        <v>0</v>
      </c>
      <c r="C31" s="103"/>
      <c r="D31" s="21" t="s">
        <v>45</v>
      </c>
      <c r="E31" s="21" t="s">
        <v>46</v>
      </c>
      <c r="F31" s="33" t="s">
        <v>49</v>
      </c>
      <c r="G31" s="57"/>
      <c r="H31" s="54"/>
      <c r="I31" s="68"/>
      <c r="J31" s="57">
        <f t="shared" si="1"/>
        <v>0</v>
      </c>
      <c r="K31" s="57"/>
    </row>
    <row r="32" spans="1:14">
      <c r="A32" s="64"/>
      <c r="C32" s="103"/>
      <c r="D32" s="21" t="s">
        <v>50</v>
      </c>
      <c r="E32" s="21" t="s">
        <v>46</v>
      </c>
      <c r="F32" s="33" t="s">
        <v>47</v>
      </c>
      <c r="G32" s="57"/>
      <c r="H32" s="54"/>
      <c r="I32" s="68"/>
      <c r="J32" s="57">
        <f t="shared" si="1"/>
        <v>0</v>
      </c>
      <c r="K32" s="57"/>
    </row>
    <row r="33" spans="1:14">
      <c r="A33" s="64">
        <v>43556</v>
      </c>
      <c r="B33" s="21" t="s">
        <v>0</v>
      </c>
      <c r="C33" s="103"/>
      <c r="D33" s="21" t="s">
        <v>51</v>
      </c>
      <c r="E33" s="21" t="s">
        <v>52</v>
      </c>
      <c r="F33" s="33" t="s">
        <v>53</v>
      </c>
      <c r="G33" s="57"/>
      <c r="H33" s="54"/>
      <c r="I33" s="68"/>
      <c r="J33" s="57">
        <f t="shared" si="1"/>
        <v>0</v>
      </c>
      <c r="K33" s="57"/>
    </row>
    <row r="34" spans="1:14">
      <c r="A34" s="64">
        <v>43556</v>
      </c>
      <c r="B34" s="21" t="s">
        <v>0</v>
      </c>
      <c r="C34" s="103"/>
      <c r="D34" s="21" t="s">
        <v>51</v>
      </c>
      <c r="E34" s="21" t="s">
        <v>52</v>
      </c>
      <c r="F34" s="33" t="s">
        <v>54</v>
      </c>
      <c r="G34" s="57"/>
      <c r="H34" s="54"/>
      <c r="I34" s="67"/>
      <c r="J34" s="57">
        <f t="shared" si="1"/>
        <v>0</v>
      </c>
      <c r="K34" s="57">
        <f>(J33+J34+J35)*0.05*N2</f>
        <v>0</v>
      </c>
      <c r="L34" s="83">
        <f>K34/0.05*0.25</f>
        <v>0</v>
      </c>
      <c r="M34" s="83">
        <f>L34-K34</f>
        <v>0</v>
      </c>
    </row>
    <row r="35" spans="1:14">
      <c r="A35" s="64">
        <v>43556</v>
      </c>
      <c r="B35" s="21" t="s">
        <v>0</v>
      </c>
      <c r="C35" s="103"/>
      <c r="D35" s="21" t="s">
        <v>51</v>
      </c>
      <c r="E35" s="21" t="s">
        <v>52</v>
      </c>
      <c r="F35" s="33" t="s">
        <v>55</v>
      </c>
      <c r="G35" s="57"/>
      <c r="H35" s="54"/>
      <c r="I35" s="68"/>
      <c r="J35" s="57">
        <f t="shared" si="1"/>
        <v>0</v>
      </c>
      <c r="K35" s="57"/>
    </row>
    <row r="36" spans="1:14">
      <c r="A36" s="64">
        <v>43556</v>
      </c>
      <c r="B36" s="21" t="s">
        <v>0</v>
      </c>
      <c r="C36" s="103"/>
      <c r="D36" s="21" t="s">
        <v>56</v>
      </c>
      <c r="E36" s="21" t="s">
        <v>57</v>
      </c>
      <c r="F36" s="33" t="s">
        <v>58</v>
      </c>
      <c r="G36" s="57"/>
      <c r="H36" s="54"/>
      <c r="I36" s="68"/>
      <c r="J36" s="57">
        <f t="shared" si="1"/>
        <v>0</v>
      </c>
      <c r="K36" s="57">
        <f>(J36+J37+J40)*0.05*N2</f>
        <v>0</v>
      </c>
      <c r="L36" s="83">
        <f>K36/0.05*0.25</f>
        <v>0</v>
      </c>
      <c r="M36" s="83">
        <f>L36-K36</f>
        <v>0</v>
      </c>
    </row>
    <row r="37" spans="1:14">
      <c r="A37" s="64">
        <v>43556</v>
      </c>
      <c r="B37" s="21" t="s">
        <v>0</v>
      </c>
      <c r="C37" s="103"/>
      <c r="D37" s="21" t="s">
        <v>56</v>
      </c>
      <c r="E37" s="21" t="s">
        <v>57</v>
      </c>
      <c r="F37" s="33" t="s">
        <v>59</v>
      </c>
      <c r="G37" s="57"/>
      <c r="H37" s="54"/>
      <c r="I37" s="68"/>
      <c r="J37" s="57">
        <f t="shared" si="1"/>
        <v>0</v>
      </c>
      <c r="K37" s="57"/>
    </row>
    <row r="38" spans="1:14">
      <c r="A38" s="64">
        <v>43556</v>
      </c>
      <c r="B38" s="21" t="s">
        <v>0</v>
      </c>
      <c r="C38" s="103"/>
      <c r="D38" s="21" t="s">
        <v>60</v>
      </c>
      <c r="E38" s="21" t="s">
        <v>46</v>
      </c>
      <c r="F38" s="33" t="s">
        <v>47</v>
      </c>
      <c r="G38" s="57"/>
      <c r="H38" s="54"/>
      <c r="I38" s="67"/>
      <c r="J38" s="57">
        <f t="shared" si="1"/>
        <v>0</v>
      </c>
      <c r="K38" s="57"/>
    </row>
    <row r="39" spans="1:14">
      <c r="A39" s="64">
        <v>43556</v>
      </c>
      <c r="B39" s="21" t="s">
        <v>0</v>
      </c>
      <c r="C39" s="103"/>
      <c r="D39" s="21" t="s">
        <v>60</v>
      </c>
      <c r="E39" s="21" t="s">
        <v>46</v>
      </c>
      <c r="F39" s="33" t="s">
        <v>49</v>
      </c>
      <c r="G39" s="57"/>
      <c r="H39" s="54"/>
      <c r="I39" s="99"/>
      <c r="J39" s="57">
        <f t="shared" si="1"/>
        <v>0</v>
      </c>
      <c r="K39" s="57"/>
    </row>
    <row r="40" spans="1:14">
      <c r="A40" s="64">
        <v>43556</v>
      </c>
      <c r="B40" s="21" t="s">
        <v>0</v>
      </c>
      <c r="C40" s="103"/>
      <c r="D40" s="21" t="s">
        <v>61</v>
      </c>
      <c r="E40" s="21" t="s">
        <v>57</v>
      </c>
      <c r="F40" s="33" t="s">
        <v>58</v>
      </c>
      <c r="G40" s="57"/>
      <c r="H40" s="54"/>
      <c r="I40" s="68"/>
      <c r="J40" s="57">
        <f t="shared" si="1"/>
        <v>0</v>
      </c>
      <c r="K40" s="57"/>
    </row>
    <row r="41" spans="1:14">
      <c r="A41" s="64">
        <v>43556</v>
      </c>
      <c r="B41" s="21" t="s">
        <v>0</v>
      </c>
      <c r="C41" s="103"/>
      <c r="D41" s="21" t="s">
        <v>62</v>
      </c>
      <c r="E41" s="21" t="s">
        <v>63</v>
      </c>
      <c r="F41" s="33" t="s">
        <v>64</v>
      </c>
      <c r="G41" s="57"/>
      <c r="H41" s="54"/>
      <c r="I41" s="67"/>
      <c r="J41" s="57">
        <f t="shared" si="1"/>
        <v>0</v>
      </c>
      <c r="K41" s="57"/>
    </row>
    <row r="42" spans="1:14">
      <c r="A42" s="64">
        <v>43556</v>
      </c>
      <c r="B42" s="21" t="s">
        <v>0</v>
      </c>
      <c r="C42" s="103"/>
      <c r="D42" s="21" t="s">
        <v>62</v>
      </c>
      <c r="E42" s="21" t="s">
        <v>63</v>
      </c>
      <c r="F42" s="33" t="s">
        <v>65</v>
      </c>
      <c r="G42" s="57"/>
      <c r="H42" s="54"/>
      <c r="I42" s="68"/>
      <c r="J42" s="57">
        <f t="shared" si="1"/>
        <v>0</v>
      </c>
      <c r="K42" s="57">
        <f>(J41+J42+J43+J44)*0.05*N2</f>
        <v>0</v>
      </c>
      <c r="L42" s="83">
        <f>K42/0.05*0.25</f>
        <v>0</v>
      </c>
      <c r="M42" s="83">
        <f>L42-K42-3630</f>
        <v>-3630</v>
      </c>
      <c r="N42" s="83">
        <f>M42*0.1</f>
        <v>-363</v>
      </c>
    </row>
    <row r="43" spans="1:14">
      <c r="A43" s="64">
        <v>43556</v>
      </c>
      <c r="B43" s="21" t="s">
        <v>0</v>
      </c>
      <c r="C43" s="103"/>
      <c r="D43" s="21" t="s">
        <v>66</v>
      </c>
      <c r="E43" s="21" t="s">
        <v>63</v>
      </c>
      <c r="F43" s="33" t="s">
        <v>64</v>
      </c>
      <c r="G43" s="57"/>
      <c r="H43" s="54"/>
      <c r="I43" s="68"/>
      <c r="J43" s="57">
        <f t="shared" si="1"/>
        <v>0</v>
      </c>
      <c r="K43" s="57"/>
    </row>
    <row r="44" spans="1:14">
      <c r="A44" s="64">
        <v>43556</v>
      </c>
      <c r="B44" s="21" t="s">
        <v>0</v>
      </c>
      <c r="C44" s="103"/>
      <c r="D44" s="21" t="s">
        <v>66</v>
      </c>
      <c r="E44" s="21" t="s">
        <v>63</v>
      </c>
      <c r="F44" s="33" t="s">
        <v>65</v>
      </c>
      <c r="G44" s="57"/>
      <c r="H44" s="54"/>
      <c r="I44" s="68"/>
      <c r="J44" s="57">
        <f t="shared" si="1"/>
        <v>0</v>
      </c>
      <c r="K44" s="57"/>
    </row>
    <row r="45" spans="1:14">
      <c r="A45" s="64">
        <v>43556</v>
      </c>
      <c r="B45" s="21" t="s">
        <v>0</v>
      </c>
      <c r="C45" s="103"/>
      <c r="D45" s="21" t="s">
        <v>67</v>
      </c>
      <c r="E45" s="21" t="s">
        <v>68</v>
      </c>
      <c r="F45" s="33" t="s">
        <v>69</v>
      </c>
      <c r="G45" s="57"/>
      <c r="H45" s="54"/>
      <c r="I45" s="68"/>
      <c r="J45" s="57">
        <f t="shared" si="1"/>
        <v>0</v>
      </c>
      <c r="K45" s="57">
        <f>(J45)*0.05*N2</f>
        <v>0</v>
      </c>
      <c r="L45" s="83">
        <f>(J45)*0.25*N2</f>
        <v>0</v>
      </c>
      <c r="M45" s="83">
        <f>L45-K45</f>
        <v>0</v>
      </c>
    </row>
    <row r="46" spans="1:14">
      <c r="A46" s="64">
        <v>43556</v>
      </c>
      <c r="B46" s="21" t="s">
        <v>0</v>
      </c>
      <c r="C46" s="103"/>
      <c r="D46" s="21" t="s">
        <v>70</v>
      </c>
      <c r="E46" s="21" t="s">
        <v>25</v>
      </c>
      <c r="F46" s="33" t="s">
        <v>26</v>
      </c>
      <c r="G46" s="57"/>
      <c r="H46" s="54"/>
      <c r="I46" s="68"/>
      <c r="J46" s="57">
        <f t="shared" si="1"/>
        <v>0</v>
      </c>
      <c r="K46" s="57">
        <f>(J46+J47+J48+J10+J11+J12)*0.03*N2</f>
        <v>0</v>
      </c>
      <c r="L46" s="83">
        <f>K46/0.03*0.25</f>
        <v>0</v>
      </c>
      <c r="M46" s="83">
        <f>L46-K46-3000</f>
        <v>-3000</v>
      </c>
    </row>
    <row r="47" spans="1:14">
      <c r="A47" s="64">
        <v>43556</v>
      </c>
      <c r="B47" s="21" t="s">
        <v>0</v>
      </c>
      <c r="C47" s="103"/>
      <c r="D47" s="21" t="s">
        <v>70</v>
      </c>
      <c r="E47" s="21" t="s">
        <v>25</v>
      </c>
      <c r="F47" s="33" t="s">
        <v>28</v>
      </c>
      <c r="G47" s="57"/>
      <c r="H47" s="54"/>
      <c r="I47" s="67"/>
      <c r="J47" s="57">
        <f t="shared" si="1"/>
        <v>0</v>
      </c>
      <c r="K47" s="57"/>
    </row>
    <row r="48" spans="1:14">
      <c r="A48" s="64"/>
      <c r="C48" s="103"/>
      <c r="D48" s="21" t="s">
        <v>71</v>
      </c>
      <c r="E48" s="21" t="s">
        <v>25</v>
      </c>
      <c r="F48" s="33" t="s">
        <v>26</v>
      </c>
      <c r="G48" s="57"/>
      <c r="H48" s="54"/>
      <c r="I48" s="68"/>
      <c r="J48" s="57">
        <f t="shared" si="1"/>
        <v>0</v>
      </c>
      <c r="K48" s="57"/>
    </row>
    <row r="49" spans="1:13">
      <c r="A49" s="64">
        <v>43556</v>
      </c>
      <c r="B49" s="21" t="s">
        <v>0</v>
      </c>
      <c r="C49" s="103"/>
      <c r="D49" s="21" t="s">
        <v>72</v>
      </c>
      <c r="E49" s="21" t="s">
        <v>17</v>
      </c>
      <c r="F49" s="33" t="s">
        <v>18</v>
      </c>
      <c r="G49" s="57"/>
      <c r="H49" s="54"/>
      <c r="I49" s="68"/>
      <c r="J49" s="57">
        <f t="shared" ref="J49:J79" si="2">G49*H49*0.98-I49</f>
        <v>0</v>
      </c>
      <c r="K49" s="57">
        <f>(J49+J50+J51+J52+J53+J13)*0.05*N2</f>
        <v>0</v>
      </c>
      <c r="L49" s="83">
        <f>K49/0.05*0.25</f>
        <v>0</v>
      </c>
      <c r="M49" s="83">
        <f>L49-K49</f>
        <v>0</v>
      </c>
    </row>
    <row r="50" spans="1:13">
      <c r="A50" s="64">
        <v>43556</v>
      </c>
      <c r="B50" s="21" t="s">
        <v>0</v>
      </c>
      <c r="C50" s="103"/>
      <c r="D50" s="21" t="s">
        <v>73</v>
      </c>
      <c r="E50" s="21" t="s">
        <v>17</v>
      </c>
      <c r="F50" s="33" t="s">
        <v>18</v>
      </c>
      <c r="G50" s="57"/>
      <c r="H50" s="54"/>
      <c r="I50" s="68"/>
      <c r="J50" s="57">
        <f t="shared" si="2"/>
        <v>0</v>
      </c>
      <c r="K50" s="57"/>
    </row>
    <row r="51" spans="1:13">
      <c r="A51" s="64"/>
      <c r="C51" s="103"/>
      <c r="D51" s="21" t="s">
        <v>73</v>
      </c>
      <c r="E51" s="21" t="s">
        <v>17</v>
      </c>
      <c r="F51" s="33" t="s">
        <v>74</v>
      </c>
      <c r="G51" s="57"/>
      <c r="H51" s="54"/>
      <c r="I51" s="67"/>
      <c r="J51" s="57">
        <f t="shared" si="2"/>
        <v>0</v>
      </c>
      <c r="K51" s="57"/>
    </row>
    <row r="52" spans="1:13">
      <c r="A52" s="64"/>
      <c r="C52" s="103"/>
      <c r="D52" s="21" t="s">
        <v>75</v>
      </c>
      <c r="E52" s="21" t="s">
        <v>17</v>
      </c>
      <c r="F52" s="33" t="s">
        <v>18</v>
      </c>
      <c r="G52" s="57"/>
      <c r="H52" s="54"/>
      <c r="I52" s="68"/>
      <c r="J52" s="57">
        <f t="shared" si="2"/>
        <v>0</v>
      </c>
      <c r="K52" s="57"/>
    </row>
    <row r="53" spans="1:13">
      <c r="A53" s="64"/>
      <c r="C53" s="103"/>
      <c r="D53" s="21" t="s">
        <v>75</v>
      </c>
      <c r="E53" s="21" t="s">
        <v>17</v>
      </c>
      <c r="F53" s="33" t="s">
        <v>76</v>
      </c>
      <c r="G53" s="57"/>
      <c r="H53" s="54"/>
      <c r="I53" s="68"/>
      <c r="J53" s="57">
        <f t="shared" si="2"/>
        <v>0</v>
      </c>
      <c r="K53" s="57"/>
    </row>
    <row r="54" spans="1:13">
      <c r="A54" s="64">
        <v>43556</v>
      </c>
      <c r="B54" s="21" t="s">
        <v>0</v>
      </c>
      <c r="C54" s="103"/>
      <c r="D54" s="21" t="s">
        <v>77</v>
      </c>
      <c r="E54" s="21" t="s">
        <v>12</v>
      </c>
      <c r="F54" s="33" t="s">
        <v>13</v>
      </c>
      <c r="G54" s="57"/>
      <c r="H54" s="54"/>
      <c r="I54" s="67"/>
      <c r="J54" s="57">
        <f t="shared" si="2"/>
        <v>0</v>
      </c>
      <c r="K54" s="57"/>
    </row>
    <row r="55" spans="1:13">
      <c r="A55" s="64">
        <v>43556</v>
      </c>
      <c r="B55" s="21" t="s">
        <v>0</v>
      </c>
      <c r="C55" s="103"/>
      <c r="D55" s="21" t="s">
        <v>77</v>
      </c>
      <c r="E55" s="21" t="s">
        <v>12</v>
      </c>
      <c r="F55" s="33" t="s">
        <v>15</v>
      </c>
      <c r="G55" s="57"/>
      <c r="H55" s="54"/>
      <c r="I55" s="67"/>
      <c r="J55" s="57">
        <f t="shared" si="2"/>
        <v>0</v>
      </c>
      <c r="K55" s="57">
        <f>(J55+J54+J56+J57)*0.05*N2</f>
        <v>0</v>
      </c>
      <c r="L55" s="83">
        <f>K55/0.05*0.25</f>
        <v>0</v>
      </c>
      <c r="M55" s="83">
        <f>L55-K55-3300</f>
        <v>-3300</v>
      </c>
    </row>
    <row r="56" spans="1:13">
      <c r="A56" s="64">
        <v>43556</v>
      </c>
      <c r="B56" s="21" t="s">
        <v>0</v>
      </c>
      <c r="C56" s="103"/>
      <c r="D56" s="21" t="s">
        <v>78</v>
      </c>
      <c r="E56" s="21" t="s">
        <v>12</v>
      </c>
      <c r="F56" s="33" t="s">
        <v>14</v>
      </c>
      <c r="G56" s="57"/>
      <c r="H56" s="54"/>
      <c r="I56" s="67"/>
      <c r="J56" s="57">
        <f t="shared" si="2"/>
        <v>0</v>
      </c>
      <c r="K56" s="57"/>
    </row>
    <row r="57" spans="1:13">
      <c r="A57" s="64">
        <v>43556</v>
      </c>
      <c r="B57" s="21" t="s">
        <v>0</v>
      </c>
      <c r="C57" s="103"/>
      <c r="D57" s="21" t="s">
        <v>78</v>
      </c>
      <c r="E57" s="21" t="s">
        <v>12</v>
      </c>
      <c r="F57" s="33" t="s">
        <v>15</v>
      </c>
      <c r="G57" s="57"/>
      <c r="H57" s="54"/>
      <c r="I57" s="67"/>
      <c r="J57" s="57">
        <f t="shared" si="2"/>
        <v>0</v>
      </c>
      <c r="K57" s="57"/>
    </row>
    <row r="58" spans="1:13">
      <c r="A58" s="64"/>
      <c r="C58" s="103"/>
      <c r="D58" s="75" t="s">
        <v>79</v>
      </c>
      <c r="E58" s="75" t="s">
        <v>80</v>
      </c>
      <c r="F58" s="75" t="s">
        <v>81</v>
      </c>
      <c r="G58" s="76"/>
      <c r="H58" s="77"/>
      <c r="I58" s="68"/>
      <c r="J58" s="57">
        <f t="shared" si="2"/>
        <v>0</v>
      </c>
      <c r="K58" s="57">
        <f>(J58+J59)*0.25*N2</f>
        <v>0</v>
      </c>
    </row>
    <row r="59" spans="1:13">
      <c r="A59" s="64"/>
      <c r="C59" s="103"/>
      <c r="D59" s="75" t="s">
        <v>79</v>
      </c>
      <c r="E59" s="75" t="s">
        <v>80</v>
      </c>
      <c r="F59" s="75" t="s">
        <v>82</v>
      </c>
      <c r="G59" s="76"/>
      <c r="H59" s="77"/>
      <c r="I59" s="68"/>
      <c r="J59" s="57">
        <f t="shared" si="2"/>
        <v>0</v>
      </c>
      <c r="K59" s="57"/>
    </row>
    <row r="60" spans="1:13" ht="15" customHeight="1">
      <c r="A60" s="64">
        <v>43556</v>
      </c>
      <c r="B60" s="21" t="s">
        <v>0</v>
      </c>
      <c r="C60" s="102" t="s">
        <v>83</v>
      </c>
      <c r="D60" s="21" t="s">
        <v>84</v>
      </c>
      <c r="E60" s="21" t="s">
        <v>85</v>
      </c>
      <c r="F60" s="33" t="s">
        <v>86</v>
      </c>
      <c r="G60" s="57"/>
      <c r="H60" s="54"/>
      <c r="I60" s="68"/>
      <c r="J60" s="57">
        <f t="shared" si="2"/>
        <v>0</v>
      </c>
      <c r="K60" s="57"/>
    </row>
    <row r="61" spans="1:13" ht="15" customHeight="1">
      <c r="A61" s="64">
        <v>43556</v>
      </c>
      <c r="B61" s="21" t="s">
        <v>0</v>
      </c>
      <c r="C61" s="103"/>
      <c r="D61" s="21" t="s">
        <v>84</v>
      </c>
      <c r="E61" s="21" t="s">
        <v>85</v>
      </c>
      <c r="F61" s="33" t="s">
        <v>87</v>
      </c>
      <c r="G61" s="57"/>
      <c r="H61" s="54"/>
      <c r="I61" s="68"/>
      <c r="J61" s="57">
        <f t="shared" si="2"/>
        <v>0</v>
      </c>
      <c r="K61" s="57"/>
    </row>
    <row r="62" spans="1:13">
      <c r="A62" s="64">
        <v>43556</v>
      </c>
      <c r="B62" s="21" t="s">
        <v>0</v>
      </c>
      <c r="C62" s="103"/>
      <c r="D62" s="21" t="s">
        <v>88</v>
      </c>
      <c r="E62" s="21" t="s">
        <v>89</v>
      </c>
      <c r="F62" s="33" t="s">
        <v>90</v>
      </c>
      <c r="G62" s="57"/>
      <c r="H62" s="54"/>
      <c r="I62" s="68"/>
      <c r="J62" s="57">
        <f t="shared" si="2"/>
        <v>0</v>
      </c>
      <c r="K62" s="57"/>
    </row>
    <row r="63" spans="1:13">
      <c r="A63" s="64">
        <v>43556</v>
      </c>
      <c r="B63" s="21" t="s">
        <v>0</v>
      </c>
      <c r="C63" s="103"/>
      <c r="D63" s="21" t="s">
        <v>88</v>
      </c>
      <c r="E63" s="21" t="s">
        <v>89</v>
      </c>
      <c r="F63" s="33" t="s">
        <v>91</v>
      </c>
      <c r="G63" s="57"/>
      <c r="H63" s="54"/>
      <c r="I63" s="68"/>
      <c r="J63" s="57">
        <f t="shared" si="2"/>
        <v>0</v>
      </c>
      <c r="K63" s="57"/>
    </row>
    <row r="64" spans="1:13">
      <c r="A64" s="64">
        <v>43556</v>
      </c>
      <c r="B64" s="21" t="s">
        <v>0</v>
      </c>
      <c r="C64" s="103"/>
      <c r="D64" s="21" t="s">
        <v>92</v>
      </c>
      <c r="E64" s="21" t="s">
        <v>93</v>
      </c>
      <c r="F64" s="33" t="s">
        <v>94</v>
      </c>
      <c r="G64" s="57"/>
      <c r="H64" s="54"/>
      <c r="I64" s="68"/>
      <c r="J64" s="57">
        <f t="shared" si="2"/>
        <v>0</v>
      </c>
      <c r="K64" s="57">
        <f>(J64+J67+J68+J69+J72+J73+J74+J75)*0.2*N2-3993</f>
        <v>-3993</v>
      </c>
    </row>
    <row r="65" spans="1:17">
      <c r="A65" s="64">
        <v>43556</v>
      </c>
      <c r="B65" s="21" t="s">
        <v>0</v>
      </c>
      <c r="C65" s="103"/>
      <c r="D65" s="21" t="s">
        <v>95</v>
      </c>
      <c r="E65" s="21" t="s">
        <v>85</v>
      </c>
      <c r="F65" s="33" t="s">
        <v>86</v>
      </c>
      <c r="G65" s="57"/>
      <c r="H65" s="54"/>
      <c r="I65" s="68"/>
      <c r="J65" s="57">
        <f t="shared" si="2"/>
        <v>0</v>
      </c>
      <c r="K65" s="57">
        <f>(J65+J66+J60+J61+J76+J77)*0.03*N2</f>
        <v>0</v>
      </c>
      <c r="L65" s="97">
        <f>K65/0.03*0.25</f>
        <v>0</v>
      </c>
      <c r="M65" s="97">
        <f>L65-K65-3000</f>
        <v>-3000</v>
      </c>
      <c r="N65" s="97"/>
      <c r="O65" s="98"/>
      <c r="P65" s="98"/>
      <c r="Q65" s="98"/>
    </row>
    <row r="66" spans="1:17">
      <c r="A66" s="64">
        <v>43556</v>
      </c>
      <c r="B66" s="21" t="s">
        <v>0</v>
      </c>
      <c r="C66" s="103"/>
      <c r="D66" s="21" t="s">
        <v>95</v>
      </c>
      <c r="E66" s="21" t="s">
        <v>85</v>
      </c>
      <c r="F66" s="33" t="s">
        <v>87</v>
      </c>
      <c r="G66" s="57"/>
      <c r="H66" s="54"/>
      <c r="I66" s="68"/>
      <c r="J66" s="57">
        <f t="shared" si="2"/>
        <v>0</v>
      </c>
      <c r="K66" s="57"/>
      <c r="L66" s="97"/>
      <c r="M66" s="97"/>
      <c r="N66" s="97"/>
      <c r="O66" s="98"/>
      <c r="P66" s="98"/>
      <c r="Q66" s="98"/>
    </row>
    <row r="67" spans="1:17">
      <c r="A67" s="64">
        <v>43556</v>
      </c>
      <c r="B67" s="21" t="s">
        <v>0</v>
      </c>
      <c r="C67" s="103"/>
      <c r="D67" s="21" t="s">
        <v>19</v>
      </c>
      <c r="E67" s="21" t="s">
        <v>93</v>
      </c>
      <c r="F67" s="33" t="s">
        <v>94</v>
      </c>
      <c r="G67" s="57"/>
      <c r="H67" s="54"/>
      <c r="I67" s="68"/>
      <c r="J67" s="57">
        <f t="shared" si="2"/>
        <v>0</v>
      </c>
      <c r="K67" s="57"/>
      <c r="L67" s="97"/>
      <c r="M67" s="97"/>
      <c r="N67" s="97"/>
      <c r="O67" s="98"/>
      <c r="P67" s="98"/>
      <c r="Q67" s="98"/>
    </row>
    <row r="68" spans="1:17">
      <c r="A68" s="64">
        <v>43556</v>
      </c>
      <c r="B68" s="21" t="s">
        <v>0</v>
      </c>
      <c r="C68" s="103"/>
      <c r="D68" s="21" t="s">
        <v>96</v>
      </c>
      <c r="E68" s="21" t="s">
        <v>93</v>
      </c>
      <c r="F68" s="33" t="s">
        <v>94</v>
      </c>
      <c r="G68" s="57"/>
      <c r="H68" s="54"/>
      <c r="I68" s="68"/>
      <c r="J68" s="57">
        <f t="shared" si="2"/>
        <v>0</v>
      </c>
      <c r="K68" s="57"/>
      <c r="L68" s="97"/>
      <c r="M68" s="97"/>
      <c r="N68" s="97"/>
      <c r="O68" s="98"/>
      <c r="P68" s="98"/>
      <c r="Q68" s="98"/>
    </row>
    <row r="69" spans="1:17">
      <c r="A69" s="64">
        <v>43556</v>
      </c>
      <c r="B69" s="21" t="s">
        <v>0</v>
      </c>
      <c r="C69" s="103"/>
      <c r="D69" s="21" t="s">
        <v>96</v>
      </c>
      <c r="E69" s="21" t="s">
        <v>93</v>
      </c>
      <c r="F69" s="33" t="s">
        <v>97</v>
      </c>
      <c r="G69" s="57"/>
      <c r="H69" s="54"/>
      <c r="I69" s="68"/>
      <c r="J69" s="57">
        <f t="shared" si="2"/>
        <v>0</v>
      </c>
      <c r="K69" s="57"/>
      <c r="L69" s="97"/>
      <c r="M69" s="97"/>
      <c r="N69" s="97"/>
      <c r="O69" s="98"/>
      <c r="P69" s="98"/>
      <c r="Q69" s="98"/>
    </row>
    <row r="70" spans="1:17">
      <c r="A70" s="64">
        <v>43556</v>
      </c>
      <c r="B70" s="21" t="s">
        <v>0</v>
      </c>
      <c r="C70" s="103"/>
      <c r="D70" s="21" t="s">
        <v>98</v>
      </c>
      <c r="E70" s="21" t="s">
        <v>99</v>
      </c>
      <c r="F70" s="33" t="s">
        <v>100</v>
      </c>
      <c r="G70" s="57"/>
      <c r="H70" s="54"/>
      <c r="I70" s="68"/>
      <c r="J70" s="57">
        <f t="shared" si="2"/>
        <v>0</v>
      </c>
      <c r="K70" s="57"/>
      <c r="L70" s="97"/>
      <c r="M70" s="97"/>
      <c r="N70" s="97"/>
      <c r="O70" s="98"/>
      <c r="P70" s="98"/>
      <c r="Q70" s="98"/>
    </row>
    <row r="71" spans="1:17">
      <c r="A71" s="64">
        <v>43556</v>
      </c>
      <c r="B71" s="21" t="s">
        <v>0</v>
      </c>
      <c r="C71" s="103"/>
      <c r="D71" s="21" t="s">
        <v>98</v>
      </c>
      <c r="E71" s="21" t="s">
        <v>99</v>
      </c>
      <c r="F71" s="33" t="s">
        <v>101</v>
      </c>
      <c r="G71" s="57"/>
      <c r="H71" s="54"/>
      <c r="I71" s="68"/>
      <c r="J71" s="57">
        <f t="shared" si="2"/>
        <v>0</v>
      </c>
      <c r="K71" s="57"/>
      <c r="L71" s="97"/>
      <c r="M71" s="97"/>
      <c r="N71" s="97"/>
      <c r="O71" s="98"/>
      <c r="P71" s="98"/>
      <c r="Q71" s="98"/>
    </row>
    <row r="72" spans="1:17">
      <c r="A72" s="64">
        <v>43556</v>
      </c>
      <c r="B72" s="21" t="s">
        <v>0</v>
      </c>
      <c r="C72" s="103"/>
      <c r="D72" s="21" t="s">
        <v>102</v>
      </c>
      <c r="E72" s="21" t="s">
        <v>93</v>
      </c>
      <c r="F72" s="33" t="s">
        <v>94</v>
      </c>
      <c r="G72" s="57"/>
      <c r="H72" s="54"/>
      <c r="I72" s="68"/>
      <c r="J72" s="57">
        <f t="shared" si="2"/>
        <v>0</v>
      </c>
      <c r="K72" s="57"/>
      <c r="L72" s="97"/>
      <c r="M72" s="97"/>
      <c r="N72" s="97"/>
      <c r="O72" s="98"/>
      <c r="P72" s="98"/>
      <c r="Q72" s="98"/>
    </row>
    <row r="73" spans="1:17">
      <c r="A73" s="64">
        <v>43556</v>
      </c>
      <c r="B73" s="21" t="s">
        <v>0</v>
      </c>
      <c r="C73" s="103"/>
      <c r="D73" s="21" t="s">
        <v>102</v>
      </c>
      <c r="E73" s="21" t="s">
        <v>93</v>
      </c>
      <c r="F73" s="33" t="s">
        <v>97</v>
      </c>
      <c r="G73" s="57"/>
      <c r="H73" s="54"/>
      <c r="I73" s="68"/>
      <c r="J73" s="57">
        <f t="shared" si="2"/>
        <v>0</v>
      </c>
      <c r="K73" s="57"/>
      <c r="L73" s="97"/>
      <c r="M73" s="97"/>
      <c r="N73" s="97"/>
      <c r="O73" s="98"/>
      <c r="P73" s="98"/>
      <c r="Q73" s="98"/>
    </row>
    <row r="74" spans="1:17">
      <c r="A74" s="64">
        <v>43556</v>
      </c>
      <c r="B74" s="21" t="s">
        <v>0</v>
      </c>
      <c r="C74" s="103"/>
      <c r="D74" s="21" t="s">
        <v>103</v>
      </c>
      <c r="E74" s="21" t="s">
        <v>93</v>
      </c>
      <c r="F74" s="33" t="s">
        <v>94</v>
      </c>
      <c r="G74" s="57"/>
      <c r="H74" s="54"/>
      <c r="I74" s="68"/>
      <c r="J74" s="57">
        <f t="shared" si="2"/>
        <v>0</v>
      </c>
      <c r="K74" s="57"/>
    </row>
    <row r="75" spans="1:17">
      <c r="A75" s="64">
        <v>43556</v>
      </c>
      <c r="B75" s="21" t="s">
        <v>0</v>
      </c>
      <c r="C75" s="103"/>
      <c r="D75" s="21" t="s">
        <v>103</v>
      </c>
      <c r="E75" s="21" t="s">
        <v>93</v>
      </c>
      <c r="F75" s="33" t="s">
        <v>97</v>
      </c>
      <c r="G75" s="57"/>
      <c r="H75" s="54"/>
      <c r="I75" s="68"/>
      <c r="J75" s="57">
        <f t="shared" si="2"/>
        <v>0</v>
      </c>
      <c r="K75" s="57"/>
    </row>
    <row r="76" spans="1:17">
      <c r="A76" s="64">
        <v>43556</v>
      </c>
      <c r="B76" s="21" t="s">
        <v>0</v>
      </c>
      <c r="C76" s="103"/>
      <c r="D76" s="21" t="s">
        <v>104</v>
      </c>
      <c r="E76" s="21" t="s">
        <v>85</v>
      </c>
      <c r="F76" s="33" t="s">
        <v>86</v>
      </c>
      <c r="G76" s="57"/>
      <c r="H76" s="54"/>
      <c r="I76" s="68"/>
      <c r="J76" s="57">
        <f t="shared" si="2"/>
        <v>0</v>
      </c>
      <c r="K76" s="57"/>
    </row>
    <row r="77" spans="1:17">
      <c r="A77" s="64">
        <v>43556</v>
      </c>
      <c r="B77" s="21" t="s">
        <v>0</v>
      </c>
      <c r="C77" s="103"/>
      <c r="D77" s="21" t="s">
        <v>104</v>
      </c>
      <c r="E77" s="21" t="s">
        <v>85</v>
      </c>
      <c r="F77" s="33" t="s">
        <v>87</v>
      </c>
      <c r="G77" s="57"/>
      <c r="H77" s="54"/>
      <c r="I77" s="68"/>
      <c r="J77" s="57">
        <f t="shared" si="2"/>
        <v>0</v>
      </c>
      <c r="K77" s="57"/>
    </row>
    <row r="78" spans="1:17">
      <c r="A78" s="64">
        <v>43556</v>
      </c>
      <c r="B78" s="21" t="s">
        <v>0</v>
      </c>
      <c r="C78" s="103"/>
      <c r="D78" s="21" t="s">
        <v>105</v>
      </c>
      <c r="E78" s="21" t="s">
        <v>99</v>
      </c>
      <c r="F78" s="33" t="s">
        <v>100</v>
      </c>
      <c r="G78" s="57"/>
      <c r="H78" s="54"/>
      <c r="I78" s="68"/>
      <c r="J78" s="57">
        <f t="shared" si="2"/>
        <v>0</v>
      </c>
      <c r="K78" s="57">
        <f>(J78+J79+J70+J71)*0.03*N2</f>
        <v>0</v>
      </c>
      <c r="L78" s="97">
        <f>K78/0.03*0.25</f>
        <v>0</v>
      </c>
      <c r="M78" s="97">
        <f>L78-K78-3000</f>
        <v>-3000</v>
      </c>
      <c r="N78" s="97"/>
      <c r="O78" s="98"/>
      <c r="P78" s="98"/>
      <c r="Q78" s="98"/>
    </row>
    <row r="79" spans="1:17">
      <c r="A79" s="64">
        <v>43556</v>
      </c>
      <c r="B79" s="21" t="s">
        <v>0</v>
      </c>
      <c r="C79" s="103"/>
      <c r="D79" s="21" t="s">
        <v>105</v>
      </c>
      <c r="E79" s="21" t="s">
        <v>99</v>
      </c>
      <c r="F79" s="33" t="s">
        <v>101</v>
      </c>
      <c r="G79" s="57"/>
      <c r="H79" s="54"/>
      <c r="I79" s="68"/>
      <c r="J79" s="57">
        <f t="shared" si="2"/>
        <v>0</v>
      </c>
      <c r="K79" s="57"/>
      <c r="L79" s="97"/>
      <c r="M79" s="97"/>
      <c r="N79" s="97"/>
      <c r="O79" s="98"/>
      <c r="P79" s="98"/>
      <c r="Q79" s="98"/>
    </row>
    <row r="80" spans="1:17">
      <c r="A80" s="64">
        <v>43556</v>
      </c>
      <c r="B80" s="21" t="s">
        <v>0</v>
      </c>
      <c r="C80" s="102" t="s">
        <v>106</v>
      </c>
      <c r="D80" s="21" t="s">
        <v>107</v>
      </c>
      <c r="E80" s="21" t="s">
        <v>108</v>
      </c>
      <c r="F80" s="33" t="s">
        <v>109</v>
      </c>
      <c r="G80" s="57"/>
      <c r="H80" s="54"/>
      <c r="I80" s="68"/>
      <c r="J80" s="57">
        <f t="shared" ref="J80:J96" si="3">G80*H80*0.98-I80</f>
        <v>0</v>
      </c>
      <c r="K80" s="57"/>
      <c r="L80" s="83">
        <f>K80/0.04*0.25</f>
        <v>0</v>
      </c>
    </row>
    <row r="81" spans="1:13">
      <c r="A81" s="64">
        <v>43556</v>
      </c>
      <c r="B81" s="21" t="s">
        <v>0</v>
      </c>
      <c r="C81" s="103"/>
      <c r="D81" s="21" t="s">
        <v>107</v>
      </c>
      <c r="E81" s="21" t="s">
        <v>108</v>
      </c>
      <c r="F81" s="33" t="s">
        <v>110</v>
      </c>
      <c r="G81" s="57"/>
      <c r="H81" s="54"/>
      <c r="I81" s="68"/>
      <c r="J81" s="57">
        <f t="shared" si="3"/>
        <v>0</v>
      </c>
      <c r="K81" s="57"/>
    </row>
    <row r="82" spans="1:13">
      <c r="A82" s="64">
        <v>43556</v>
      </c>
      <c r="B82" s="21" t="s">
        <v>0</v>
      </c>
      <c r="C82" s="103"/>
      <c r="D82" s="21" t="s">
        <v>111</v>
      </c>
      <c r="E82" s="21" t="s">
        <v>108</v>
      </c>
      <c r="F82" s="33" t="s">
        <v>109</v>
      </c>
      <c r="G82" s="57"/>
      <c r="H82" s="54"/>
      <c r="I82" s="68"/>
      <c r="J82" s="57">
        <f t="shared" si="3"/>
        <v>0</v>
      </c>
      <c r="K82" s="57">
        <f>(J82+J83+J109+J110+J80+J81)*0.03*N2</f>
        <v>0</v>
      </c>
      <c r="L82" s="83">
        <f>K82/0.03*0.25</f>
        <v>0</v>
      </c>
      <c r="M82" s="83">
        <f>L82-K82-3000</f>
        <v>-3000</v>
      </c>
    </row>
    <row r="83" spans="1:13">
      <c r="A83" s="64">
        <v>43556</v>
      </c>
      <c r="B83" s="21" t="s">
        <v>0</v>
      </c>
      <c r="C83" s="103"/>
      <c r="D83" s="21" t="s">
        <v>111</v>
      </c>
      <c r="E83" s="21" t="s">
        <v>108</v>
      </c>
      <c r="F83" s="33" t="s">
        <v>110</v>
      </c>
      <c r="G83" s="57"/>
      <c r="H83" s="54"/>
      <c r="I83" s="68"/>
      <c r="J83" s="57">
        <f t="shared" si="3"/>
        <v>0</v>
      </c>
      <c r="K83" s="57"/>
    </row>
    <row r="84" spans="1:13">
      <c r="A84" s="64">
        <v>43556</v>
      </c>
      <c r="B84" s="21" t="s">
        <v>0</v>
      </c>
      <c r="C84" s="103"/>
      <c r="D84" s="21" t="s">
        <v>112</v>
      </c>
      <c r="E84" s="21" t="s">
        <v>113</v>
      </c>
      <c r="F84" s="33" t="s">
        <v>114</v>
      </c>
      <c r="G84" s="57"/>
      <c r="H84" s="54"/>
      <c r="I84" s="68"/>
      <c r="J84" s="57">
        <f t="shared" si="3"/>
        <v>0</v>
      </c>
      <c r="K84" s="57"/>
    </row>
    <row r="85" spans="1:13">
      <c r="A85" s="64">
        <v>43556</v>
      </c>
      <c r="B85" s="21" t="s">
        <v>0</v>
      </c>
      <c r="C85" s="103"/>
      <c r="D85" s="21" t="s">
        <v>112</v>
      </c>
      <c r="E85" s="21" t="s">
        <v>113</v>
      </c>
      <c r="F85" s="33" t="s">
        <v>115</v>
      </c>
      <c r="G85" s="57"/>
      <c r="H85" s="54"/>
      <c r="I85" s="68"/>
      <c r="J85" s="57">
        <f t="shared" si="3"/>
        <v>0</v>
      </c>
      <c r="K85" s="57"/>
    </row>
    <row r="86" spans="1:13">
      <c r="A86" s="64">
        <v>43556</v>
      </c>
      <c r="B86" s="21" t="s">
        <v>0</v>
      </c>
      <c r="C86" s="103"/>
      <c r="D86" s="21" t="s">
        <v>116</v>
      </c>
      <c r="E86" s="21" t="s">
        <v>117</v>
      </c>
      <c r="F86" s="33" t="s">
        <v>118</v>
      </c>
      <c r="G86" s="57"/>
      <c r="H86" s="54"/>
      <c r="I86" s="68"/>
      <c r="J86" s="57">
        <f t="shared" si="3"/>
        <v>0</v>
      </c>
      <c r="K86" s="57">
        <f>(J86+J87+J96+J97+J101+J102)*0.15*N2</f>
        <v>0</v>
      </c>
    </row>
    <row r="87" spans="1:13">
      <c r="A87" s="64">
        <v>43556</v>
      </c>
      <c r="B87" s="21" t="s">
        <v>0</v>
      </c>
      <c r="C87" s="103"/>
      <c r="D87" s="21" t="s">
        <v>116</v>
      </c>
      <c r="E87" s="21" t="s">
        <v>117</v>
      </c>
      <c r="F87" s="33" t="s">
        <v>119</v>
      </c>
      <c r="G87" s="57"/>
      <c r="H87" s="54"/>
      <c r="I87" s="68"/>
      <c r="J87" s="57">
        <f t="shared" si="3"/>
        <v>0</v>
      </c>
      <c r="K87" s="57"/>
    </row>
    <row r="88" spans="1:13">
      <c r="A88" s="64">
        <v>43556</v>
      </c>
      <c r="B88" s="21" t="s">
        <v>0</v>
      </c>
      <c r="C88" s="103"/>
      <c r="D88" s="21" t="s">
        <v>120</v>
      </c>
      <c r="E88" s="21" t="s">
        <v>121</v>
      </c>
      <c r="F88" s="33" t="s">
        <v>122</v>
      </c>
      <c r="G88" s="57"/>
      <c r="H88" s="54"/>
      <c r="I88" s="68"/>
      <c r="J88" s="57">
        <f t="shared" si="3"/>
        <v>0</v>
      </c>
      <c r="K88" s="57">
        <f>(J88+J90+J91+J92+J89+J93)*0.05*N2</f>
        <v>0</v>
      </c>
      <c r="L88" s="83">
        <f>K88/0.05*0.25</f>
        <v>0</v>
      </c>
      <c r="M88" s="83">
        <f>L88-K88</f>
        <v>0</v>
      </c>
    </row>
    <row r="89" spans="1:13">
      <c r="A89" s="64">
        <v>43556</v>
      </c>
      <c r="B89" s="21" t="s">
        <v>0</v>
      </c>
      <c r="C89" s="103"/>
      <c r="D89" s="21" t="s">
        <v>120</v>
      </c>
      <c r="E89" s="21" t="s">
        <v>121</v>
      </c>
      <c r="F89" s="33" t="s">
        <v>122</v>
      </c>
      <c r="G89" s="57"/>
      <c r="H89" s="54"/>
      <c r="I89" s="68"/>
      <c r="J89" s="57">
        <f t="shared" si="3"/>
        <v>0</v>
      </c>
      <c r="K89" s="57"/>
    </row>
    <row r="90" spans="1:13">
      <c r="A90" s="64">
        <v>43556</v>
      </c>
      <c r="B90" s="21" t="s">
        <v>0</v>
      </c>
      <c r="C90" s="103"/>
      <c r="D90" s="21" t="s">
        <v>123</v>
      </c>
      <c r="E90" s="21" t="s">
        <v>121</v>
      </c>
      <c r="F90" s="33" t="s">
        <v>122</v>
      </c>
      <c r="G90" s="57"/>
      <c r="H90" s="54"/>
      <c r="I90" s="68"/>
      <c r="J90" s="57">
        <f t="shared" si="3"/>
        <v>0</v>
      </c>
      <c r="K90" s="57"/>
    </row>
    <row r="91" spans="1:13">
      <c r="A91" s="64">
        <v>43556</v>
      </c>
      <c r="B91" s="21" t="s">
        <v>0</v>
      </c>
      <c r="C91" s="103"/>
      <c r="D91" s="21" t="s">
        <v>123</v>
      </c>
      <c r="E91" s="21" t="s">
        <v>121</v>
      </c>
      <c r="F91" s="33" t="s">
        <v>124</v>
      </c>
      <c r="G91" s="57"/>
      <c r="H91" s="54"/>
      <c r="I91" s="68"/>
      <c r="J91" s="57">
        <f t="shared" si="3"/>
        <v>0</v>
      </c>
      <c r="K91" s="57"/>
    </row>
    <row r="92" spans="1:13">
      <c r="A92" s="64">
        <v>43556</v>
      </c>
      <c r="B92" s="21" t="s">
        <v>0</v>
      </c>
      <c r="C92" s="103"/>
      <c r="D92" s="21" t="s">
        <v>125</v>
      </c>
      <c r="E92" s="21" t="s">
        <v>121</v>
      </c>
      <c r="F92" s="33" t="s">
        <v>122</v>
      </c>
      <c r="G92" s="57"/>
      <c r="H92" s="54"/>
      <c r="I92" s="68"/>
      <c r="J92" s="57">
        <f t="shared" si="3"/>
        <v>0</v>
      </c>
      <c r="K92" s="57"/>
    </row>
    <row r="93" spans="1:13">
      <c r="A93" s="64">
        <v>43556</v>
      </c>
      <c r="B93" s="21" t="s">
        <v>0</v>
      </c>
      <c r="C93" s="103"/>
      <c r="D93" s="21" t="s">
        <v>125</v>
      </c>
      <c r="E93" s="21" t="s">
        <v>121</v>
      </c>
      <c r="F93" s="33" t="s">
        <v>124</v>
      </c>
      <c r="G93" s="57"/>
      <c r="H93" s="54"/>
      <c r="I93" s="68"/>
      <c r="J93" s="57">
        <f t="shared" si="3"/>
        <v>0</v>
      </c>
      <c r="K93" s="57"/>
    </row>
    <row r="94" spans="1:13">
      <c r="A94" s="64">
        <v>43556</v>
      </c>
      <c r="B94" s="21" t="s">
        <v>0</v>
      </c>
      <c r="C94" s="103"/>
      <c r="D94" s="21" t="s">
        <v>126</v>
      </c>
      <c r="E94" s="21" t="s">
        <v>113</v>
      </c>
      <c r="F94" s="33" t="s">
        <v>114</v>
      </c>
      <c r="G94" s="57"/>
      <c r="H94" s="54"/>
      <c r="I94" s="68"/>
      <c r="J94" s="57">
        <f t="shared" si="3"/>
        <v>0</v>
      </c>
      <c r="K94" s="57"/>
    </row>
    <row r="95" spans="1:13">
      <c r="A95" s="64">
        <v>43556</v>
      </c>
      <c r="B95" s="21" t="s">
        <v>0</v>
      </c>
      <c r="C95" s="103"/>
      <c r="D95" s="21" t="s">
        <v>126</v>
      </c>
      <c r="E95" s="21" t="s">
        <v>113</v>
      </c>
      <c r="F95" s="33" t="s">
        <v>115</v>
      </c>
      <c r="G95" s="57"/>
      <c r="H95" s="54"/>
      <c r="I95" s="68"/>
      <c r="J95" s="57">
        <f t="shared" si="3"/>
        <v>0</v>
      </c>
      <c r="K95" s="57"/>
    </row>
    <row r="96" spans="1:13">
      <c r="A96" s="64">
        <v>43556</v>
      </c>
      <c r="B96" s="21" t="s">
        <v>0</v>
      </c>
      <c r="C96" s="103"/>
      <c r="D96" s="21" t="s">
        <v>127</v>
      </c>
      <c r="E96" s="21" t="s">
        <v>117</v>
      </c>
      <c r="F96" s="33" t="s">
        <v>118</v>
      </c>
      <c r="G96" s="57"/>
      <c r="H96" s="54"/>
      <c r="I96" s="68"/>
      <c r="J96" s="57">
        <f t="shared" si="3"/>
        <v>0</v>
      </c>
      <c r="K96" s="57"/>
    </row>
    <row r="97" spans="1:13">
      <c r="A97" s="64">
        <v>43556</v>
      </c>
      <c r="B97" s="21" t="s">
        <v>0</v>
      </c>
      <c r="C97" s="103"/>
      <c r="D97" s="21" t="s">
        <v>127</v>
      </c>
      <c r="E97" s="21" t="s">
        <v>117</v>
      </c>
      <c r="F97" s="33" t="s">
        <v>119</v>
      </c>
      <c r="G97" s="57"/>
      <c r="H97" s="54"/>
      <c r="I97" s="68"/>
      <c r="J97" s="57">
        <f t="shared" ref="J97:J121" si="4">G97*H97*0.98-I97</f>
        <v>0</v>
      </c>
      <c r="K97" s="57"/>
    </row>
    <row r="98" spans="1:13">
      <c r="A98" s="64">
        <v>43556</v>
      </c>
      <c r="B98" s="21" t="s">
        <v>0</v>
      </c>
      <c r="C98" s="103"/>
      <c r="D98" s="21" t="s">
        <v>128</v>
      </c>
      <c r="E98" s="21" t="s">
        <v>129</v>
      </c>
      <c r="F98" s="33" t="s">
        <v>130</v>
      </c>
      <c r="G98" s="57"/>
      <c r="H98" s="54"/>
      <c r="I98" s="68"/>
      <c r="J98" s="57">
        <f t="shared" si="4"/>
        <v>0</v>
      </c>
      <c r="K98" s="57"/>
    </row>
    <row r="99" spans="1:13">
      <c r="A99" s="64">
        <v>43556</v>
      </c>
      <c r="B99" s="21" t="s">
        <v>0</v>
      </c>
      <c r="C99" s="103"/>
      <c r="D99" s="21" t="s">
        <v>128</v>
      </c>
      <c r="E99" s="21" t="s">
        <v>129</v>
      </c>
      <c r="F99" s="33" t="s">
        <v>131</v>
      </c>
      <c r="G99" s="57"/>
      <c r="H99" s="54"/>
      <c r="I99" s="68"/>
      <c r="J99" s="57">
        <f t="shared" si="4"/>
        <v>0</v>
      </c>
      <c r="K99" s="57"/>
    </row>
    <row r="100" spans="1:13">
      <c r="A100" s="64">
        <v>43556</v>
      </c>
      <c r="B100" s="21" t="s">
        <v>0</v>
      </c>
      <c r="C100" s="103"/>
      <c r="D100" s="21" t="s">
        <v>128</v>
      </c>
      <c r="E100" s="21" t="s">
        <v>129</v>
      </c>
      <c r="F100" s="33" t="s">
        <v>132</v>
      </c>
      <c r="G100" s="57"/>
      <c r="H100" s="54"/>
      <c r="I100" s="68"/>
      <c r="J100" s="57">
        <f t="shared" si="4"/>
        <v>0</v>
      </c>
      <c r="K100" s="57"/>
    </row>
    <row r="101" spans="1:13">
      <c r="A101" s="64">
        <v>43556</v>
      </c>
      <c r="B101" s="21" t="s">
        <v>0</v>
      </c>
      <c r="C101" s="103"/>
      <c r="D101" s="21" t="s">
        <v>19</v>
      </c>
      <c r="E101" s="21" t="s">
        <v>117</v>
      </c>
      <c r="F101" s="33" t="s">
        <v>118</v>
      </c>
      <c r="G101" s="57"/>
      <c r="H101" s="54"/>
      <c r="I101" s="68"/>
      <c r="J101" s="57">
        <f t="shared" si="4"/>
        <v>0</v>
      </c>
      <c r="K101" s="57"/>
    </row>
    <row r="102" spans="1:13">
      <c r="A102" s="64">
        <v>43556</v>
      </c>
      <c r="B102" s="21" t="s">
        <v>0</v>
      </c>
      <c r="C102" s="103"/>
      <c r="D102" s="21" t="s">
        <v>19</v>
      </c>
      <c r="E102" s="21" t="s">
        <v>117</v>
      </c>
      <c r="F102" s="33" t="s">
        <v>119</v>
      </c>
      <c r="G102" s="57"/>
      <c r="H102" s="54"/>
      <c r="I102" s="68"/>
      <c r="J102" s="57">
        <f t="shared" si="4"/>
        <v>0</v>
      </c>
      <c r="K102" s="57"/>
    </row>
    <row r="103" spans="1:13">
      <c r="A103" s="64">
        <v>43556</v>
      </c>
      <c r="B103" s="21" t="s">
        <v>0</v>
      </c>
      <c r="C103" s="103"/>
      <c r="D103" s="21" t="s">
        <v>133</v>
      </c>
      <c r="E103" s="21" t="s">
        <v>129</v>
      </c>
      <c r="F103" s="33" t="s">
        <v>130</v>
      </c>
      <c r="G103" s="57"/>
      <c r="H103" s="54"/>
      <c r="I103" s="68"/>
      <c r="J103" s="57">
        <f t="shared" si="4"/>
        <v>0</v>
      </c>
      <c r="K103" s="57">
        <f>(J103+J104+J98+J99+J100)*0.05*N2</f>
        <v>0</v>
      </c>
      <c r="L103" s="83">
        <f>K103/0.05*0.25</f>
        <v>0</v>
      </c>
      <c r="M103" s="83">
        <f>L103-K103-4000</f>
        <v>-4000</v>
      </c>
    </row>
    <row r="104" spans="1:13">
      <c r="A104" s="64">
        <v>43556</v>
      </c>
      <c r="B104" s="21" t="s">
        <v>0</v>
      </c>
      <c r="C104" s="103"/>
      <c r="D104" s="21" t="s">
        <v>133</v>
      </c>
      <c r="E104" s="21" t="s">
        <v>129</v>
      </c>
      <c r="F104" s="33" t="s">
        <v>131</v>
      </c>
      <c r="G104" s="57"/>
      <c r="H104" s="54"/>
      <c r="I104" s="68"/>
      <c r="J104" s="57">
        <f t="shared" si="4"/>
        <v>0</v>
      </c>
      <c r="K104" s="57"/>
    </row>
    <row r="105" spans="1:13">
      <c r="A105" s="64">
        <v>43556</v>
      </c>
      <c r="B105" s="21" t="s">
        <v>0</v>
      </c>
      <c r="C105" s="103"/>
      <c r="D105" s="21" t="s">
        <v>134</v>
      </c>
      <c r="E105" s="21" t="s">
        <v>113</v>
      </c>
      <c r="F105" s="33" t="s">
        <v>135</v>
      </c>
      <c r="G105" s="57"/>
      <c r="H105" s="54"/>
      <c r="I105" s="68"/>
      <c r="J105" s="57">
        <f t="shared" si="4"/>
        <v>0</v>
      </c>
      <c r="K105" s="57"/>
    </row>
    <row r="106" spans="1:13">
      <c r="A106" s="64">
        <v>43556</v>
      </c>
      <c r="B106" s="21" t="s">
        <v>0</v>
      </c>
      <c r="C106" s="103"/>
      <c r="D106" s="21" t="s">
        <v>134</v>
      </c>
      <c r="E106" s="21" t="s">
        <v>113</v>
      </c>
      <c r="F106" s="33" t="s">
        <v>136</v>
      </c>
      <c r="G106" s="57"/>
      <c r="H106" s="54"/>
      <c r="I106" s="68"/>
      <c r="J106" s="57">
        <f t="shared" si="4"/>
        <v>0</v>
      </c>
      <c r="K106" s="57"/>
    </row>
    <row r="107" spans="1:13">
      <c r="A107" s="64">
        <v>43556</v>
      </c>
      <c r="B107" s="21" t="s">
        <v>0</v>
      </c>
      <c r="C107" s="103"/>
      <c r="D107" s="21" t="s">
        <v>137</v>
      </c>
      <c r="E107" s="21" t="s">
        <v>113</v>
      </c>
      <c r="F107" s="33" t="s">
        <v>114</v>
      </c>
      <c r="G107" s="57"/>
      <c r="H107" s="54"/>
      <c r="I107" s="68"/>
      <c r="J107" s="57">
        <f t="shared" si="4"/>
        <v>0</v>
      </c>
      <c r="K107" s="57"/>
    </row>
    <row r="108" spans="1:13">
      <c r="A108" s="64">
        <v>43556</v>
      </c>
      <c r="B108" s="21" t="s">
        <v>0</v>
      </c>
      <c r="C108" s="103"/>
      <c r="D108" s="21" t="s">
        <v>137</v>
      </c>
      <c r="E108" s="21" t="s">
        <v>113</v>
      </c>
      <c r="F108" s="33" t="s">
        <v>115</v>
      </c>
      <c r="G108" s="57"/>
      <c r="H108" s="54"/>
      <c r="I108" s="68"/>
      <c r="J108" s="57">
        <f t="shared" si="4"/>
        <v>0</v>
      </c>
      <c r="K108" s="57"/>
    </row>
    <row r="109" spans="1:13">
      <c r="A109" s="64">
        <v>43556</v>
      </c>
      <c r="B109" s="21" t="s">
        <v>0</v>
      </c>
      <c r="C109" s="103"/>
      <c r="D109" s="21" t="s">
        <v>138</v>
      </c>
      <c r="E109" s="21" t="s">
        <v>108</v>
      </c>
      <c r="F109" s="33" t="s">
        <v>109</v>
      </c>
      <c r="G109" s="57"/>
      <c r="H109" s="54"/>
      <c r="I109" s="68"/>
      <c r="J109" s="57">
        <f t="shared" si="4"/>
        <v>0</v>
      </c>
      <c r="K109" s="57"/>
    </row>
    <row r="110" spans="1:13">
      <c r="A110" s="64">
        <v>43556</v>
      </c>
      <c r="B110" s="21" t="s">
        <v>0</v>
      </c>
      <c r="C110" s="103"/>
      <c r="D110" s="21" t="s">
        <v>138</v>
      </c>
      <c r="E110" s="21" t="s">
        <v>108</v>
      </c>
      <c r="F110" s="33" t="s">
        <v>110</v>
      </c>
      <c r="G110" s="57"/>
      <c r="H110" s="54"/>
      <c r="I110" s="68"/>
      <c r="J110" s="57">
        <f t="shared" si="4"/>
        <v>0</v>
      </c>
      <c r="K110" s="57"/>
    </row>
    <row r="111" spans="1:13">
      <c r="A111" s="64">
        <v>43556</v>
      </c>
      <c r="B111" s="21" t="s">
        <v>0</v>
      </c>
      <c r="C111" s="105" t="s">
        <v>139</v>
      </c>
      <c r="D111" s="21" t="s">
        <v>140</v>
      </c>
      <c r="E111" s="21" t="s">
        <v>141</v>
      </c>
      <c r="F111" s="33" t="s">
        <v>142</v>
      </c>
      <c r="G111" s="57"/>
      <c r="H111" s="54"/>
      <c r="I111" s="68"/>
      <c r="J111" s="57">
        <f t="shared" si="4"/>
        <v>0</v>
      </c>
      <c r="K111" s="57">
        <f>(J111+J112+J118+J119+J120)*0.03*N2</f>
        <v>0</v>
      </c>
      <c r="L111" s="83">
        <f>K111/0.03*0.25</f>
        <v>0</v>
      </c>
      <c r="M111" s="83">
        <f>L111-K111-3000</f>
        <v>-3000</v>
      </c>
    </row>
    <row r="112" spans="1:13">
      <c r="A112" s="64">
        <v>43556</v>
      </c>
      <c r="B112" s="21" t="s">
        <v>0</v>
      </c>
      <c r="C112" s="105"/>
      <c r="D112" s="21" t="s">
        <v>140</v>
      </c>
      <c r="E112" s="21" t="s">
        <v>141</v>
      </c>
      <c r="F112" s="33" t="s">
        <v>143</v>
      </c>
      <c r="G112" s="57"/>
      <c r="H112" s="54"/>
      <c r="I112" s="68"/>
      <c r="J112" s="57">
        <f t="shared" si="4"/>
        <v>0</v>
      </c>
      <c r="K112" s="57"/>
    </row>
    <row r="113" spans="1:13">
      <c r="A113" s="64"/>
      <c r="C113" s="105"/>
      <c r="D113" s="21" t="s">
        <v>140</v>
      </c>
      <c r="E113" s="21" t="s">
        <v>144</v>
      </c>
      <c r="F113" s="33" t="s">
        <v>145</v>
      </c>
      <c r="G113" s="57"/>
      <c r="H113" s="54"/>
      <c r="I113" s="68"/>
      <c r="J113" s="57">
        <f t="shared" si="4"/>
        <v>0</v>
      </c>
      <c r="K113" s="57">
        <f>(J113+J114+J115+J131+J132+J133+J134)*0.05*N2</f>
        <v>0</v>
      </c>
      <c r="L113" s="83">
        <f>K113/0.05*0.25</f>
        <v>0</v>
      </c>
      <c r="M113" s="83">
        <f>L113-K113-4000</f>
        <v>-4000</v>
      </c>
    </row>
    <row r="114" spans="1:13">
      <c r="A114" s="64">
        <v>43556</v>
      </c>
      <c r="B114" s="21" t="s">
        <v>0</v>
      </c>
      <c r="C114" s="105"/>
      <c r="D114" s="21" t="s">
        <v>146</v>
      </c>
      <c r="E114" s="21" t="s">
        <v>144</v>
      </c>
      <c r="F114" s="33" t="s">
        <v>145</v>
      </c>
      <c r="G114" s="57"/>
      <c r="H114" s="54"/>
      <c r="I114" s="68"/>
      <c r="J114" s="57">
        <f t="shared" si="4"/>
        <v>0</v>
      </c>
      <c r="K114" s="57"/>
    </row>
    <row r="115" spans="1:13">
      <c r="A115" s="64">
        <v>43556</v>
      </c>
      <c r="B115" s="21" t="s">
        <v>0</v>
      </c>
      <c r="C115" s="105"/>
      <c r="D115" s="21" t="s">
        <v>146</v>
      </c>
      <c r="E115" s="21" t="s">
        <v>144</v>
      </c>
      <c r="F115" s="33" t="s">
        <v>147</v>
      </c>
      <c r="G115" s="57"/>
      <c r="H115" s="54"/>
      <c r="I115" s="68"/>
      <c r="J115" s="57">
        <f t="shared" si="4"/>
        <v>0</v>
      </c>
      <c r="K115" s="57"/>
    </row>
    <row r="116" spans="1:13">
      <c r="A116" s="64">
        <v>43556</v>
      </c>
      <c r="B116" s="21" t="s">
        <v>0</v>
      </c>
      <c r="C116" s="105"/>
      <c r="D116" s="75" t="s">
        <v>148</v>
      </c>
      <c r="E116" s="75" t="s">
        <v>149</v>
      </c>
      <c r="F116" s="75" t="s">
        <v>150</v>
      </c>
      <c r="G116" s="76"/>
      <c r="H116" s="77"/>
      <c r="I116" s="68"/>
      <c r="J116" s="57">
        <f t="shared" si="4"/>
        <v>0</v>
      </c>
      <c r="K116" s="57">
        <f>(J116+J117+J128+J129+J130+J123+J124+J125)*0.25*N2</f>
        <v>0</v>
      </c>
    </row>
    <row r="117" spans="1:13">
      <c r="A117" s="64"/>
      <c r="C117" s="105"/>
      <c r="D117" s="75" t="s">
        <v>148</v>
      </c>
      <c r="E117" s="75" t="s">
        <v>149</v>
      </c>
      <c r="F117" s="75" t="s">
        <v>151</v>
      </c>
      <c r="G117" s="76"/>
      <c r="H117" s="77"/>
      <c r="I117" s="86"/>
      <c r="J117" s="57">
        <f t="shared" si="4"/>
        <v>0</v>
      </c>
      <c r="K117" s="57"/>
    </row>
    <row r="118" spans="1:13">
      <c r="A118" s="64">
        <v>43556</v>
      </c>
      <c r="B118" s="21" t="s">
        <v>0</v>
      </c>
      <c r="C118" s="105"/>
      <c r="D118" s="21" t="s">
        <v>152</v>
      </c>
      <c r="E118" s="21" t="s">
        <v>141</v>
      </c>
      <c r="F118" s="33" t="s">
        <v>153</v>
      </c>
      <c r="G118" s="57"/>
      <c r="H118" s="54"/>
      <c r="I118" s="68"/>
      <c r="J118" s="57">
        <f t="shared" si="4"/>
        <v>0</v>
      </c>
      <c r="K118" s="57"/>
    </row>
    <row r="119" spans="1:13">
      <c r="A119" s="64">
        <v>43556</v>
      </c>
      <c r="B119" s="21" t="s">
        <v>0</v>
      </c>
      <c r="C119" s="105"/>
      <c r="D119" s="21" t="s">
        <v>152</v>
      </c>
      <c r="E119" s="21" t="s">
        <v>141</v>
      </c>
      <c r="F119" s="33" t="s">
        <v>142</v>
      </c>
      <c r="G119" s="57"/>
      <c r="H119" s="54"/>
      <c r="I119" s="68"/>
      <c r="J119" s="57">
        <f t="shared" si="4"/>
        <v>0</v>
      </c>
      <c r="K119" s="57"/>
    </row>
    <row r="120" spans="1:13">
      <c r="A120" s="64">
        <v>43556</v>
      </c>
      <c r="B120" s="21" t="s">
        <v>0</v>
      </c>
      <c r="C120" s="105"/>
      <c r="D120" s="21" t="s">
        <v>152</v>
      </c>
      <c r="E120" s="21" t="s">
        <v>141</v>
      </c>
      <c r="F120" s="33" t="s">
        <v>143</v>
      </c>
      <c r="G120" s="57"/>
      <c r="H120" s="54"/>
      <c r="I120" s="68"/>
      <c r="J120" s="57">
        <f t="shared" si="4"/>
        <v>0</v>
      </c>
      <c r="K120" s="57"/>
    </row>
    <row r="121" spans="1:13">
      <c r="A121" s="64">
        <v>43556</v>
      </c>
      <c r="B121" s="21" t="s">
        <v>0</v>
      </c>
      <c r="C121" s="105"/>
      <c r="D121" s="75" t="s">
        <v>154</v>
      </c>
      <c r="E121" s="75" t="s">
        <v>155</v>
      </c>
      <c r="F121" s="75" t="s">
        <v>156</v>
      </c>
      <c r="G121" s="76"/>
      <c r="H121" s="77"/>
      <c r="I121" s="68"/>
      <c r="J121" s="57">
        <f t="shared" si="4"/>
        <v>0</v>
      </c>
      <c r="K121" s="57"/>
    </row>
    <row r="122" spans="1:13">
      <c r="A122" s="64">
        <v>43556</v>
      </c>
      <c r="B122" s="21" t="s">
        <v>0</v>
      </c>
      <c r="C122" s="105"/>
      <c r="D122" s="75" t="s">
        <v>154</v>
      </c>
      <c r="E122" s="75" t="s">
        <v>155</v>
      </c>
      <c r="F122" s="75" t="s">
        <v>157</v>
      </c>
      <c r="G122" s="76"/>
      <c r="H122" s="77"/>
      <c r="I122" s="68"/>
      <c r="J122" s="57">
        <f t="shared" ref="J122:J133" si="5">G122*H122*0.98-I122</f>
        <v>0</v>
      </c>
      <c r="K122" s="57"/>
    </row>
    <row r="123" spans="1:13">
      <c r="A123" s="64"/>
      <c r="C123" s="105"/>
      <c r="D123" s="75" t="s">
        <v>158</v>
      </c>
      <c r="E123" s="75" t="s">
        <v>149</v>
      </c>
      <c r="F123" s="75" t="s">
        <v>159</v>
      </c>
      <c r="G123" s="76"/>
      <c r="H123" s="77"/>
      <c r="I123" s="68"/>
      <c r="J123" s="57">
        <f t="shared" si="5"/>
        <v>0</v>
      </c>
      <c r="K123" s="57"/>
    </row>
    <row r="124" spans="1:13">
      <c r="A124" s="64">
        <v>43556</v>
      </c>
      <c r="B124" s="21" t="s">
        <v>0</v>
      </c>
      <c r="C124" s="105"/>
      <c r="D124" s="75" t="s">
        <v>158</v>
      </c>
      <c r="E124" s="75" t="s">
        <v>149</v>
      </c>
      <c r="F124" s="75" t="s">
        <v>150</v>
      </c>
      <c r="G124" s="76"/>
      <c r="H124" s="77"/>
      <c r="I124" s="68"/>
      <c r="J124" s="57">
        <f t="shared" si="5"/>
        <v>0</v>
      </c>
      <c r="K124" s="57"/>
      <c r="L124" s="83">
        <f>K124/0.03*0.25</f>
        <v>0</v>
      </c>
    </row>
    <row r="125" spans="1:13">
      <c r="A125" s="64">
        <v>43556</v>
      </c>
      <c r="B125" s="21" t="s">
        <v>0</v>
      </c>
      <c r="C125" s="105"/>
      <c r="D125" s="75" t="s">
        <v>158</v>
      </c>
      <c r="E125" s="75" t="s">
        <v>149</v>
      </c>
      <c r="F125" s="75" t="s">
        <v>151</v>
      </c>
      <c r="G125" s="76"/>
      <c r="H125" s="77"/>
      <c r="I125" s="67"/>
      <c r="J125" s="57">
        <f t="shared" si="5"/>
        <v>0</v>
      </c>
      <c r="K125" s="57"/>
    </row>
    <row r="126" spans="1:13">
      <c r="A126" s="64">
        <v>43556</v>
      </c>
      <c r="B126" s="21" t="s">
        <v>0</v>
      </c>
      <c r="C126" s="105"/>
      <c r="D126" s="21" t="s">
        <v>160</v>
      </c>
      <c r="E126" s="21" t="s">
        <v>161</v>
      </c>
      <c r="F126" s="33" t="s">
        <v>162</v>
      </c>
      <c r="G126" s="57"/>
      <c r="H126" s="54"/>
      <c r="I126" s="68"/>
      <c r="J126" s="57">
        <f t="shared" si="5"/>
        <v>0</v>
      </c>
      <c r="K126" s="57">
        <f>(J126+J127)*0.04*N2</f>
        <v>0</v>
      </c>
      <c r="L126" s="83">
        <f>K126/0.04*0.25</f>
        <v>0</v>
      </c>
      <c r="M126" s="83">
        <f>L126-K126-3000</f>
        <v>-3000</v>
      </c>
    </row>
    <row r="127" spans="1:13">
      <c r="A127" s="64"/>
      <c r="C127" s="105"/>
      <c r="D127" s="21" t="s">
        <v>160</v>
      </c>
      <c r="E127" s="21" t="s">
        <v>161</v>
      </c>
      <c r="F127" s="33" t="s">
        <v>163</v>
      </c>
      <c r="G127" s="57"/>
      <c r="H127" s="54"/>
      <c r="I127" s="68"/>
      <c r="J127" s="57">
        <f t="shared" si="5"/>
        <v>0</v>
      </c>
      <c r="K127" s="57"/>
    </row>
    <row r="128" spans="1:13">
      <c r="A128" s="64">
        <v>43556</v>
      </c>
      <c r="B128" s="21" t="s">
        <v>0</v>
      </c>
      <c r="C128" s="105"/>
      <c r="D128" s="75" t="s">
        <v>164</v>
      </c>
      <c r="E128" s="75" t="s">
        <v>149</v>
      </c>
      <c r="F128" s="75" t="s">
        <v>159</v>
      </c>
      <c r="G128" s="76"/>
      <c r="H128" s="77"/>
      <c r="I128" s="68"/>
      <c r="J128" s="57">
        <f t="shared" si="5"/>
        <v>0</v>
      </c>
      <c r="K128" s="57"/>
    </row>
    <row r="129" spans="1:13">
      <c r="A129" s="64">
        <v>43556</v>
      </c>
      <c r="B129" s="21" t="s">
        <v>0</v>
      </c>
      <c r="C129" s="105"/>
      <c r="D129" s="75" t="s">
        <v>164</v>
      </c>
      <c r="E129" s="75" t="s">
        <v>149</v>
      </c>
      <c r="F129" s="75" t="s">
        <v>150</v>
      </c>
      <c r="G129" s="76"/>
      <c r="H129" s="77"/>
      <c r="I129" s="68"/>
      <c r="J129" s="57">
        <f t="shared" si="5"/>
        <v>0</v>
      </c>
      <c r="K129" s="57"/>
    </row>
    <row r="130" spans="1:13">
      <c r="A130" s="64">
        <v>43556</v>
      </c>
      <c r="B130" s="21" t="s">
        <v>0</v>
      </c>
      <c r="C130" s="105"/>
      <c r="D130" s="75" t="s">
        <v>164</v>
      </c>
      <c r="E130" s="75" t="s">
        <v>149</v>
      </c>
      <c r="F130" s="75" t="s">
        <v>151</v>
      </c>
      <c r="G130" s="76"/>
      <c r="H130" s="77"/>
      <c r="I130" s="68"/>
      <c r="J130" s="57">
        <f t="shared" si="5"/>
        <v>0</v>
      </c>
      <c r="K130" s="57"/>
    </row>
    <row r="131" spans="1:13">
      <c r="A131" s="64"/>
      <c r="C131" s="105"/>
      <c r="D131" s="21" t="s">
        <v>165</v>
      </c>
      <c r="E131" s="21" t="s">
        <v>144</v>
      </c>
      <c r="F131" s="33" t="s">
        <v>147</v>
      </c>
      <c r="G131" s="57"/>
      <c r="H131" s="54"/>
      <c r="I131" s="68"/>
      <c r="J131" s="57">
        <f t="shared" si="5"/>
        <v>0</v>
      </c>
      <c r="K131" s="57"/>
    </row>
    <row r="132" spans="1:13">
      <c r="A132" s="64">
        <v>43556</v>
      </c>
      <c r="B132" s="21" t="s">
        <v>0</v>
      </c>
      <c r="C132" s="105"/>
      <c r="D132" s="21" t="s">
        <v>166</v>
      </c>
      <c r="E132" s="21" t="s">
        <v>144</v>
      </c>
      <c r="F132" s="33" t="s">
        <v>167</v>
      </c>
      <c r="G132" s="57"/>
      <c r="H132" s="54"/>
      <c r="I132" s="68"/>
      <c r="J132" s="57">
        <f t="shared" si="5"/>
        <v>0</v>
      </c>
      <c r="K132" s="57"/>
    </row>
    <row r="133" spans="1:13">
      <c r="A133" s="64">
        <v>43556</v>
      </c>
      <c r="B133" s="21" t="s">
        <v>0</v>
      </c>
      <c r="C133" s="105"/>
      <c r="D133" s="21" t="s">
        <v>166</v>
      </c>
      <c r="E133" s="21" t="s">
        <v>144</v>
      </c>
      <c r="F133" s="33" t="s">
        <v>145</v>
      </c>
      <c r="G133" s="57"/>
      <c r="H133" s="54"/>
      <c r="I133" s="68"/>
      <c r="J133" s="57">
        <f t="shared" si="5"/>
        <v>0</v>
      </c>
      <c r="K133" s="57"/>
    </row>
    <row r="134" spans="1:13">
      <c r="A134" s="64">
        <v>43556</v>
      </c>
      <c r="B134" s="21" t="s">
        <v>0</v>
      </c>
      <c r="C134" s="105"/>
      <c r="D134" s="21" t="s">
        <v>166</v>
      </c>
      <c r="E134" s="21" t="s">
        <v>144</v>
      </c>
      <c r="F134" s="33" t="s">
        <v>147</v>
      </c>
      <c r="G134" s="57"/>
      <c r="H134" s="54"/>
      <c r="I134" s="68"/>
      <c r="J134" s="57">
        <f t="shared" ref="J134:J139" si="6">G134*H134*0.98-I134</f>
        <v>0</v>
      </c>
      <c r="K134" s="57"/>
    </row>
    <row r="135" spans="1:13">
      <c r="A135" s="64">
        <v>43556</v>
      </c>
      <c r="B135" s="21" t="s">
        <v>0</v>
      </c>
      <c r="C135" s="105"/>
      <c r="D135" s="75" t="s">
        <v>168</v>
      </c>
      <c r="E135" s="75" t="s">
        <v>113</v>
      </c>
      <c r="F135" s="75" t="s">
        <v>136</v>
      </c>
      <c r="G135" s="76"/>
      <c r="H135" s="77"/>
      <c r="I135" s="68"/>
      <c r="J135" s="57">
        <f t="shared" si="6"/>
        <v>0</v>
      </c>
      <c r="K135" s="57"/>
    </row>
    <row r="136" spans="1:13">
      <c r="A136" s="64">
        <v>43556</v>
      </c>
      <c r="B136" s="21" t="s">
        <v>0</v>
      </c>
      <c r="C136" s="105"/>
      <c r="D136" s="21" t="s">
        <v>169</v>
      </c>
      <c r="E136" s="21" t="s">
        <v>170</v>
      </c>
      <c r="F136" s="33" t="s">
        <v>171</v>
      </c>
      <c r="G136" s="57"/>
      <c r="H136" s="54"/>
      <c r="I136" s="68"/>
      <c r="J136" s="57">
        <f t="shared" si="6"/>
        <v>0</v>
      </c>
      <c r="K136" s="57">
        <f>(J136+J138+J137+J140+J139)*0.04*N2</f>
        <v>0</v>
      </c>
      <c r="L136" s="83">
        <f>K136/0.04*0.25</f>
        <v>0</v>
      </c>
      <c r="M136" s="83">
        <f>L136-K136-3000</f>
        <v>-3000</v>
      </c>
    </row>
    <row r="137" spans="1:13">
      <c r="A137" s="64">
        <v>43556</v>
      </c>
      <c r="B137" s="21" t="s">
        <v>0</v>
      </c>
      <c r="C137" s="105"/>
      <c r="D137" s="21" t="s">
        <v>169</v>
      </c>
      <c r="E137" s="21" t="s">
        <v>170</v>
      </c>
      <c r="F137" s="33" t="s">
        <v>172</v>
      </c>
      <c r="G137" s="57"/>
      <c r="H137" s="54"/>
      <c r="I137" s="68"/>
      <c r="J137" s="57">
        <f t="shared" si="6"/>
        <v>0</v>
      </c>
      <c r="K137" s="57"/>
    </row>
    <row r="138" spans="1:13">
      <c r="A138" s="64">
        <v>43556</v>
      </c>
      <c r="B138" s="21" t="s">
        <v>0</v>
      </c>
      <c r="C138" s="105"/>
      <c r="D138" s="21" t="s">
        <v>169</v>
      </c>
      <c r="E138" s="21" t="s">
        <v>170</v>
      </c>
      <c r="F138" s="33" t="s">
        <v>173</v>
      </c>
      <c r="G138" s="57"/>
      <c r="H138" s="54"/>
      <c r="I138" s="68"/>
      <c r="J138" s="57">
        <f t="shared" si="6"/>
        <v>0</v>
      </c>
      <c r="K138" s="57"/>
    </row>
    <row r="139" spans="1:13">
      <c r="A139" s="64"/>
      <c r="C139" s="105"/>
      <c r="D139" s="21" t="s">
        <v>174</v>
      </c>
      <c r="E139" s="21" t="s">
        <v>170</v>
      </c>
      <c r="F139" s="33" t="s">
        <v>171</v>
      </c>
      <c r="G139" s="57"/>
      <c r="H139" s="54"/>
      <c r="I139" s="68"/>
      <c r="J139" s="57">
        <f t="shared" si="6"/>
        <v>0</v>
      </c>
      <c r="K139" s="57"/>
    </row>
    <row r="140" spans="1:13">
      <c r="A140" s="64"/>
      <c r="C140" s="105"/>
      <c r="D140" s="21" t="s">
        <v>174</v>
      </c>
      <c r="E140" s="21" t="s">
        <v>170</v>
      </c>
      <c r="F140" s="33" t="s">
        <v>172</v>
      </c>
      <c r="G140" s="57"/>
      <c r="H140" s="54"/>
      <c r="I140" s="68"/>
      <c r="J140" s="57">
        <f t="shared" ref="J140:J156" si="7">G140*H140*0.98-I140</f>
        <v>0</v>
      </c>
      <c r="K140" s="57"/>
    </row>
    <row r="141" spans="1:13">
      <c r="A141" s="64">
        <v>43556</v>
      </c>
      <c r="B141" s="21" t="s">
        <v>0</v>
      </c>
      <c r="C141" s="105"/>
      <c r="D141" s="21" t="s">
        <v>175</v>
      </c>
      <c r="E141" s="21" t="s">
        <v>176</v>
      </c>
      <c r="F141" s="33" t="s">
        <v>177</v>
      </c>
      <c r="G141" s="57"/>
      <c r="H141" s="54"/>
      <c r="I141" s="68"/>
      <c r="J141" s="57">
        <f t="shared" si="7"/>
        <v>0</v>
      </c>
      <c r="K141" s="57"/>
    </row>
    <row r="142" spans="1:13">
      <c r="A142" s="64">
        <v>43556</v>
      </c>
      <c r="B142" s="21" t="s">
        <v>0</v>
      </c>
      <c r="C142" s="105"/>
      <c r="D142" s="21" t="s">
        <v>175</v>
      </c>
      <c r="E142" s="21" t="s">
        <v>176</v>
      </c>
      <c r="F142" s="33" t="s">
        <v>178</v>
      </c>
      <c r="G142" s="57"/>
      <c r="H142" s="54"/>
      <c r="I142" s="68"/>
      <c r="J142" s="57">
        <f t="shared" si="7"/>
        <v>0</v>
      </c>
      <c r="K142" s="57"/>
    </row>
    <row r="143" spans="1:13">
      <c r="A143" s="64">
        <v>43556</v>
      </c>
      <c r="B143" s="21" t="s">
        <v>0</v>
      </c>
      <c r="C143" s="105"/>
      <c r="D143" s="21" t="s">
        <v>175</v>
      </c>
      <c r="E143" s="21" t="s">
        <v>176</v>
      </c>
      <c r="F143" s="33" t="s">
        <v>179</v>
      </c>
      <c r="G143" s="57"/>
      <c r="H143" s="54"/>
      <c r="I143" s="68"/>
      <c r="J143" s="57">
        <f t="shared" si="7"/>
        <v>0</v>
      </c>
      <c r="K143" s="57"/>
    </row>
    <row r="144" spans="1:13">
      <c r="A144" s="64">
        <v>43556</v>
      </c>
      <c r="B144" s="21" t="s">
        <v>0</v>
      </c>
      <c r="C144" s="105"/>
      <c r="D144" s="21" t="s">
        <v>180</v>
      </c>
      <c r="E144" s="21" t="s">
        <v>176</v>
      </c>
      <c r="F144" s="33" t="s">
        <v>178</v>
      </c>
      <c r="G144" s="57"/>
      <c r="H144" s="54"/>
      <c r="I144" s="68"/>
      <c r="J144" s="57">
        <f t="shared" si="7"/>
        <v>0</v>
      </c>
      <c r="K144" s="57">
        <f>(J144+J145+J143+J142+J141)*0.03*N2</f>
        <v>0</v>
      </c>
      <c r="L144" s="83">
        <f>K144/0.03*0.25</f>
        <v>0</v>
      </c>
      <c r="M144" s="83">
        <f>L144-K144-3000</f>
        <v>-3000</v>
      </c>
    </row>
    <row r="145" spans="1:13">
      <c r="A145" s="64">
        <v>43556</v>
      </c>
      <c r="B145" s="21" t="s">
        <v>0</v>
      </c>
      <c r="C145" s="105"/>
      <c r="D145" s="21" t="s">
        <v>180</v>
      </c>
      <c r="E145" s="21" t="s">
        <v>176</v>
      </c>
      <c r="F145" s="33" t="s">
        <v>179</v>
      </c>
      <c r="G145" s="57"/>
      <c r="H145" s="54"/>
      <c r="I145" s="68"/>
      <c r="J145" s="57">
        <f t="shared" si="7"/>
        <v>0</v>
      </c>
      <c r="K145" s="57"/>
    </row>
    <row r="146" spans="1:13">
      <c r="A146" s="64">
        <v>43556</v>
      </c>
      <c r="B146" s="21" t="s">
        <v>0</v>
      </c>
      <c r="C146" s="105"/>
      <c r="D146" s="21" t="s">
        <v>88</v>
      </c>
      <c r="E146" s="21" t="s">
        <v>181</v>
      </c>
      <c r="F146" s="33" t="s">
        <v>182</v>
      </c>
      <c r="G146" s="57"/>
      <c r="H146" s="54"/>
      <c r="I146" s="68"/>
      <c r="J146" s="57">
        <f t="shared" si="7"/>
        <v>0</v>
      </c>
      <c r="K146" s="57">
        <f>(J146+J147+J148)*0.05*N2</f>
        <v>0</v>
      </c>
      <c r="L146" s="83">
        <f>K146/0.05*0.25</f>
        <v>0</v>
      </c>
      <c r="M146" s="83">
        <f>L146-K146-4000</f>
        <v>-4000</v>
      </c>
    </row>
    <row r="147" spans="1:13">
      <c r="A147" s="64">
        <v>43556</v>
      </c>
      <c r="B147" s="21" t="s">
        <v>0</v>
      </c>
      <c r="C147" s="105"/>
      <c r="D147" s="21" t="s">
        <v>88</v>
      </c>
      <c r="E147" s="21" t="s">
        <v>181</v>
      </c>
      <c r="F147" s="33" t="s">
        <v>183</v>
      </c>
      <c r="G147" s="57"/>
      <c r="H147" s="54"/>
      <c r="I147" s="68"/>
      <c r="J147" s="57">
        <f t="shared" si="7"/>
        <v>0</v>
      </c>
      <c r="K147" s="57"/>
    </row>
    <row r="148" spans="1:13">
      <c r="A148" s="64">
        <v>43556</v>
      </c>
      <c r="B148" s="21" t="s">
        <v>0</v>
      </c>
      <c r="C148" s="105"/>
      <c r="D148" s="21" t="s">
        <v>88</v>
      </c>
      <c r="E148" s="21" t="s">
        <v>181</v>
      </c>
      <c r="F148" s="33" t="s">
        <v>184</v>
      </c>
      <c r="G148" s="57"/>
      <c r="H148" s="54"/>
      <c r="I148" s="68"/>
      <c r="J148" s="57">
        <f t="shared" si="7"/>
        <v>0</v>
      </c>
      <c r="K148" s="57"/>
    </row>
    <row r="149" spans="1:13">
      <c r="A149" s="64">
        <v>43556</v>
      </c>
      <c r="B149" s="21" t="s">
        <v>0</v>
      </c>
      <c r="C149" s="102" t="s">
        <v>185</v>
      </c>
      <c r="D149" s="21" t="s">
        <v>186</v>
      </c>
      <c r="E149" s="21" t="s">
        <v>187</v>
      </c>
      <c r="F149" s="33" t="s">
        <v>188</v>
      </c>
      <c r="G149" s="57"/>
      <c r="H149" s="54"/>
      <c r="I149" s="68"/>
      <c r="J149" s="57">
        <f t="shared" si="7"/>
        <v>0</v>
      </c>
      <c r="K149" s="57"/>
    </row>
    <row r="150" spans="1:13">
      <c r="A150" s="64"/>
      <c r="C150" s="103"/>
      <c r="D150" s="21" t="s">
        <v>189</v>
      </c>
      <c r="E150" s="21" t="s">
        <v>187</v>
      </c>
      <c r="F150" s="33" t="s">
        <v>190</v>
      </c>
      <c r="G150" s="57"/>
      <c r="H150" s="54"/>
      <c r="I150" s="68"/>
      <c r="J150" s="57">
        <f t="shared" si="7"/>
        <v>0</v>
      </c>
      <c r="K150" s="57"/>
    </row>
    <row r="151" spans="1:13">
      <c r="A151" s="64">
        <v>43556</v>
      </c>
      <c r="B151" s="21" t="s">
        <v>0</v>
      </c>
      <c r="C151" s="103"/>
      <c r="D151" s="21" t="s">
        <v>189</v>
      </c>
      <c r="E151" s="21" t="s">
        <v>187</v>
      </c>
      <c r="F151" s="33" t="s">
        <v>188</v>
      </c>
      <c r="G151" s="57"/>
      <c r="H151" s="54"/>
      <c r="I151" s="68"/>
      <c r="J151" s="57">
        <f t="shared" si="7"/>
        <v>0</v>
      </c>
      <c r="K151" s="57">
        <f>(J151+J156+J149+J150)*0.05*N2</f>
        <v>0</v>
      </c>
      <c r="L151" s="83">
        <f>K151/0.05*0.25</f>
        <v>0</v>
      </c>
      <c r="M151" s="83">
        <f>L151-K151-4500</f>
        <v>-4500</v>
      </c>
    </row>
    <row r="152" spans="1:13">
      <c r="A152" s="64"/>
      <c r="C152" s="103"/>
      <c r="D152" s="21" t="s">
        <v>186</v>
      </c>
      <c r="E152" s="21" t="s">
        <v>191</v>
      </c>
      <c r="F152" s="33" t="s">
        <v>192</v>
      </c>
      <c r="G152" s="57"/>
      <c r="H152" s="54"/>
      <c r="I152" s="68"/>
      <c r="J152" s="57">
        <f t="shared" si="7"/>
        <v>0</v>
      </c>
      <c r="K152" s="57"/>
    </row>
    <row r="153" spans="1:13">
      <c r="A153" s="64">
        <v>43556</v>
      </c>
      <c r="B153" s="21" t="s">
        <v>0</v>
      </c>
      <c r="C153" s="103"/>
      <c r="D153" s="21" t="s">
        <v>186</v>
      </c>
      <c r="E153" s="21" t="s">
        <v>191</v>
      </c>
      <c r="F153" s="33" t="s">
        <v>193</v>
      </c>
      <c r="G153" s="57"/>
      <c r="H153" s="54"/>
      <c r="I153" s="68"/>
      <c r="J153" s="57">
        <f t="shared" si="7"/>
        <v>0</v>
      </c>
      <c r="K153" s="57">
        <f>(J153+J155+J152)*0.05*N2</f>
        <v>0</v>
      </c>
      <c r="L153" s="83">
        <f>K153/0.05*0.25</f>
        <v>0</v>
      </c>
      <c r="M153" s="83">
        <f>L153-K153</f>
        <v>0</v>
      </c>
    </row>
    <row r="154" spans="1:13">
      <c r="A154" s="64"/>
      <c r="C154" s="103"/>
      <c r="D154" s="21" t="s">
        <v>194</v>
      </c>
      <c r="E154" s="75" t="s">
        <v>195</v>
      </c>
      <c r="F154" s="75" t="s">
        <v>196</v>
      </c>
      <c r="G154" s="76"/>
      <c r="H154" s="77"/>
      <c r="I154" s="68"/>
      <c r="J154" s="57">
        <f t="shared" si="7"/>
        <v>0</v>
      </c>
      <c r="K154" s="57">
        <f>(J154)*0.25*N2</f>
        <v>0</v>
      </c>
    </row>
    <row r="155" spans="1:13">
      <c r="A155" s="64">
        <v>43556</v>
      </c>
      <c r="B155" s="21" t="s">
        <v>0</v>
      </c>
      <c r="C155" s="104"/>
      <c r="D155" s="80" t="s">
        <v>197</v>
      </c>
      <c r="E155" s="21" t="s">
        <v>191</v>
      </c>
      <c r="F155" s="33" t="s">
        <v>193</v>
      </c>
      <c r="G155" s="57"/>
      <c r="H155" s="54"/>
      <c r="I155" s="68"/>
      <c r="J155" s="57">
        <f t="shared" si="7"/>
        <v>0</v>
      </c>
      <c r="K155" s="57"/>
    </row>
    <row r="156" spans="1:13">
      <c r="A156" s="64">
        <v>43556</v>
      </c>
      <c r="B156" s="21" t="s">
        <v>0</v>
      </c>
      <c r="C156" s="21" t="s">
        <v>198</v>
      </c>
      <c r="D156" s="21" t="s">
        <v>189</v>
      </c>
      <c r="E156" s="21" t="s">
        <v>187</v>
      </c>
      <c r="F156" s="33" t="s">
        <v>188</v>
      </c>
      <c r="G156" s="57"/>
      <c r="H156" s="54"/>
      <c r="I156" s="68"/>
      <c r="J156" s="57">
        <f t="shared" si="7"/>
        <v>0</v>
      </c>
      <c r="K156" s="57"/>
    </row>
    <row r="157" spans="1:13">
      <c r="A157" s="64">
        <v>43556</v>
      </c>
      <c r="B157" s="21" t="s">
        <v>0</v>
      </c>
      <c r="C157" s="105" t="s">
        <v>199</v>
      </c>
      <c r="D157" s="21" t="s">
        <v>200</v>
      </c>
      <c r="E157" s="21" t="s">
        <v>93</v>
      </c>
      <c r="F157" s="33" t="s">
        <v>94</v>
      </c>
      <c r="G157" s="57"/>
      <c r="H157" s="54"/>
      <c r="I157" s="68"/>
      <c r="J157" s="57">
        <f t="shared" ref="J157:J172" si="8">G157*H157*0.98-I157</f>
        <v>0</v>
      </c>
      <c r="K157" s="57">
        <f>(J157+J160+J161+J159+J158)*0.25*N2</f>
        <v>0</v>
      </c>
    </row>
    <row r="158" spans="1:13">
      <c r="A158" s="64"/>
      <c r="C158" s="105"/>
      <c r="D158" s="21" t="s">
        <v>201</v>
      </c>
      <c r="E158" s="21" t="s">
        <v>93</v>
      </c>
      <c r="F158" s="33" t="s">
        <v>94</v>
      </c>
      <c r="G158" s="57"/>
      <c r="H158" s="54"/>
      <c r="I158" s="68"/>
      <c r="J158" s="57">
        <f t="shared" si="8"/>
        <v>0</v>
      </c>
      <c r="K158" s="57"/>
    </row>
    <row r="159" spans="1:13">
      <c r="A159" s="64">
        <v>43556</v>
      </c>
      <c r="B159" s="21" t="s">
        <v>0</v>
      </c>
      <c r="C159" s="105"/>
      <c r="D159" s="21" t="s">
        <v>202</v>
      </c>
      <c r="E159" s="21" t="s">
        <v>93</v>
      </c>
      <c r="F159" s="33" t="s">
        <v>94</v>
      </c>
      <c r="G159" s="57"/>
      <c r="H159" s="54"/>
      <c r="I159" s="68"/>
      <c r="J159" s="57">
        <f t="shared" si="8"/>
        <v>0</v>
      </c>
      <c r="K159" s="57"/>
      <c r="L159" s="83">
        <f>K159/0.03*0.25</f>
        <v>0</v>
      </c>
      <c r="M159" s="83">
        <f>L159-K159</f>
        <v>0</v>
      </c>
    </row>
    <row r="160" spans="1:13">
      <c r="A160" s="64">
        <v>43556</v>
      </c>
      <c r="B160" s="21" t="s">
        <v>0</v>
      </c>
      <c r="C160" s="105"/>
      <c r="D160" s="21" t="s">
        <v>203</v>
      </c>
      <c r="E160" s="21" t="s">
        <v>93</v>
      </c>
      <c r="F160" s="33" t="s">
        <v>94</v>
      </c>
      <c r="G160" s="57"/>
      <c r="H160" s="54"/>
      <c r="I160" s="68"/>
      <c r="J160" s="57">
        <f t="shared" si="8"/>
        <v>0</v>
      </c>
      <c r="K160" s="57"/>
    </row>
    <row r="161" spans="1:11">
      <c r="A161" s="64">
        <v>43556</v>
      </c>
      <c r="B161" s="21" t="s">
        <v>0</v>
      </c>
      <c r="C161" s="105"/>
      <c r="D161" s="21" t="s">
        <v>202</v>
      </c>
      <c r="E161" s="21" t="s">
        <v>93</v>
      </c>
      <c r="F161" s="33" t="s">
        <v>94</v>
      </c>
      <c r="G161" s="57"/>
      <c r="H161" s="54"/>
      <c r="I161" s="68"/>
      <c r="J161" s="57">
        <f t="shared" si="8"/>
        <v>0</v>
      </c>
      <c r="K161" s="57"/>
    </row>
    <row r="162" spans="1:11">
      <c r="A162" s="64">
        <v>43556</v>
      </c>
      <c r="B162" s="21" t="s">
        <v>0</v>
      </c>
      <c r="C162" s="102" t="s">
        <v>204</v>
      </c>
      <c r="D162" s="21" t="s">
        <v>88</v>
      </c>
      <c r="E162" s="21" t="s">
        <v>161</v>
      </c>
      <c r="F162" s="33" t="s">
        <v>205</v>
      </c>
      <c r="G162" s="57"/>
      <c r="H162" s="54"/>
      <c r="I162" s="68"/>
      <c r="J162" s="57">
        <f t="shared" si="8"/>
        <v>0</v>
      </c>
      <c r="K162" s="57"/>
    </row>
    <row r="163" spans="1:11">
      <c r="A163" s="64">
        <v>43556</v>
      </c>
      <c r="B163" s="21" t="s">
        <v>0</v>
      </c>
      <c r="C163" s="103"/>
      <c r="D163" s="21" t="s">
        <v>206</v>
      </c>
      <c r="E163" s="21" t="s">
        <v>129</v>
      </c>
      <c r="F163" s="33" t="s">
        <v>207</v>
      </c>
      <c r="G163" s="57"/>
      <c r="H163" s="54"/>
      <c r="I163" s="68"/>
      <c r="J163" s="57">
        <f t="shared" si="8"/>
        <v>0</v>
      </c>
      <c r="K163" s="57">
        <f>(J163+J164)*0.25*N2</f>
        <v>0</v>
      </c>
    </row>
    <row r="164" spans="1:11">
      <c r="A164" s="64">
        <v>43556</v>
      </c>
      <c r="B164" s="21" t="s">
        <v>0</v>
      </c>
      <c r="C164" s="103"/>
      <c r="D164" s="21" t="s">
        <v>206</v>
      </c>
      <c r="E164" s="21" t="s">
        <v>129</v>
      </c>
      <c r="F164" s="33" t="s">
        <v>208</v>
      </c>
      <c r="G164" s="57"/>
      <c r="H164" s="54"/>
      <c r="I164" s="68"/>
      <c r="J164" s="57">
        <f t="shared" si="8"/>
        <v>0</v>
      </c>
      <c r="K164" s="57"/>
    </row>
    <row r="165" spans="1:11">
      <c r="A165" s="64">
        <v>43556</v>
      </c>
      <c r="B165" s="21" t="s">
        <v>0</v>
      </c>
      <c r="C165" s="103"/>
      <c r="D165" s="21" t="s">
        <v>209</v>
      </c>
      <c r="E165" s="21" t="s">
        <v>144</v>
      </c>
      <c r="F165" s="33" t="s">
        <v>210</v>
      </c>
      <c r="G165" s="57"/>
      <c r="H165" s="54"/>
      <c r="I165" s="68"/>
      <c r="J165" s="57">
        <f t="shared" si="8"/>
        <v>0</v>
      </c>
      <c r="K165" s="57">
        <f>(J165+J166)*0.25*N2</f>
        <v>0</v>
      </c>
    </row>
    <row r="166" spans="1:11">
      <c r="A166" s="64">
        <v>43556</v>
      </c>
      <c r="B166" s="21" t="s">
        <v>0</v>
      </c>
      <c r="C166" s="103"/>
      <c r="D166" s="21" t="s">
        <v>209</v>
      </c>
      <c r="E166" s="21" t="s">
        <v>144</v>
      </c>
      <c r="F166" s="33" t="s">
        <v>211</v>
      </c>
      <c r="G166" s="57"/>
      <c r="H166" s="54"/>
      <c r="I166" s="68"/>
      <c r="J166" s="57">
        <f t="shared" si="8"/>
        <v>0</v>
      </c>
      <c r="K166" s="57"/>
    </row>
    <row r="167" spans="1:11">
      <c r="A167" s="64">
        <v>43556</v>
      </c>
      <c r="B167" s="21" t="s">
        <v>0</v>
      </c>
      <c r="C167" s="103"/>
      <c r="D167" s="21" t="s">
        <v>88</v>
      </c>
      <c r="E167" s="21" t="s">
        <v>93</v>
      </c>
      <c r="F167" s="33" t="s">
        <v>212</v>
      </c>
      <c r="G167" s="57"/>
      <c r="H167" s="54"/>
      <c r="I167" s="68"/>
      <c r="J167" s="57">
        <f t="shared" si="8"/>
        <v>0</v>
      </c>
      <c r="K167" s="57">
        <f>(J167+J168)*0.25*N2</f>
        <v>0</v>
      </c>
    </row>
    <row r="168" spans="1:11">
      <c r="A168" s="64">
        <v>43556</v>
      </c>
      <c r="B168" s="21" t="s">
        <v>0</v>
      </c>
      <c r="C168" s="103"/>
      <c r="D168" s="21" t="s">
        <v>88</v>
      </c>
      <c r="E168" s="21" t="s">
        <v>93</v>
      </c>
      <c r="F168" s="90" t="s">
        <v>213</v>
      </c>
      <c r="G168" s="57"/>
      <c r="H168" s="54"/>
      <c r="I168" s="68"/>
      <c r="J168" s="57">
        <f t="shared" si="8"/>
        <v>0</v>
      </c>
      <c r="K168" s="57"/>
    </row>
    <row r="169" spans="1:11">
      <c r="A169" s="64">
        <v>43556</v>
      </c>
      <c r="B169" s="21" t="s">
        <v>0</v>
      </c>
      <c r="C169" s="103"/>
      <c r="D169" s="21" t="s">
        <v>214</v>
      </c>
      <c r="E169" s="21" t="s">
        <v>161</v>
      </c>
      <c r="F169" s="33" t="s">
        <v>215</v>
      </c>
      <c r="G169" s="57"/>
      <c r="H169" s="54"/>
      <c r="I169" s="68"/>
      <c r="J169" s="57">
        <f t="shared" si="8"/>
        <v>0</v>
      </c>
      <c r="K169" s="100">
        <f>(J169+J170)*0.05*N2</f>
        <v>0</v>
      </c>
    </row>
    <row r="170" spans="1:11">
      <c r="A170" s="64"/>
      <c r="C170" s="103"/>
      <c r="D170" s="21" t="s">
        <v>214</v>
      </c>
      <c r="E170" s="21" t="s">
        <v>161</v>
      </c>
      <c r="F170" s="33" t="s">
        <v>216</v>
      </c>
      <c r="G170" s="57"/>
      <c r="H170" s="54"/>
      <c r="I170" s="68"/>
      <c r="J170" s="57">
        <f t="shared" si="8"/>
        <v>0</v>
      </c>
      <c r="K170" s="100"/>
    </row>
    <row r="171" spans="1:11">
      <c r="A171" s="64">
        <v>43556</v>
      </c>
      <c r="B171" s="21" t="s">
        <v>0</v>
      </c>
      <c r="C171" s="103"/>
      <c r="D171" s="21" t="s">
        <v>217</v>
      </c>
      <c r="E171" s="21" t="s">
        <v>161</v>
      </c>
      <c r="F171" s="33" t="s">
        <v>215</v>
      </c>
      <c r="G171" s="57"/>
      <c r="H171" s="54"/>
      <c r="I171" s="68"/>
      <c r="J171" s="57">
        <f t="shared" si="8"/>
        <v>0</v>
      </c>
      <c r="K171" s="57">
        <f>(J171+J172+J162)*0.25*N2</f>
        <v>0</v>
      </c>
    </row>
    <row r="172" spans="1:11">
      <c r="A172" s="64">
        <v>43556</v>
      </c>
      <c r="B172" s="21" t="s">
        <v>0</v>
      </c>
      <c r="C172" s="104"/>
      <c r="D172" s="21" t="s">
        <v>217</v>
      </c>
      <c r="E172" s="21" t="s">
        <v>161</v>
      </c>
      <c r="F172" s="33" t="s">
        <v>216</v>
      </c>
      <c r="G172" s="57"/>
      <c r="H172" s="54"/>
      <c r="I172" s="68"/>
      <c r="J172" s="57">
        <f t="shared" si="8"/>
        <v>0</v>
      </c>
      <c r="K172" s="57"/>
    </row>
    <row r="173" spans="1:11">
      <c r="C173" s="105" t="s">
        <v>218</v>
      </c>
      <c r="D173" s="105"/>
      <c r="E173" s="21" t="s">
        <v>219</v>
      </c>
      <c r="F173" s="33" t="s">
        <v>219</v>
      </c>
      <c r="G173" s="57"/>
      <c r="H173" s="54"/>
      <c r="I173" s="68"/>
      <c r="J173" s="57">
        <f t="shared" ref="J173:J176" si="9">(G173*H173*0.98)-I173</f>
        <v>0</v>
      </c>
      <c r="K173" s="57">
        <f>(J7+J8+J9+J10+J11+J12+J14+J15+J16+J17+J27+J28+J32+J36+J37+J38+J39+J40+J46+J47+J48+J49+J50+J51+J52+J53)*0.05*N2+(J64+J67+J74+J75)*0.08*N2+(J101+J102+J109+J110)*0.04*N2+(J3+J4+J5+J13+J18+J19+J20+J21+J22+J23+J24+J25+J26+J29+J30+J31+J33+J34+J35+J41+J42+J43+J44+J45+J54+J55+J56+J57+J58+J59+J60+J61+J62+J63+J65+J66+J68+J69+J70+J71+J72+J73+J76+J77+J78+J79+J80+J81+J82+J83+J84+J85+J86+J87+J88+J89+J90+J91+J92+J93+J94+J95+J96+J97+J98+J99+J100+J103+J104+J105+J106+J107+J108+J111+J112+J113+J114+J115+J116+J117+J118+J119+J120+J121+J122+J123+J124+J125+J126+J127+J128+J129+J130+J131+J132+J133+J134+J136+J137+J138+J139+J140+J141+J142+J143+J144+J145+J146+J147+J148+J149+J150+J151+J152+J153+J154+J155+J156)*0.01*N2-5324</f>
        <v>-5324</v>
      </c>
    </row>
    <row r="174" spans="1:11">
      <c r="C174" s="105"/>
      <c r="D174" s="105"/>
      <c r="E174" s="21" t="s">
        <v>220</v>
      </c>
      <c r="F174" s="33" t="s">
        <v>220</v>
      </c>
      <c r="G174" s="57"/>
      <c r="H174" s="54"/>
      <c r="I174" s="68"/>
      <c r="J174" s="57">
        <f t="shared" si="9"/>
        <v>0</v>
      </c>
      <c r="K174" s="57">
        <f>(J3+J4+J5+J18+J19+J20+J33+J34+J35)*0.06*N2+(J60+J61+J65+J66+J132+J133+J134+J136+J137+J138)*0.07*N2+(J86+J87+J107+J108)*0.03*N2-3993</f>
        <v>-3993</v>
      </c>
    </row>
    <row r="175" spans="1:11">
      <c r="C175" s="105"/>
      <c r="D175" s="105"/>
      <c r="E175" s="21" t="s">
        <v>221</v>
      </c>
      <c r="F175" s="33" t="s">
        <v>221</v>
      </c>
      <c r="G175" s="57"/>
      <c r="H175" s="54"/>
      <c r="I175" s="68"/>
      <c r="J175" s="57">
        <f t="shared" si="9"/>
        <v>0</v>
      </c>
      <c r="K175" s="57">
        <f>(J21+J22+J23+J24+J25+J26+J56+J57)*0.06*N2+(J68+J69+J78+J79+J114+J115+J116+J117+J123+J124+J125+J128+J129+J130+J131)*0.07*N2+(J149+J150+J151+J156)*0.03*N2-3630</f>
        <v>-3630</v>
      </c>
    </row>
    <row r="176" spans="1:11">
      <c r="C176" s="105"/>
      <c r="D176" s="105"/>
      <c r="E176" s="21" t="s">
        <v>222</v>
      </c>
      <c r="F176" s="33" t="s">
        <v>222</v>
      </c>
      <c r="G176" s="57"/>
      <c r="H176" s="54"/>
      <c r="I176" s="68"/>
      <c r="J176" s="57">
        <f t="shared" si="9"/>
        <v>0</v>
      </c>
      <c r="K176" s="57">
        <f>(J13)*0.06*N2+(J72+J73+J74+J75+J126+J127)*0.07*N2+(J82+J83+J88+J89+J94+J95+J98+J99+J100+J105+J106)*0.03*N2-3300</f>
        <v>-3300</v>
      </c>
    </row>
    <row r="177" spans="3:11">
      <c r="C177" s="105"/>
      <c r="D177" s="105"/>
      <c r="E177" s="21" t="s">
        <v>223</v>
      </c>
      <c r="F177" s="33" t="s">
        <v>223</v>
      </c>
      <c r="G177" s="57"/>
      <c r="H177" s="54"/>
      <c r="I177" s="68"/>
      <c r="J177" s="57">
        <v>0</v>
      </c>
      <c r="K177" s="57">
        <f>(J41+J42+J43+J44+J45+J58+J59)*0.06*N2-3500</f>
        <v>-3500</v>
      </c>
    </row>
    <row r="178" spans="3:11">
      <c r="C178" s="105"/>
      <c r="D178" s="105"/>
      <c r="E178" s="21" t="s">
        <v>224</v>
      </c>
      <c r="F178" s="33" t="s">
        <v>224</v>
      </c>
      <c r="G178" s="57"/>
      <c r="H178" s="54"/>
      <c r="I178" s="68"/>
      <c r="J178" s="57">
        <v>0</v>
      </c>
      <c r="K178" s="57">
        <f>(0)*0.06*N2+(J62+J63+J70+J71+J139+J140+J144+J145+J146+J147+J148+J149+J152+J153+J154+J155)*0.07*N2+(J90+J91)*0.03*N2-3300</f>
        <v>-3300</v>
      </c>
    </row>
    <row r="179" spans="3:11">
      <c r="E179" s="21" t="s">
        <v>225</v>
      </c>
      <c r="F179" s="33" t="s">
        <v>225</v>
      </c>
      <c r="G179" s="57"/>
      <c r="H179" s="54"/>
      <c r="I179" s="68"/>
      <c r="J179" s="57">
        <v>0</v>
      </c>
      <c r="K179" s="57">
        <f>(J29+J30+J31)*0.06*N2+(J121+J122+J141+J142+J143)*0.07*N2+(J84+J85+J92+J93+J103+J104)*0.03*N2-3000</f>
        <v>-3000</v>
      </c>
    </row>
    <row r="180" spans="3:11">
      <c r="E180" s="21" t="s">
        <v>226</v>
      </c>
      <c r="F180" s="33" t="s">
        <v>226</v>
      </c>
      <c r="G180" s="57"/>
      <c r="H180" s="54"/>
      <c r="I180" s="68"/>
      <c r="J180" s="57">
        <v>0</v>
      </c>
      <c r="K180" s="57">
        <f>(J54+J55)*0.06*N2+(J76+J77+J111+J112+J113+J118+J119+J120)*0.07*N2+(J80+J81+J96+J97)*0.03*N2-3000</f>
        <v>-3000</v>
      </c>
    </row>
    <row r="181" spans="3:11">
      <c r="F181" s="58" t="s">
        <v>227</v>
      </c>
      <c r="G181" s="65">
        <f>SUM(G3:G178)</f>
        <v>0</v>
      </c>
      <c r="H181" s="66"/>
      <c r="I181" s="69">
        <f>SUM(I3:I177)</f>
        <v>0</v>
      </c>
      <c r="J181" s="65">
        <f>SUM(J3:J178)</f>
        <v>0</v>
      </c>
      <c r="K181" s="65">
        <f>J181*N2*0.67</f>
        <v>0</v>
      </c>
    </row>
    <row r="182" spans="3:11">
      <c r="F182" s="58" t="s">
        <v>228</v>
      </c>
      <c r="G182" s="65"/>
      <c r="H182" s="66"/>
      <c r="I182" s="69"/>
      <c r="J182" s="65"/>
      <c r="K182" s="65"/>
    </row>
    <row r="183" spans="3:11">
      <c r="C183" s="21" t="s">
        <v>229</v>
      </c>
      <c r="E183" s="21" t="s">
        <v>230</v>
      </c>
      <c r="J183" s="59">
        <v>0</v>
      </c>
      <c r="K183" s="59">
        <f>(J18+J19+J20+J21+J22+J23)*0.05*N2+M25+M42+M45+M34+M55+M15+M3+M7-N25-N34-N42+M46+M29+M36+M49</f>
        <v>-19967</v>
      </c>
    </row>
    <row r="184" spans="3:11">
      <c r="C184" s="21" t="s">
        <v>231</v>
      </c>
      <c r="E184" s="21" t="s">
        <v>230</v>
      </c>
      <c r="K184" s="59">
        <f>(0)*0.05*N2+M124+M141+M116+M126+M144+M111+M146+M136+M113</f>
        <v>-20000</v>
      </c>
    </row>
    <row r="185" spans="3:11">
      <c r="C185" s="21" t="s">
        <v>232</v>
      </c>
      <c r="E185" s="21" t="s">
        <v>233</v>
      </c>
      <c r="K185" s="59">
        <f>(J67+J64+J68+J69+J72+J73+J74+J75)*0.05*N2+M70+M65+M78</f>
        <v>-6000</v>
      </c>
    </row>
    <row r="186" spans="3:11">
      <c r="C186" s="21" t="s">
        <v>234</v>
      </c>
      <c r="E186" s="21" t="s">
        <v>230</v>
      </c>
      <c r="K186" s="59">
        <f>(J86+J87+J96)*0.04*N2+M80+M103+M86+M84+M88+M94+M82</f>
        <v>-7000</v>
      </c>
    </row>
    <row r="187" spans="3:11">
      <c r="C187" s="21" t="s">
        <v>235</v>
      </c>
      <c r="E187" s="21" t="s">
        <v>230</v>
      </c>
      <c r="H187" s="59">
        <f>J181+A类!J96+T类!J145+M类!J180+Z类!J152+H类!J133+V类!J53+B类!J155+K类!J107+D类!J150+C类打底裤!J89+Q类!J95+L类!J74+E类!J124+F类!J75+G类!J129+N类!J98+J类!J33+W类!J26</f>
        <v>0</v>
      </c>
      <c r="K187" s="59">
        <f>M151+M153</f>
        <v>-4500</v>
      </c>
    </row>
    <row r="188" spans="3:11">
      <c r="H188" s="61"/>
      <c r="K188" s="59">
        <f>SUM(K183:K186)</f>
        <v>-52967</v>
      </c>
    </row>
    <row r="189" spans="3:11">
      <c r="C189" s="21" t="s">
        <v>236</v>
      </c>
      <c r="E189" s="21" t="s">
        <v>230</v>
      </c>
      <c r="K189" s="59">
        <f>J181*0.07*N2</f>
        <v>0</v>
      </c>
    </row>
    <row r="190" spans="3:11">
      <c r="K190" s="59">
        <f>K188+[1]A类!J94+[1]T类!J132+[1]Y类!J169+[1]Z类!J149+[1]Y类!I141+[1]Y类!J55+[1]Y类!J138+[1]Y类!J108+[1]Y类!J146+[1]MS类!J25+[1]C类刷头!J21+[1]C类打底裤!J94+[1]Y类!J93+[1]L类!J77+[1]G类!J125+[1]E类!J113</f>
        <v>-3600.9858853473602</v>
      </c>
    </row>
    <row r="191" spans="3:11">
      <c r="K191" s="65">
        <f>K183+K184+K185+K186+K187</f>
        <v>-57467</v>
      </c>
    </row>
    <row r="193" spans="11:11">
      <c r="K193" s="59">
        <f>K191+[1]A类!J95+[1]T类!J133+[1]Y类!J170+[1]Z类!J150+[1]Y类!I140+[1]Y类!J57+[1]Y类!J139+[1]Y类!J109+[1]Y类!J147+[1]MS类!J25+[1]C类打底裤!J95+[1]Y类!J94+[1]L类!J77+[1]G类!J126+[1]E类!J114+[1]Y类!J80+[1]J类!J34+[1]Y类!J65</f>
        <v>7459.9028309644618</v>
      </c>
    </row>
    <row r="194" spans="11:11">
      <c r="K194" s="59" t="e">
        <f>K191+[1]A类!J95+[1]T类!J132+#REF!+[1]Z类!J150+#REF!+#REF!+#REF!+#REF!+#REF!+[1]MS类!J25+[1]C类打底裤!J95+#REF!+[1]L类!J77+[1]G类!J126+[1]E类!J114+#REF!+[1]J类!J34+#REF!</f>
        <v>#REF!</v>
      </c>
    </row>
  </sheetData>
  <mergeCells count="8">
    <mergeCell ref="C162:C172"/>
    <mergeCell ref="C173:D178"/>
    <mergeCell ref="C3:C59"/>
    <mergeCell ref="C60:C79"/>
    <mergeCell ref="C80:C110"/>
    <mergeCell ref="C111:C148"/>
    <mergeCell ref="C149:C155"/>
    <mergeCell ref="C157:C161"/>
  </mergeCells>
  <phoneticPr fontId="37" type="noConversion"/>
  <conditionalFormatting sqref="E2">
    <cfRule type="containsText" dxfId="182" priority="160" operator="containsText" text="方泽斯">
      <formula>NOT(ISERROR(SEARCH("方泽斯",E2)))</formula>
    </cfRule>
  </conditionalFormatting>
  <conditionalFormatting sqref="E3">
    <cfRule type="containsText" dxfId="181" priority="152" operator="containsText" text="方泽斯">
      <formula>NOT(ISERROR(SEARCH("方泽斯",E3)))</formula>
    </cfRule>
  </conditionalFormatting>
  <conditionalFormatting sqref="E4">
    <cfRule type="containsText" dxfId="180" priority="151" operator="containsText" text="方泽斯">
      <formula>NOT(ISERROR(SEARCH("方泽斯",E4)))</formula>
    </cfRule>
  </conditionalFormatting>
  <conditionalFormatting sqref="E5">
    <cfRule type="containsText" dxfId="179" priority="150" operator="containsText" text="方泽斯">
      <formula>NOT(ISERROR(SEARCH("方泽斯",E5)))</formula>
    </cfRule>
  </conditionalFormatting>
  <conditionalFormatting sqref="E6">
    <cfRule type="containsText" dxfId="178" priority="175" operator="containsText" text="方泽斯">
      <formula>NOT(ISERROR(SEARCH("方泽斯",E6)))</formula>
    </cfRule>
  </conditionalFormatting>
  <conditionalFormatting sqref="E7">
    <cfRule type="containsText" dxfId="177" priority="149" operator="containsText" text="方泽斯">
      <formula>NOT(ISERROR(SEARCH("方泽斯",E7)))</formula>
    </cfRule>
  </conditionalFormatting>
  <conditionalFormatting sqref="E8">
    <cfRule type="containsText" dxfId="176" priority="148" operator="containsText" text="方泽斯">
      <formula>NOT(ISERROR(SEARCH("方泽斯",E8)))</formula>
    </cfRule>
  </conditionalFormatting>
  <conditionalFormatting sqref="E9">
    <cfRule type="containsText" dxfId="175" priority="147" operator="containsText" text="方泽斯">
      <formula>NOT(ISERROR(SEARCH("方泽斯",E9)))</formula>
    </cfRule>
  </conditionalFormatting>
  <conditionalFormatting sqref="E10">
    <cfRule type="containsText" dxfId="174" priority="3" operator="containsText" text="方泽斯">
      <formula>NOT(ISERROR(SEARCH("方泽斯",E10)))</formula>
    </cfRule>
  </conditionalFormatting>
  <conditionalFormatting sqref="E11">
    <cfRule type="containsText" dxfId="173" priority="2" operator="containsText" text="方泽斯">
      <formula>NOT(ISERROR(SEARCH("方泽斯",E11)))</formula>
    </cfRule>
  </conditionalFormatting>
  <conditionalFormatting sqref="E12">
    <cfRule type="containsText" dxfId="172" priority="1" operator="containsText" text="方泽斯">
      <formula>NOT(ISERROR(SEARCH("方泽斯",E12)))</formula>
    </cfRule>
  </conditionalFormatting>
  <conditionalFormatting sqref="E13">
    <cfRule type="containsText" dxfId="171" priority="141" operator="containsText" text="方泽斯">
      <formula>NOT(ISERROR(SEARCH("方泽斯",E13)))</formula>
    </cfRule>
  </conditionalFormatting>
  <conditionalFormatting sqref="E14">
    <cfRule type="containsText" dxfId="170" priority="155" operator="containsText" text="方泽斯">
      <formula>NOT(ISERROR(SEARCH("方泽斯",E14)))</formula>
    </cfRule>
  </conditionalFormatting>
  <conditionalFormatting sqref="E15">
    <cfRule type="containsText" dxfId="169" priority="174" operator="containsText" text="方泽斯">
      <formula>NOT(ISERROR(SEARCH("方泽斯",E15)))</formula>
    </cfRule>
  </conditionalFormatting>
  <conditionalFormatting sqref="E16">
    <cfRule type="containsText" dxfId="168" priority="159" operator="containsText" text="方泽斯">
      <formula>NOT(ISERROR(SEARCH("方泽斯",E16)))</formula>
    </cfRule>
  </conditionalFormatting>
  <conditionalFormatting sqref="E17">
    <cfRule type="containsText" dxfId="167" priority="158" operator="containsText" text="方泽斯">
      <formula>NOT(ISERROR(SEARCH("方泽斯",E17)))</formula>
    </cfRule>
  </conditionalFormatting>
  <conditionalFormatting sqref="E23">
    <cfRule type="containsText" dxfId="166" priority="165" operator="containsText" text="方泽斯">
      <formula>NOT(ISERROR(SEARCH("方泽斯",E23)))</formula>
    </cfRule>
  </conditionalFormatting>
  <conditionalFormatting sqref="E29">
    <cfRule type="containsText" dxfId="165" priority="41" operator="containsText" text="方泽斯">
      <formula>NOT(ISERROR(SEARCH("方泽斯",E29)))</formula>
    </cfRule>
  </conditionalFormatting>
  <conditionalFormatting sqref="E30">
    <cfRule type="containsText" dxfId="164" priority="40" operator="containsText" text="方泽斯">
      <formula>NOT(ISERROR(SEARCH("方泽斯",E30)))</formula>
    </cfRule>
  </conditionalFormatting>
  <conditionalFormatting sqref="E31">
    <cfRule type="containsText" dxfId="163" priority="39" operator="containsText" text="方泽斯">
      <formula>NOT(ISERROR(SEARCH("方泽斯",E31)))</formula>
    </cfRule>
  </conditionalFormatting>
  <conditionalFormatting sqref="E32">
    <cfRule type="containsText" dxfId="162" priority="38" operator="containsText" text="方泽斯">
      <formula>NOT(ISERROR(SEARCH("方泽斯",E32)))</formula>
    </cfRule>
  </conditionalFormatting>
  <conditionalFormatting sqref="E38">
    <cfRule type="containsText" dxfId="161" priority="37" operator="containsText" text="方泽斯">
      <formula>NOT(ISERROR(SEARCH("方泽斯",E38)))</formula>
    </cfRule>
  </conditionalFormatting>
  <conditionalFormatting sqref="E39">
    <cfRule type="containsText" dxfId="160" priority="36" operator="containsText" text="方泽斯">
      <formula>NOT(ISERROR(SEARCH("方泽斯",E39)))</formula>
    </cfRule>
  </conditionalFormatting>
  <conditionalFormatting sqref="E44">
    <cfRule type="containsText" dxfId="159" priority="130" operator="containsText" text="方泽斯">
      <formula>NOT(ISERROR(SEARCH("方泽斯",E44)))</formula>
    </cfRule>
  </conditionalFormatting>
  <conditionalFormatting sqref="E46">
    <cfRule type="containsText" dxfId="158" priority="15" operator="containsText" text="方泽斯">
      <formula>NOT(ISERROR(SEARCH("方泽斯",E46)))</formula>
    </cfRule>
  </conditionalFormatting>
  <conditionalFormatting sqref="E47">
    <cfRule type="containsText" dxfId="157" priority="14" operator="containsText" text="方泽斯">
      <formula>NOT(ISERROR(SEARCH("方泽斯",E47)))</formula>
    </cfRule>
  </conditionalFormatting>
  <conditionalFormatting sqref="E48">
    <cfRule type="containsText" dxfId="156" priority="13" operator="containsText" text="方泽斯">
      <formula>NOT(ISERROR(SEARCH("方泽斯",E48)))</formula>
    </cfRule>
  </conditionalFormatting>
  <conditionalFormatting sqref="E49">
    <cfRule type="containsText" dxfId="155" priority="135" operator="containsText" text="方泽斯">
      <formula>NOT(ISERROR(SEARCH("方泽斯",E49)))</formula>
    </cfRule>
  </conditionalFormatting>
  <conditionalFormatting sqref="E50">
    <cfRule type="containsText" dxfId="154" priority="103" operator="containsText" text="方泽斯">
      <formula>NOT(ISERROR(SEARCH("方泽斯",E50)))</formula>
    </cfRule>
  </conditionalFormatting>
  <conditionalFormatting sqref="E51">
    <cfRule type="containsText" dxfId="153" priority="93" operator="containsText" text="方泽斯">
      <formula>NOT(ISERROR(SEARCH("方泽斯",E51)))</formula>
    </cfRule>
  </conditionalFormatting>
  <conditionalFormatting sqref="E54">
    <cfRule type="containsText" dxfId="152" priority="164" operator="containsText" text="方泽斯">
      <formula>NOT(ISERROR(SEARCH("方泽斯",E54)))</formula>
    </cfRule>
  </conditionalFormatting>
  <conditionalFormatting sqref="E55">
    <cfRule type="containsText" dxfId="151" priority="163" operator="containsText" text="方泽斯">
      <formula>NOT(ISERROR(SEARCH("方泽斯",E55)))</formula>
    </cfRule>
  </conditionalFormatting>
  <conditionalFormatting sqref="E56">
    <cfRule type="containsText" dxfId="150" priority="162" operator="containsText" text="方泽斯">
      <formula>NOT(ISERROR(SEARCH("方泽斯",E56)))</formula>
    </cfRule>
  </conditionalFormatting>
  <conditionalFormatting sqref="E59">
    <cfRule type="containsText" dxfId="149" priority="91" operator="containsText" text="方泽斯">
      <formula>NOT(ISERROR(SEARCH("方泽斯",E59)))</formula>
    </cfRule>
  </conditionalFormatting>
  <conditionalFormatting sqref="E60">
    <cfRule type="containsText" dxfId="148" priority="69" operator="containsText" text="方泽斯">
      <formula>NOT(ISERROR(SEARCH("方泽斯",E60)))</formula>
    </cfRule>
  </conditionalFormatting>
  <conditionalFormatting sqref="E61">
    <cfRule type="containsText" dxfId="147" priority="68" operator="containsText" text="方泽斯">
      <formula>NOT(ISERROR(SEARCH("方泽斯",E61)))</formula>
    </cfRule>
  </conditionalFormatting>
  <conditionalFormatting sqref="E64">
    <cfRule type="containsText" dxfId="146" priority="140" operator="containsText" text="方泽斯">
      <formula>NOT(ISERROR(SEARCH("方泽斯",E64)))</formula>
    </cfRule>
  </conditionalFormatting>
  <conditionalFormatting sqref="E65">
    <cfRule type="containsText" dxfId="145" priority="67" operator="containsText" text="方泽斯">
      <formula>NOT(ISERROR(SEARCH("方泽斯",E65)))</formula>
    </cfRule>
  </conditionalFormatting>
  <conditionalFormatting sqref="E66">
    <cfRule type="containsText" dxfId="144" priority="66" operator="containsText" text="方泽斯">
      <formula>NOT(ISERROR(SEARCH("方泽斯",E66)))</formula>
    </cfRule>
  </conditionalFormatting>
  <conditionalFormatting sqref="E67">
    <cfRule type="containsText" dxfId="143" priority="131" operator="containsText" text="方泽斯">
      <formula>NOT(ISERROR(SEARCH("方泽斯",E67)))</formula>
    </cfRule>
  </conditionalFormatting>
  <conditionalFormatting sqref="E68">
    <cfRule type="containsText" dxfId="142" priority="75" operator="containsText" text="方泽斯">
      <formula>NOT(ISERROR(SEARCH("方泽斯",E68)))</formula>
    </cfRule>
  </conditionalFormatting>
  <conditionalFormatting sqref="E69">
    <cfRule type="containsText" dxfId="141" priority="74" operator="containsText" text="方泽斯">
      <formula>NOT(ISERROR(SEARCH("方泽斯",E69)))</formula>
    </cfRule>
  </conditionalFormatting>
  <conditionalFormatting sqref="E70">
    <cfRule type="containsText" dxfId="140" priority="12" operator="containsText" text="方泽斯">
      <formula>NOT(ISERROR(SEARCH("方泽斯",E70)))</formula>
    </cfRule>
  </conditionalFormatting>
  <conditionalFormatting sqref="E71">
    <cfRule type="containsText" dxfId="139" priority="11" operator="containsText" text="方泽斯">
      <formula>NOT(ISERROR(SEARCH("方泽斯",E71)))</formula>
    </cfRule>
  </conditionalFormatting>
  <conditionalFormatting sqref="E72">
    <cfRule type="containsText" dxfId="138" priority="23" operator="containsText" text="方泽斯">
      <formula>NOT(ISERROR(SEARCH("方泽斯",E72)))</formula>
    </cfRule>
  </conditionalFormatting>
  <conditionalFormatting sqref="E73">
    <cfRule type="containsText" dxfId="137" priority="22" operator="containsText" text="方泽斯">
      <formula>NOT(ISERROR(SEARCH("方泽斯",E73)))</formula>
    </cfRule>
  </conditionalFormatting>
  <conditionalFormatting sqref="E74">
    <cfRule type="containsText" dxfId="136" priority="21" operator="containsText" text="方泽斯">
      <formula>NOT(ISERROR(SEARCH("方泽斯",E74)))</formula>
    </cfRule>
  </conditionalFormatting>
  <conditionalFormatting sqref="E75">
    <cfRule type="containsText" dxfId="135" priority="20" operator="containsText" text="方泽斯">
      <formula>NOT(ISERROR(SEARCH("方泽斯",E75)))</formula>
    </cfRule>
  </conditionalFormatting>
  <conditionalFormatting sqref="E76">
    <cfRule type="containsText" dxfId="134" priority="27" operator="containsText" text="方泽斯">
      <formula>NOT(ISERROR(SEARCH("方泽斯",E76)))</formula>
    </cfRule>
  </conditionalFormatting>
  <conditionalFormatting sqref="E77">
    <cfRule type="containsText" dxfId="133" priority="26" operator="containsText" text="方泽斯">
      <formula>NOT(ISERROR(SEARCH("方泽斯",E77)))</formula>
    </cfRule>
  </conditionalFormatting>
  <conditionalFormatting sqref="E78">
    <cfRule type="containsText" dxfId="132" priority="10" operator="containsText" text="方泽斯">
      <formula>NOT(ISERROR(SEARCH("方泽斯",E78)))</formula>
    </cfRule>
  </conditionalFormatting>
  <conditionalFormatting sqref="E79">
    <cfRule type="containsText" dxfId="131" priority="9" operator="containsText" text="方泽斯">
      <formula>NOT(ISERROR(SEARCH("方泽斯",E79)))</formula>
    </cfRule>
  </conditionalFormatting>
  <conditionalFormatting sqref="E80">
    <cfRule type="containsText" dxfId="130" priority="54" operator="containsText" text="方泽斯">
      <formula>NOT(ISERROR(SEARCH("方泽斯",E80)))</formula>
    </cfRule>
  </conditionalFormatting>
  <conditionalFormatting sqref="E81">
    <cfRule type="containsText" dxfId="129" priority="53" operator="containsText" text="方泽斯">
      <formula>NOT(ISERROR(SEARCH("方泽斯",E81)))</formula>
    </cfRule>
  </conditionalFormatting>
  <conditionalFormatting sqref="E82">
    <cfRule type="containsText" dxfId="128" priority="65" operator="containsText" text="方泽斯">
      <formula>NOT(ISERROR(SEARCH("方泽斯",E82)))</formula>
    </cfRule>
  </conditionalFormatting>
  <conditionalFormatting sqref="E83">
    <cfRule type="containsText" dxfId="127" priority="64" operator="containsText" text="方泽斯">
      <formula>NOT(ISERROR(SEARCH("方泽斯",E83)))</formula>
    </cfRule>
  </conditionalFormatting>
  <conditionalFormatting sqref="E84">
    <cfRule type="containsText" dxfId="126" priority="19" operator="containsText" text="方泽斯">
      <formula>NOT(ISERROR(SEARCH("方泽斯",E84)))</formula>
    </cfRule>
  </conditionalFormatting>
  <conditionalFormatting sqref="E85">
    <cfRule type="containsText" dxfId="125" priority="18" operator="containsText" text="方泽斯">
      <formula>NOT(ISERROR(SEARCH("方泽斯",E85)))</formula>
    </cfRule>
  </conditionalFormatting>
  <conditionalFormatting sqref="E88">
    <cfRule type="containsText" dxfId="124" priority="138" operator="containsText" text="方泽斯">
      <formula>NOT(ISERROR(SEARCH("方泽斯",E88)))</formula>
    </cfRule>
  </conditionalFormatting>
  <conditionalFormatting sqref="E89">
    <cfRule type="containsText" dxfId="123" priority="107" operator="containsText" text="方泽斯">
      <formula>NOT(ISERROR(SEARCH("方泽斯",E89)))</formula>
    </cfRule>
  </conditionalFormatting>
  <conditionalFormatting sqref="E90">
    <cfRule type="containsText" dxfId="122" priority="116" operator="containsText" text="方泽斯">
      <formula>NOT(ISERROR(SEARCH("方泽斯",E90)))</formula>
    </cfRule>
  </conditionalFormatting>
  <conditionalFormatting sqref="E91">
    <cfRule type="containsText" dxfId="121" priority="115" operator="containsText" text="方泽斯">
      <formula>NOT(ISERROR(SEARCH("方泽斯",E91)))</formula>
    </cfRule>
  </conditionalFormatting>
  <conditionalFormatting sqref="E92">
    <cfRule type="containsText" dxfId="120" priority="114" operator="containsText" text="方泽斯">
      <formula>NOT(ISERROR(SEARCH("方泽斯",E92)))</formula>
    </cfRule>
  </conditionalFormatting>
  <conditionalFormatting sqref="E93">
    <cfRule type="containsText" dxfId="119" priority="106" operator="containsText" text="方泽斯">
      <formula>NOT(ISERROR(SEARCH("方泽斯",E93)))</formula>
    </cfRule>
  </conditionalFormatting>
  <conditionalFormatting sqref="E94">
    <cfRule type="containsText" dxfId="118" priority="73" operator="containsText" text="方泽斯">
      <formula>NOT(ISERROR(SEARCH("方泽斯",E94)))</formula>
    </cfRule>
  </conditionalFormatting>
  <conditionalFormatting sqref="E95">
    <cfRule type="containsText" dxfId="117" priority="72" operator="containsText" text="方泽斯">
      <formula>NOT(ISERROR(SEARCH("方泽斯",E95)))</formula>
    </cfRule>
  </conditionalFormatting>
  <conditionalFormatting sqref="E98">
    <cfRule type="containsText" dxfId="116" priority="133" operator="containsText" text="方泽斯">
      <formula>NOT(ISERROR(SEARCH("方泽斯",E98)))</formula>
    </cfRule>
  </conditionalFormatting>
  <conditionalFormatting sqref="E99">
    <cfRule type="containsText" dxfId="115" priority="132" operator="containsText" text="方泽斯">
      <formula>NOT(ISERROR(SEARCH("方泽斯",E99)))</formula>
    </cfRule>
  </conditionalFormatting>
  <conditionalFormatting sqref="E100">
    <cfRule type="containsText" dxfId="114" priority="129" operator="containsText" text="方泽斯">
      <formula>NOT(ISERROR(SEARCH("方泽斯",E100)))</formula>
    </cfRule>
  </conditionalFormatting>
  <conditionalFormatting sqref="E103">
    <cfRule type="containsText" dxfId="113" priority="51" operator="containsText" text="方泽斯">
      <formula>NOT(ISERROR(SEARCH("方泽斯",E103)))</formula>
    </cfRule>
  </conditionalFormatting>
  <conditionalFormatting sqref="E104">
    <cfRule type="containsText" dxfId="112" priority="50" operator="containsText" text="方泽斯">
      <formula>NOT(ISERROR(SEARCH("方泽斯",E104)))</formula>
    </cfRule>
  </conditionalFormatting>
  <conditionalFormatting sqref="E105">
    <cfRule type="containsText" dxfId="111" priority="108" operator="containsText" text="方泽斯">
      <formula>NOT(ISERROR(SEARCH("方泽斯",E105)))</formula>
    </cfRule>
  </conditionalFormatting>
  <conditionalFormatting sqref="E106">
    <cfRule type="containsText" dxfId="110" priority="87" operator="containsText" text="方泽斯">
      <formula>NOT(ISERROR(SEARCH("方泽斯",E106)))</formula>
    </cfRule>
  </conditionalFormatting>
  <conditionalFormatting sqref="E107">
    <cfRule type="containsText" dxfId="109" priority="17" operator="containsText" text="方泽斯">
      <formula>NOT(ISERROR(SEARCH("方泽斯",E107)))</formula>
    </cfRule>
  </conditionalFormatting>
  <conditionalFormatting sqref="E108">
    <cfRule type="containsText" dxfId="108" priority="16" operator="containsText" text="方泽斯">
      <formula>NOT(ISERROR(SEARCH("方泽斯",E108)))</formula>
    </cfRule>
  </conditionalFormatting>
  <conditionalFormatting sqref="E109">
    <cfRule type="containsText" dxfId="107" priority="63" operator="containsText" text="方泽斯">
      <formula>NOT(ISERROR(SEARCH("方泽斯",E109)))</formula>
    </cfRule>
  </conditionalFormatting>
  <conditionalFormatting sqref="E110">
    <cfRule type="containsText" dxfId="106" priority="62" operator="containsText" text="方泽斯">
      <formula>NOT(ISERROR(SEARCH("方泽斯",E110)))</formula>
    </cfRule>
  </conditionalFormatting>
  <conditionalFormatting sqref="E111">
    <cfRule type="containsText" dxfId="105" priority="8" operator="containsText" text="方泽斯">
      <formula>NOT(ISERROR(SEARCH("方泽斯",E111)))</formula>
    </cfRule>
  </conditionalFormatting>
  <conditionalFormatting sqref="E112">
    <cfRule type="containsText" dxfId="104" priority="7" operator="containsText" text="方泽斯">
      <formula>NOT(ISERROR(SEARCH("方泽斯",E112)))</formula>
    </cfRule>
  </conditionalFormatting>
  <conditionalFormatting sqref="E113">
    <cfRule type="containsText" dxfId="103" priority="118" operator="containsText" text="方泽斯">
      <formula>NOT(ISERROR(SEARCH("方泽斯",E113)))</formula>
    </cfRule>
  </conditionalFormatting>
  <conditionalFormatting sqref="E114">
    <cfRule type="containsText" dxfId="102" priority="77" operator="containsText" text="方泽斯">
      <formula>NOT(ISERROR(SEARCH("方泽斯",E114)))</formula>
    </cfRule>
  </conditionalFormatting>
  <conditionalFormatting sqref="E115">
    <cfRule type="containsText" dxfId="101" priority="76" operator="containsText" text="方泽斯">
      <formula>NOT(ISERROR(SEARCH("方泽斯",E115)))</formula>
    </cfRule>
  </conditionalFormatting>
  <conditionalFormatting sqref="E116">
    <cfRule type="containsText" dxfId="100" priority="120" operator="containsText" text="方泽斯">
      <formula>NOT(ISERROR(SEARCH("方泽斯",E116)))</formula>
    </cfRule>
  </conditionalFormatting>
  <conditionalFormatting sqref="E117">
    <cfRule type="containsText" dxfId="99" priority="78" operator="containsText" text="方泽斯">
      <formula>NOT(ISERROR(SEARCH("方泽斯",E117)))</formula>
    </cfRule>
  </conditionalFormatting>
  <conditionalFormatting sqref="E118">
    <cfRule type="containsText" dxfId="98" priority="6" operator="containsText" text="方泽斯">
      <formula>NOT(ISERROR(SEARCH("方泽斯",E118)))</formula>
    </cfRule>
  </conditionalFormatting>
  <conditionalFormatting sqref="E119">
    <cfRule type="containsText" dxfId="97" priority="5" operator="containsText" text="方泽斯">
      <formula>NOT(ISERROR(SEARCH("方泽斯",E119)))</formula>
    </cfRule>
  </conditionalFormatting>
  <conditionalFormatting sqref="E120">
    <cfRule type="containsText" dxfId="96" priority="4" operator="containsText" text="方泽斯">
      <formula>NOT(ISERROR(SEARCH("方泽斯",E120)))</formula>
    </cfRule>
  </conditionalFormatting>
  <conditionalFormatting sqref="E121">
    <cfRule type="containsText" dxfId="95" priority="154" operator="containsText" text="方泽斯">
      <formula>NOT(ISERROR(SEARCH("方泽斯",E121)))</formula>
    </cfRule>
  </conditionalFormatting>
  <conditionalFormatting sqref="E122">
    <cfRule type="containsText" dxfId="94" priority="153" operator="containsText" text="方泽斯">
      <formula>NOT(ISERROR(SEARCH("方泽斯",E122)))</formula>
    </cfRule>
  </conditionalFormatting>
  <conditionalFormatting sqref="E123">
    <cfRule type="containsText" dxfId="93" priority="29" operator="containsText" text="方泽斯">
      <formula>NOT(ISERROR(SEARCH("方泽斯",E123)))</formula>
    </cfRule>
  </conditionalFormatting>
  <conditionalFormatting sqref="E124">
    <cfRule type="containsText" dxfId="92" priority="31" operator="containsText" text="方泽斯">
      <formula>NOT(ISERROR(SEARCH("方泽斯",E124)))</formula>
    </cfRule>
  </conditionalFormatting>
  <conditionalFormatting sqref="E125">
    <cfRule type="containsText" dxfId="91" priority="30" operator="containsText" text="方泽斯">
      <formula>NOT(ISERROR(SEARCH("方泽斯",E125)))</formula>
    </cfRule>
  </conditionalFormatting>
  <conditionalFormatting sqref="E126">
    <cfRule type="containsText" dxfId="90" priority="168" operator="containsText" text="方泽斯">
      <formula>NOT(ISERROR(SEARCH("方泽斯",E126)))</formula>
    </cfRule>
  </conditionalFormatting>
  <conditionalFormatting sqref="E127">
    <cfRule type="containsText" dxfId="89" priority="33" operator="containsText" text="方泽斯">
      <formula>NOT(ISERROR(SEARCH("方泽斯",E127)))</formula>
    </cfRule>
  </conditionalFormatting>
  <conditionalFormatting sqref="E128">
    <cfRule type="containsText" dxfId="88" priority="47" operator="containsText" text="方泽斯">
      <formula>NOT(ISERROR(SEARCH("方泽斯",E128)))</formula>
    </cfRule>
  </conditionalFormatting>
  <conditionalFormatting sqref="E129">
    <cfRule type="containsText" dxfId="87" priority="49" operator="containsText" text="方泽斯">
      <formula>NOT(ISERROR(SEARCH("方泽斯",E129)))</formula>
    </cfRule>
  </conditionalFormatting>
  <conditionalFormatting sqref="E130">
    <cfRule type="containsText" dxfId="86" priority="48" operator="containsText" text="方泽斯">
      <formula>NOT(ISERROR(SEARCH("方泽斯",E130)))</formula>
    </cfRule>
  </conditionalFormatting>
  <conditionalFormatting sqref="E131">
    <cfRule type="containsText" dxfId="85" priority="167" operator="containsText" text="方泽斯">
      <formula>NOT(ISERROR(SEARCH("方泽斯",E131)))</formula>
    </cfRule>
  </conditionalFormatting>
  <conditionalFormatting sqref="E132">
    <cfRule type="containsText" dxfId="84" priority="123" operator="containsText" text="方泽斯">
      <formula>NOT(ISERROR(SEARCH("方泽斯",E132)))</formula>
    </cfRule>
  </conditionalFormatting>
  <conditionalFormatting sqref="E133">
    <cfRule type="containsText" dxfId="83" priority="122" operator="containsText" text="方泽斯">
      <formula>NOT(ISERROR(SEARCH("方泽斯",E133)))</formula>
    </cfRule>
  </conditionalFormatting>
  <conditionalFormatting sqref="E134">
    <cfRule type="containsText" dxfId="82" priority="121" operator="containsText" text="方泽斯">
      <formula>NOT(ISERROR(SEARCH("方泽斯",E134)))</formula>
    </cfRule>
  </conditionalFormatting>
  <conditionalFormatting sqref="E135">
    <cfRule type="containsText" dxfId="81" priority="134" operator="containsText" text="方泽斯">
      <formula>NOT(ISERROR(SEARCH("方泽斯",E135)))</formula>
    </cfRule>
  </conditionalFormatting>
  <conditionalFormatting sqref="E136">
    <cfRule type="containsText" dxfId="80" priority="100" operator="containsText" text="方泽斯">
      <formula>NOT(ISERROR(SEARCH("方泽斯",E136)))</formula>
    </cfRule>
  </conditionalFormatting>
  <conditionalFormatting sqref="E137">
    <cfRule type="containsText" dxfId="79" priority="99" operator="containsText" text="方泽斯">
      <formula>NOT(ISERROR(SEARCH("方泽斯",E137)))</formula>
    </cfRule>
  </conditionalFormatting>
  <conditionalFormatting sqref="E138">
    <cfRule type="containsText" dxfId="78" priority="98" operator="containsText" text="方泽斯">
      <formula>NOT(ISERROR(SEARCH("方泽斯",E138)))</formula>
    </cfRule>
  </conditionalFormatting>
  <conditionalFormatting sqref="E139">
    <cfRule type="containsText" dxfId="77" priority="32" operator="containsText" text="方泽斯">
      <formula>NOT(ISERROR(SEARCH("方泽斯",E139)))</formula>
    </cfRule>
  </conditionalFormatting>
  <conditionalFormatting sqref="E140">
    <cfRule type="containsText" dxfId="76" priority="79" operator="containsText" text="方泽斯">
      <formula>NOT(ISERROR(SEARCH("方泽斯",E140)))</formula>
    </cfRule>
  </conditionalFormatting>
  <conditionalFormatting sqref="E141">
    <cfRule type="containsText" dxfId="75" priority="61" operator="containsText" text="方泽斯">
      <formula>NOT(ISERROR(SEARCH("方泽斯",E141)))</formula>
    </cfRule>
  </conditionalFormatting>
  <conditionalFormatting sqref="E142">
    <cfRule type="containsText" dxfId="74" priority="60" operator="containsText" text="方泽斯">
      <formula>NOT(ISERROR(SEARCH("方泽斯",E142)))</formula>
    </cfRule>
  </conditionalFormatting>
  <conditionalFormatting sqref="E143">
    <cfRule type="containsText" dxfId="73" priority="59" operator="containsText" text="方泽斯">
      <formula>NOT(ISERROR(SEARCH("方泽斯",E143)))</formula>
    </cfRule>
  </conditionalFormatting>
  <conditionalFormatting sqref="E144">
    <cfRule type="containsText" dxfId="72" priority="58" operator="containsText" text="方泽斯">
      <formula>NOT(ISERROR(SEARCH("方泽斯",E144)))</formula>
    </cfRule>
  </conditionalFormatting>
  <conditionalFormatting sqref="E145">
    <cfRule type="containsText" dxfId="71" priority="57" operator="containsText" text="方泽斯">
      <formula>NOT(ISERROR(SEARCH("方泽斯",E145)))</formula>
    </cfRule>
  </conditionalFormatting>
  <conditionalFormatting sqref="E146">
    <cfRule type="containsText" dxfId="70" priority="170" operator="containsText" text="方泽斯">
      <formula>NOT(ISERROR(SEARCH("方泽斯",E146)))</formula>
    </cfRule>
  </conditionalFormatting>
  <conditionalFormatting sqref="E147">
    <cfRule type="containsText" dxfId="69" priority="172" operator="containsText" text="方泽斯">
      <formula>NOT(ISERROR(SEARCH("方泽斯",E147)))</formula>
    </cfRule>
  </conditionalFormatting>
  <conditionalFormatting sqref="E148">
    <cfRule type="containsText" dxfId="68" priority="171" operator="containsText" text="方泽斯">
      <formula>NOT(ISERROR(SEARCH("方泽斯",E148)))</formula>
    </cfRule>
  </conditionalFormatting>
  <conditionalFormatting sqref="E149">
    <cfRule type="containsText" dxfId="67" priority="173" operator="containsText" text="方泽斯">
      <formula>NOT(ISERROR(SEARCH("方泽斯",E149)))</formula>
    </cfRule>
  </conditionalFormatting>
  <conditionalFormatting sqref="E150">
    <cfRule type="containsText" dxfId="66" priority="56" operator="containsText" text="方泽斯">
      <formula>NOT(ISERROR(SEARCH("方泽斯",E150)))</formula>
    </cfRule>
  </conditionalFormatting>
  <conditionalFormatting sqref="E151">
    <cfRule type="containsText" dxfId="65" priority="144" operator="containsText" text="方泽斯">
      <formula>NOT(ISERROR(SEARCH("方泽斯",E151)))</formula>
    </cfRule>
  </conditionalFormatting>
  <conditionalFormatting sqref="E152">
    <cfRule type="containsText" dxfId="64" priority="55" operator="containsText" text="方泽斯">
      <formula>NOT(ISERROR(SEARCH("方泽斯",E152)))</formula>
    </cfRule>
  </conditionalFormatting>
  <conditionalFormatting sqref="E155">
    <cfRule type="containsText" dxfId="63" priority="117" operator="containsText" text="方泽斯">
      <formula>NOT(ISERROR(SEARCH("方泽斯",E155)))</formula>
    </cfRule>
  </conditionalFormatting>
  <conditionalFormatting sqref="E156">
    <cfRule type="containsText" dxfId="62" priority="145" operator="containsText" text="方泽斯">
      <formula>NOT(ISERROR(SEARCH("方泽斯",E156)))</formula>
    </cfRule>
  </conditionalFormatting>
  <conditionalFormatting sqref="E157">
    <cfRule type="containsText" dxfId="61" priority="169" operator="containsText" text="方泽斯">
      <formula>NOT(ISERROR(SEARCH("方泽斯",E157)))</formula>
    </cfRule>
  </conditionalFormatting>
  <conditionalFormatting sqref="E158">
    <cfRule type="containsText" dxfId="60" priority="88" operator="containsText" text="方泽斯">
      <formula>NOT(ISERROR(SEARCH("方泽斯",E158)))</formula>
    </cfRule>
  </conditionalFormatting>
  <conditionalFormatting sqref="E159">
    <cfRule type="containsText" dxfId="59" priority="105" operator="containsText" text="方泽斯">
      <formula>NOT(ISERROR(SEARCH("方泽斯",E159)))</formula>
    </cfRule>
  </conditionalFormatting>
  <conditionalFormatting sqref="E160">
    <cfRule type="containsText" dxfId="58" priority="157" operator="containsText" text="方泽斯">
      <formula>NOT(ISERROR(SEARCH("方泽斯",E160)))</formula>
    </cfRule>
  </conditionalFormatting>
  <conditionalFormatting sqref="E164">
    <cfRule type="containsText" dxfId="57" priority="102" operator="containsText" text="方泽斯">
      <formula>NOT(ISERROR(SEARCH("方泽斯",E164)))</formula>
    </cfRule>
  </conditionalFormatting>
  <conditionalFormatting sqref="E166">
    <cfRule type="containsText" dxfId="56" priority="101" operator="containsText" text="方泽斯">
      <formula>NOT(ISERROR(SEARCH("方泽斯",E166)))</formula>
    </cfRule>
  </conditionalFormatting>
  <conditionalFormatting sqref="E167">
    <cfRule type="containsText" dxfId="55" priority="113" operator="containsText" text="方泽斯">
      <formula>NOT(ISERROR(SEARCH("方泽斯",E167)))</formula>
    </cfRule>
  </conditionalFormatting>
  <conditionalFormatting sqref="E168">
    <cfRule type="containsText" dxfId="54" priority="104" operator="containsText" text="方泽斯">
      <formula>NOT(ISERROR(SEARCH("方泽斯",E168)))</formula>
    </cfRule>
  </conditionalFormatting>
  <conditionalFormatting sqref="E169">
    <cfRule type="containsText" dxfId="53" priority="112" operator="containsText" text="方泽斯">
      <formula>NOT(ISERROR(SEARCH("方泽斯",E169)))</formula>
    </cfRule>
  </conditionalFormatting>
  <conditionalFormatting sqref="E170">
    <cfRule type="containsText" dxfId="52" priority="94" operator="containsText" text="方泽斯">
      <formula>NOT(ISERROR(SEARCH("方泽斯",E170)))</formula>
    </cfRule>
  </conditionalFormatting>
  <conditionalFormatting sqref="E52:E53">
    <cfRule type="containsText" dxfId="51" priority="92" operator="containsText" text="方泽斯">
      <formula>NOT(ISERROR(SEARCH("方泽斯",E52)))</formula>
    </cfRule>
  </conditionalFormatting>
  <conditionalFormatting sqref="E57:E58">
    <cfRule type="containsText" dxfId="50" priority="161" operator="containsText" text="方泽斯">
      <formula>NOT(ISERROR(SEARCH("方泽斯",E57)))</formula>
    </cfRule>
  </conditionalFormatting>
  <conditionalFormatting sqref="E62:E63">
    <cfRule type="containsText" dxfId="49" priority="139" operator="containsText" text="方泽斯">
      <formula>NOT(ISERROR(SEARCH("方泽斯",E62)))</formula>
    </cfRule>
  </conditionalFormatting>
  <conditionalFormatting sqref="E86:E87">
    <cfRule type="containsText" dxfId="48" priority="109" operator="containsText" text="方泽斯">
      <formula>NOT(ISERROR(SEARCH("方泽斯",E86)))</formula>
    </cfRule>
  </conditionalFormatting>
  <conditionalFormatting sqref="E96:E97">
    <cfRule type="containsText" dxfId="47" priority="146" operator="containsText" text="方泽斯">
      <formula>NOT(ISERROR(SEARCH("方泽斯",E96)))</formula>
    </cfRule>
  </conditionalFormatting>
  <conditionalFormatting sqref="E101:E102">
    <cfRule type="containsText" dxfId="46" priority="52" operator="containsText" text="方泽斯">
      <formula>NOT(ISERROR(SEARCH("方泽斯",E101)))</formula>
    </cfRule>
  </conditionalFormatting>
  <conditionalFormatting sqref="E196:E65536">
    <cfRule type="containsText" dxfId="45" priority="177" operator="containsText" text="方泽斯">
      <formula>NOT(ISERROR(SEARCH("方泽斯",E196)))</formula>
    </cfRule>
  </conditionalFormatting>
  <conditionalFormatting sqref="E1 E188 E18:E22 E190:E195 E24:E28 E173:E182 E33:E35 E153:E154 E41:E43 E185 E45">
    <cfRule type="containsText" dxfId="44" priority="176" operator="containsText" text="方泽斯">
      <formula>NOT(ISERROR(SEARCH("方泽斯",E1)))</formula>
    </cfRule>
  </conditionalFormatting>
  <conditionalFormatting sqref="E161 E165 E163">
    <cfRule type="containsText" dxfId="43" priority="128" operator="containsText" text="方泽斯">
      <formula>NOT(ISERROR(SEARCH("方泽斯",E161)))</formula>
    </cfRule>
  </conditionalFormatting>
  <pageMargins left="0.79000000000000015" right="0" top="0" bottom="0" header="0" footer="0"/>
  <pageSetup paperSize="9" scale="31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>
  <sheetPr enableFormatConditionsCalculation="0">
    <tabColor rgb="FF92D050"/>
    <pageSetUpPr fitToPage="1"/>
  </sheetPr>
  <dimension ref="A1:Y161"/>
  <sheetViews>
    <sheetView topLeftCell="C37" zoomScaleSheetLayoutView="100" workbookViewId="0">
      <selection activeCell="D10" sqref="D10"/>
    </sheetView>
  </sheetViews>
  <sheetFormatPr defaultRowHeight="13.5"/>
  <cols>
    <col min="1" max="2" width="9.75" style="21" hidden="1" customWidth="1"/>
    <col min="3" max="3" width="9" style="21"/>
    <col min="4" max="4" width="11.25" style="21" customWidth="1"/>
    <col min="5" max="5" width="9" style="21" customWidth="1"/>
    <col min="6" max="6" width="22.125" style="21" customWidth="1"/>
    <col min="7" max="7" width="14.75" style="59" customWidth="1"/>
    <col min="8" max="8" width="11.625" style="60" customWidth="1"/>
    <col min="9" max="9" width="15" style="61" customWidth="1"/>
    <col min="10" max="10" width="13.625" style="59" customWidth="1"/>
    <col min="11" max="11" width="15.625" style="59" customWidth="1"/>
    <col min="12" max="12" width="10.875" style="59" customWidth="1"/>
    <col min="13" max="13" width="11.5" style="59" customWidth="1"/>
    <col min="14" max="14" width="10.5" style="59" customWidth="1"/>
    <col min="15" max="15" width="15.75" style="21" customWidth="1"/>
    <col min="16" max="16384" width="9" style="21"/>
  </cols>
  <sheetData>
    <row r="1" spans="1:25">
      <c r="C1" s="21" t="s">
        <v>395</v>
      </c>
    </row>
    <row r="2" spans="1:25" s="22" customFormat="1" ht="21" customHeight="1">
      <c r="A2" s="24"/>
      <c r="B2" s="24"/>
      <c r="C2" s="25" t="s">
        <v>1</v>
      </c>
      <c r="D2" s="25" t="s">
        <v>2</v>
      </c>
      <c r="E2" s="25" t="s">
        <v>396</v>
      </c>
      <c r="F2" s="26" t="s">
        <v>3</v>
      </c>
      <c r="G2" s="27" t="s">
        <v>4</v>
      </c>
      <c r="H2" s="28" t="s">
        <v>5</v>
      </c>
      <c r="I2" s="29" t="s">
        <v>6</v>
      </c>
      <c r="J2" s="29" t="s">
        <v>7</v>
      </c>
      <c r="K2" s="38" t="s">
        <v>8</v>
      </c>
      <c r="L2" s="39"/>
      <c r="M2" s="40" t="s">
        <v>9</v>
      </c>
      <c r="N2" s="41">
        <v>7.01</v>
      </c>
      <c r="O2" s="42"/>
      <c r="P2" s="43"/>
      <c r="Q2" s="44"/>
      <c r="R2" s="45"/>
      <c r="S2" s="45"/>
      <c r="W2" s="46"/>
      <c r="X2" s="46"/>
      <c r="Y2" s="46"/>
    </row>
    <row r="3" spans="1:25">
      <c r="A3" s="64">
        <v>43556</v>
      </c>
      <c r="B3" s="21" t="s">
        <v>395</v>
      </c>
      <c r="C3" s="105" t="s">
        <v>10</v>
      </c>
      <c r="D3" s="21" t="s">
        <v>11</v>
      </c>
      <c r="E3" s="21" t="s">
        <v>298</v>
      </c>
      <c r="F3" s="33" t="s">
        <v>299</v>
      </c>
      <c r="G3" s="74"/>
      <c r="H3" s="54"/>
      <c r="I3" s="67"/>
      <c r="J3" s="57">
        <f t="shared" ref="J3:J66" si="0">G3*H3*1-I3</f>
        <v>0</v>
      </c>
      <c r="K3" s="57">
        <f>(J3+J4+J32+J33)*N2*0.04</f>
        <v>0</v>
      </c>
      <c r="L3" s="57">
        <f>K3/0.04*0.25</f>
        <v>0</v>
      </c>
      <c r="M3" s="57">
        <f>L3-K3</f>
        <v>0</v>
      </c>
      <c r="N3" s="57" t="s">
        <v>37</v>
      </c>
    </row>
    <row r="4" spans="1:25">
      <c r="A4" s="64">
        <v>43556</v>
      </c>
      <c r="B4" s="21" t="s">
        <v>395</v>
      </c>
      <c r="C4" s="105"/>
      <c r="D4" s="21" t="s">
        <v>11</v>
      </c>
      <c r="E4" s="21" t="s">
        <v>298</v>
      </c>
      <c r="F4" s="33" t="s">
        <v>301</v>
      </c>
      <c r="G4" s="74"/>
      <c r="H4" s="54"/>
      <c r="I4" s="67"/>
      <c r="J4" s="57">
        <f t="shared" si="0"/>
        <v>0</v>
      </c>
      <c r="K4" s="57"/>
      <c r="L4" s="57"/>
      <c r="M4" s="57"/>
      <c r="N4" s="57"/>
    </row>
    <row r="5" spans="1:25">
      <c r="A5" s="64">
        <v>43556</v>
      </c>
      <c r="B5" s="21" t="s">
        <v>395</v>
      </c>
      <c r="C5" s="105"/>
      <c r="D5" s="75" t="s">
        <v>32</v>
      </c>
      <c r="E5" s="75" t="s">
        <v>310</v>
      </c>
      <c r="F5" s="75" t="s">
        <v>311</v>
      </c>
      <c r="G5" s="76"/>
      <c r="H5" s="77"/>
      <c r="I5" s="67"/>
      <c r="J5" s="57">
        <f t="shared" si="0"/>
        <v>0</v>
      </c>
      <c r="K5" s="57">
        <f>(J5+J6+J7+J9+J10+J8)*N2*0.25</f>
        <v>0</v>
      </c>
      <c r="L5" s="57"/>
      <c r="M5" s="57"/>
      <c r="N5" s="57"/>
    </row>
    <row r="6" spans="1:25">
      <c r="A6" s="64">
        <v>43556</v>
      </c>
      <c r="B6" s="21" t="s">
        <v>395</v>
      </c>
      <c r="C6" s="105"/>
      <c r="D6" s="75" t="s">
        <v>32</v>
      </c>
      <c r="E6" s="75" t="s">
        <v>310</v>
      </c>
      <c r="F6" s="75" t="s">
        <v>312</v>
      </c>
      <c r="G6" s="76"/>
      <c r="H6" s="77"/>
      <c r="I6" s="67"/>
      <c r="J6" s="57">
        <f t="shared" si="0"/>
        <v>0</v>
      </c>
      <c r="K6" s="57"/>
      <c r="L6" s="57"/>
      <c r="M6" s="57"/>
      <c r="N6" s="57"/>
    </row>
    <row r="7" spans="1:25">
      <c r="A7" s="64">
        <v>43556</v>
      </c>
      <c r="B7" s="21" t="s">
        <v>395</v>
      </c>
      <c r="C7" s="105"/>
      <c r="D7" s="75" t="s">
        <v>32</v>
      </c>
      <c r="E7" s="75" t="s">
        <v>310</v>
      </c>
      <c r="F7" s="75" t="s">
        <v>313</v>
      </c>
      <c r="G7" s="76"/>
      <c r="H7" s="77"/>
      <c r="I7" s="67"/>
      <c r="J7" s="57">
        <f t="shared" si="0"/>
        <v>0</v>
      </c>
      <c r="K7" s="57"/>
      <c r="L7" s="57"/>
      <c r="M7" s="57"/>
      <c r="N7" s="57"/>
    </row>
    <row r="8" spans="1:25">
      <c r="A8" s="64">
        <v>43556</v>
      </c>
      <c r="B8" s="21" t="s">
        <v>395</v>
      </c>
      <c r="C8" s="105"/>
      <c r="D8" s="75" t="s">
        <v>38</v>
      </c>
      <c r="E8" s="75" t="s">
        <v>310</v>
      </c>
      <c r="F8" s="75" t="s">
        <v>311</v>
      </c>
      <c r="G8" s="76"/>
      <c r="H8" s="77"/>
      <c r="I8" s="67"/>
      <c r="J8" s="57">
        <f t="shared" si="0"/>
        <v>0</v>
      </c>
      <c r="K8" s="57"/>
      <c r="L8" s="57"/>
      <c r="M8" s="57"/>
      <c r="N8" s="57"/>
    </row>
    <row r="9" spans="1:25">
      <c r="A9" s="64">
        <v>43556</v>
      </c>
      <c r="B9" s="21" t="s">
        <v>395</v>
      </c>
      <c r="C9" s="105"/>
      <c r="D9" s="75" t="s">
        <v>38</v>
      </c>
      <c r="E9" s="75" t="s">
        <v>310</v>
      </c>
      <c r="F9" s="75" t="s">
        <v>312</v>
      </c>
      <c r="G9" s="76"/>
      <c r="H9" s="77"/>
      <c r="I9" s="67"/>
      <c r="J9" s="57">
        <f t="shared" si="0"/>
        <v>0</v>
      </c>
      <c r="K9" s="57"/>
      <c r="L9" s="57"/>
      <c r="M9" s="57"/>
      <c r="N9" s="57"/>
    </row>
    <row r="10" spans="1:25">
      <c r="A10" s="64">
        <v>43556</v>
      </c>
      <c r="B10" s="21" t="s">
        <v>395</v>
      </c>
      <c r="C10" s="105"/>
      <c r="D10" s="75" t="s">
        <v>38</v>
      </c>
      <c r="E10" s="75" t="s">
        <v>310</v>
      </c>
      <c r="F10" s="75" t="s">
        <v>313</v>
      </c>
      <c r="G10" s="76"/>
      <c r="H10" s="77"/>
      <c r="I10" s="67"/>
      <c r="J10" s="57">
        <f t="shared" si="0"/>
        <v>0</v>
      </c>
      <c r="K10" s="57"/>
      <c r="L10" s="57"/>
      <c r="M10" s="57"/>
      <c r="N10" s="57"/>
    </row>
    <row r="11" spans="1:25">
      <c r="A11" s="64">
        <v>43556</v>
      </c>
      <c r="B11" s="21" t="s">
        <v>395</v>
      </c>
      <c r="C11" s="105"/>
      <c r="D11" s="21" t="s">
        <v>29</v>
      </c>
      <c r="E11" s="21" t="s">
        <v>314</v>
      </c>
      <c r="F11" s="33" t="s">
        <v>315</v>
      </c>
      <c r="G11" s="57"/>
      <c r="H11" s="54"/>
      <c r="I11" s="67"/>
      <c r="J11" s="57">
        <f t="shared" si="0"/>
        <v>0</v>
      </c>
      <c r="K11" s="57"/>
      <c r="L11" s="57"/>
      <c r="M11" s="57"/>
      <c r="N11" s="57"/>
    </row>
    <row r="12" spans="1:25">
      <c r="A12" s="64">
        <v>43556</v>
      </c>
      <c r="B12" s="21" t="s">
        <v>395</v>
      </c>
      <c r="C12" s="105"/>
      <c r="D12" s="21" t="s">
        <v>62</v>
      </c>
      <c r="E12" s="21" t="s">
        <v>63</v>
      </c>
      <c r="F12" s="33" t="s">
        <v>64</v>
      </c>
      <c r="G12" s="57"/>
      <c r="H12" s="54"/>
      <c r="I12" s="67"/>
      <c r="J12" s="57">
        <f t="shared" si="0"/>
        <v>0</v>
      </c>
      <c r="K12" s="57">
        <f>J12*0.05*N2</f>
        <v>0</v>
      </c>
      <c r="L12" s="57">
        <f t="shared" ref="L12:L17" si="1">K12/0.05*0.25</f>
        <v>0</v>
      </c>
      <c r="M12" s="57">
        <f>L12-K12-N12</f>
        <v>0</v>
      </c>
      <c r="N12" s="57"/>
    </row>
    <row r="13" spans="1:25">
      <c r="A13" s="64">
        <v>43556</v>
      </c>
      <c r="B13" s="21" t="s">
        <v>395</v>
      </c>
      <c r="C13" s="105"/>
      <c r="D13" s="21" t="s">
        <v>67</v>
      </c>
      <c r="E13" s="21" t="s">
        <v>68</v>
      </c>
      <c r="F13" s="33" t="s">
        <v>69</v>
      </c>
      <c r="G13" s="57"/>
      <c r="H13" s="54"/>
      <c r="I13" s="67"/>
      <c r="J13" s="57">
        <f t="shared" si="0"/>
        <v>0</v>
      </c>
      <c r="K13" s="57">
        <f>(J13+J14+J15+J16+J24+J25)*0.05*N2</f>
        <v>0</v>
      </c>
      <c r="L13" s="57">
        <f t="shared" si="1"/>
        <v>0</v>
      </c>
      <c r="M13" s="57">
        <f>L13-K13</f>
        <v>0</v>
      </c>
      <c r="N13" s="57">
        <f>M13*0.1</f>
        <v>0</v>
      </c>
    </row>
    <row r="14" spans="1:25">
      <c r="A14" s="64">
        <v>43556</v>
      </c>
      <c r="B14" s="21" t="s">
        <v>395</v>
      </c>
      <c r="C14" s="105"/>
      <c r="D14" s="21" t="s">
        <v>67</v>
      </c>
      <c r="E14" s="21" t="s">
        <v>68</v>
      </c>
      <c r="F14" s="33" t="s">
        <v>303</v>
      </c>
      <c r="G14" s="57"/>
      <c r="H14" s="54"/>
      <c r="I14" s="68"/>
      <c r="J14" s="57">
        <f t="shared" si="0"/>
        <v>0</v>
      </c>
      <c r="K14" s="57"/>
      <c r="L14" s="57"/>
      <c r="M14" s="57"/>
      <c r="N14" s="57"/>
    </row>
    <row r="15" spans="1:25">
      <c r="A15" s="64">
        <v>43556</v>
      </c>
      <c r="B15" s="21" t="s">
        <v>395</v>
      </c>
      <c r="C15" s="105"/>
      <c r="D15" s="21" t="s">
        <v>56</v>
      </c>
      <c r="E15" s="21" t="s">
        <v>68</v>
      </c>
      <c r="F15" s="33" t="s">
        <v>69</v>
      </c>
      <c r="G15" s="57"/>
      <c r="H15" s="54"/>
      <c r="I15" s="67"/>
      <c r="J15" s="57">
        <f t="shared" si="0"/>
        <v>0</v>
      </c>
      <c r="K15" s="57"/>
      <c r="L15" s="57"/>
      <c r="M15" s="57"/>
      <c r="N15" s="57"/>
    </row>
    <row r="16" spans="1:25">
      <c r="A16" s="64">
        <v>43556</v>
      </c>
      <c r="B16" s="21" t="s">
        <v>395</v>
      </c>
      <c r="C16" s="105"/>
      <c r="D16" s="21" t="s">
        <v>309</v>
      </c>
      <c r="E16" s="21" t="s">
        <v>68</v>
      </c>
      <c r="F16" s="33" t="s">
        <v>69</v>
      </c>
      <c r="G16" s="57"/>
      <c r="H16" s="54"/>
      <c r="I16" s="67"/>
      <c r="J16" s="57">
        <f t="shared" si="0"/>
        <v>0</v>
      </c>
      <c r="K16" s="57"/>
      <c r="L16" s="57"/>
      <c r="M16" s="57"/>
      <c r="N16" s="57"/>
    </row>
    <row r="17" spans="1:14">
      <c r="A17" s="64">
        <v>43556</v>
      </c>
      <c r="B17" s="21" t="s">
        <v>395</v>
      </c>
      <c r="C17" s="105"/>
      <c r="D17" s="21" t="s">
        <v>39</v>
      </c>
      <c r="E17" s="21" t="s">
        <v>40</v>
      </c>
      <c r="F17" s="33" t="s">
        <v>41</v>
      </c>
      <c r="G17" s="57"/>
      <c r="H17" s="54"/>
      <c r="I17" s="68"/>
      <c r="J17" s="57">
        <f t="shared" si="0"/>
        <v>0</v>
      </c>
      <c r="K17" s="57">
        <f>(J17+J18+J19+J20+J21)*0.05*N2</f>
        <v>0</v>
      </c>
      <c r="L17" s="57">
        <f t="shared" si="1"/>
        <v>0</v>
      </c>
      <c r="M17" s="57">
        <f>L17-K17</f>
        <v>0</v>
      </c>
      <c r="N17" s="57">
        <f>M17*0.05</f>
        <v>0</v>
      </c>
    </row>
    <row r="18" spans="1:14">
      <c r="A18" s="64">
        <v>43556</v>
      </c>
      <c r="B18" s="21" t="s">
        <v>395</v>
      </c>
      <c r="C18" s="105"/>
      <c r="D18" s="21" t="s">
        <v>39</v>
      </c>
      <c r="E18" s="21" t="s">
        <v>40</v>
      </c>
      <c r="F18" s="33" t="s">
        <v>42</v>
      </c>
      <c r="G18" s="57"/>
      <c r="H18" s="54"/>
      <c r="I18" s="67"/>
      <c r="J18" s="57">
        <f t="shared" si="0"/>
        <v>0</v>
      </c>
      <c r="K18" s="57"/>
      <c r="L18" s="57"/>
      <c r="M18" s="57"/>
      <c r="N18" s="57"/>
    </row>
    <row r="19" spans="1:14">
      <c r="A19" s="64">
        <v>43556</v>
      </c>
      <c r="B19" s="21" t="s">
        <v>395</v>
      </c>
      <c r="C19" s="105"/>
      <c r="D19" s="21" t="s">
        <v>39</v>
      </c>
      <c r="E19" s="21" t="s">
        <v>40</v>
      </c>
      <c r="F19" s="33" t="s">
        <v>43</v>
      </c>
      <c r="G19" s="57"/>
      <c r="H19" s="54"/>
      <c r="I19" s="67"/>
      <c r="J19" s="57">
        <f t="shared" si="0"/>
        <v>0</v>
      </c>
      <c r="K19" s="57"/>
      <c r="L19" s="57"/>
      <c r="M19" s="57"/>
      <c r="N19" s="57"/>
    </row>
    <row r="20" spans="1:14">
      <c r="A20" s="64">
        <v>43556</v>
      </c>
      <c r="B20" s="21" t="s">
        <v>395</v>
      </c>
      <c r="C20" s="105"/>
      <c r="D20" s="21" t="s">
        <v>44</v>
      </c>
      <c r="E20" s="21" t="s">
        <v>40</v>
      </c>
      <c r="F20" s="33" t="s">
        <v>41</v>
      </c>
      <c r="G20" s="57"/>
      <c r="H20" s="54"/>
      <c r="I20" s="67"/>
      <c r="J20" s="57">
        <f t="shared" si="0"/>
        <v>0</v>
      </c>
      <c r="K20" s="57"/>
      <c r="L20" s="57"/>
      <c r="M20" s="57"/>
      <c r="N20" s="57"/>
    </row>
    <row r="21" spans="1:14">
      <c r="A21" s="64">
        <v>43556</v>
      </c>
      <c r="B21" s="21" t="s">
        <v>395</v>
      </c>
      <c r="C21" s="105"/>
      <c r="D21" s="21" t="s">
        <v>73</v>
      </c>
      <c r="E21" s="21" t="s">
        <v>40</v>
      </c>
      <c r="F21" s="33" t="s">
        <v>41</v>
      </c>
      <c r="G21" s="57"/>
      <c r="H21" s="54"/>
      <c r="I21" s="84"/>
      <c r="J21" s="57">
        <f t="shared" si="0"/>
        <v>0</v>
      </c>
      <c r="K21" s="57"/>
      <c r="L21" s="57"/>
      <c r="M21" s="57"/>
      <c r="N21" s="57"/>
    </row>
    <row r="22" spans="1:14">
      <c r="A22" s="64">
        <v>43556</v>
      </c>
      <c r="B22" s="21" t="s">
        <v>395</v>
      </c>
      <c r="C22" s="105"/>
      <c r="D22" s="21" t="s">
        <v>78</v>
      </c>
      <c r="E22" s="21" t="s">
        <v>238</v>
      </c>
      <c r="F22" s="33" t="s">
        <v>316</v>
      </c>
      <c r="G22" s="57"/>
      <c r="H22" s="54"/>
      <c r="I22" s="68"/>
      <c r="J22" s="57">
        <f t="shared" si="0"/>
        <v>0</v>
      </c>
      <c r="K22" s="57"/>
      <c r="L22" s="57"/>
      <c r="M22" s="57"/>
      <c r="N22" s="57"/>
    </row>
    <row r="23" spans="1:14">
      <c r="A23" s="64"/>
      <c r="C23" s="105"/>
      <c r="D23" s="21" t="s">
        <v>78</v>
      </c>
      <c r="E23" s="21" t="s">
        <v>238</v>
      </c>
      <c r="F23" s="33" t="s">
        <v>317</v>
      </c>
      <c r="G23" s="57"/>
      <c r="H23" s="54"/>
      <c r="I23" s="67"/>
      <c r="J23" s="57">
        <f t="shared" si="0"/>
        <v>0</v>
      </c>
      <c r="K23" s="57"/>
      <c r="L23" s="57"/>
      <c r="M23" s="57"/>
      <c r="N23" s="57"/>
    </row>
    <row r="24" spans="1:14">
      <c r="A24" s="64">
        <v>43556</v>
      </c>
      <c r="B24" s="21" t="s">
        <v>395</v>
      </c>
      <c r="C24" s="105"/>
      <c r="D24" s="21" t="s">
        <v>272</v>
      </c>
      <c r="E24" s="21" t="s">
        <v>68</v>
      </c>
      <c r="F24" s="33" t="s">
        <v>69</v>
      </c>
      <c r="G24" s="57"/>
      <c r="H24" s="54"/>
      <c r="I24" s="67"/>
      <c r="J24" s="57">
        <f t="shared" si="0"/>
        <v>0</v>
      </c>
      <c r="K24" s="57"/>
      <c r="L24" s="57"/>
      <c r="M24" s="57"/>
      <c r="N24" s="57"/>
    </row>
    <row r="25" spans="1:14">
      <c r="A25" s="64">
        <v>43556</v>
      </c>
      <c r="B25" s="21" t="s">
        <v>395</v>
      </c>
      <c r="C25" s="105"/>
      <c r="D25" s="21" t="s">
        <v>272</v>
      </c>
      <c r="E25" s="21" t="s">
        <v>68</v>
      </c>
      <c r="F25" s="33" t="s">
        <v>303</v>
      </c>
      <c r="G25" s="57"/>
      <c r="H25" s="54"/>
      <c r="I25" s="67"/>
      <c r="J25" s="57">
        <f t="shared" si="0"/>
        <v>0</v>
      </c>
      <c r="K25" s="57"/>
      <c r="L25" s="57"/>
      <c r="M25" s="57"/>
      <c r="N25" s="57"/>
    </row>
    <row r="26" spans="1:14">
      <c r="A26" s="64">
        <v>43556</v>
      </c>
      <c r="B26" s="21" t="s">
        <v>395</v>
      </c>
      <c r="C26" s="105"/>
      <c r="D26" s="21" t="s">
        <v>61</v>
      </c>
      <c r="E26" s="21" t="s">
        <v>238</v>
      </c>
      <c r="F26" s="33" t="s">
        <v>239</v>
      </c>
      <c r="G26" s="57"/>
      <c r="H26" s="54"/>
      <c r="I26" s="67"/>
      <c r="J26" s="57">
        <f t="shared" si="0"/>
        <v>0</v>
      </c>
      <c r="K26" s="57">
        <f>(J26+J27+J28+J29+J30+J31+J34+J35+J38+J39+J22+J23)*0.05*N2</f>
        <v>0</v>
      </c>
      <c r="L26" s="57">
        <f>K26/0.05*0.25</f>
        <v>0</v>
      </c>
      <c r="M26" s="57">
        <f>L26-K26</f>
        <v>0</v>
      </c>
      <c r="N26" s="57"/>
    </row>
    <row r="27" spans="1:14">
      <c r="A27" s="64">
        <v>43556</v>
      </c>
      <c r="B27" s="21" t="s">
        <v>395</v>
      </c>
      <c r="C27" s="105"/>
      <c r="D27" s="21" t="s">
        <v>61</v>
      </c>
      <c r="E27" s="21" t="s">
        <v>238</v>
      </c>
      <c r="F27" s="33" t="s">
        <v>317</v>
      </c>
      <c r="G27" s="57"/>
      <c r="H27" s="54"/>
      <c r="I27" s="67"/>
      <c r="J27" s="57">
        <f t="shared" si="0"/>
        <v>0</v>
      </c>
      <c r="K27" s="57"/>
      <c r="L27" s="57"/>
      <c r="M27" s="57"/>
      <c r="N27" s="57"/>
    </row>
    <row r="28" spans="1:14">
      <c r="A28" s="64">
        <v>43556</v>
      </c>
      <c r="B28" s="21" t="s">
        <v>395</v>
      </c>
      <c r="C28" s="105"/>
      <c r="D28" s="21" t="s">
        <v>51</v>
      </c>
      <c r="E28" s="21" t="s">
        <v>238</v>
      </c>
      <c r="F28" s="33" t="s">
        <v>239</v>
      </c>
      <c r="G28" s="57"/>
      <c r="H28" s="54"/>
      <c r="I28" s="67"/>
      <c r="J28" s="57">
        <f t="shared" si="0"/>
        <v>0</v>
      </c>
      <c r="K28" s="57"/>
      <c r="L28" s="57"/>
      <c r="M28" s="57"/>
      <c r="N28" s="57"/>
    </row>
    <row r="29" spans="1:14">
      <c r="A29" s="64">
        <v>43556</v>
      </c>
      <c r="B29" s="21" t="s">
        <v>395</v>
      </c>
      <c r="C29" s="105"/>
      <c r="D29" s="21" t="s">
        <v>51</v>
      </c>
      <c r="E29" s="21" t="s">
        <v>238</v>
      </c>
      <c r="F29" s="33" t="s">
        <v>317</v>
      </c>
      <c r="G29" s="57"/>
      <c r="H29" s="54"/>
      <c r="I29" s="67"/>
      <c r="J29" s="57">
        <f t="shared" si="0"/>
        <v>0</v>
      </c>
      <c r="K29" s="57"/>
      <c r="L29" s="57"/>
      <c r="M29" s="57"/>
      <c r="N29" s="57"/>
    </row>
    <row r="30" spans="1:14">
      <c r="A30" s="64">
        <v>43556</v>
      </c>
      <c r="B30" s="21" t="s">
        <v>395</v>
      </c>
      <c r="C30" s="105"/>
      <c r="D30" s="21" t="s">
        <v>31</v>
      </c>
      <c r="E30" s="21" t="s">
        <v>238</v>
      </c>
      <c r="F30" s="33" t="s">
        <v>239</v>
      </c>
      <c r="G30" s="57"/>
      <c r="H30" s="54"/>
      <c r="I30" s="67"/>
      <c r="J30" s="57">
        <f t="shared" si="0"/>
        <v>0</v>
      </c>
      <c r="K30" s="57"/>
      <c r="L30" s="57"/>
      <c r="M30" s="57"/>
      <c r="N30" s="57"/>
    </row>
    <row r="31" spans="1:14">
      <c r="A31" s="64">
        <v>43556</v>
      </c>
      <c r="B31" s="21" t="s">
        <v>395</v>
      </c>
      <c r="C31" s="105"/>
      <c r="D31" s="21" t="s">
        <v>31</v>
      </c>
      <c r="E31" s="21" t="s">
        <v>238</v>
      </c>
      <c r="F31" s="33" t="s">
        <v>317</v>
      </c>
      <c r="G31" s="57"/>
      <c r="H31" s="54"/>
      <c r="I31" s="68"/>
      <c r="J31" s="57">
        <f t="shared" si="0"/>
        <v>0</v>
      </c>
      <c r="K31" s="57"/>
      <c r="L31" s="57"/>
      <c r="M31" s="57"/>
      <c r="N31" s="57"/>
    </row>
    <row r="32" spans="1:14">
      <c r="A32" s="64">
        <v>43556</v>
      </c>
      <c r="B32" s="21" t="s">
        <v>395</v>
      </c>
      <c r="C32" s="105"/>
      <c r="D32" s="21" t="s">
        <v>45</v>
      </c>
      <c r="E32" s="21" t="s">
        <v>298</v>
      </c>
      <c r="F32" s="33" t="s">
        <v>299</v>
      </c>
      <c r="G32" s="74"/>
      <c r="H32" s="54"/>
      <c r="I32" s="67"/>
      <c r="J32" s="57">
        <f t="shared" si="0"/>
        <v>0</v>
      </c>
      <c r="K32" s="57"/>
      <c r="L32" s="57"/>
      <c r="M32" s="57"/>
      <c r="N32" s="57"/>
    </row>
    <row r="33" spans="1:14">
      <c r="A33" s="64">
        <v>43556</v>
      </c>
      <c r="B33" s="21" t="s">
        <v>395</v>
      </c>
      <c r="C33" s="105"/>
      <c r="D33" s="21" t="s">
        <v>45</v>
      </c>
      <c r="E33" s="21" t="s">
        <v>298</v>
      </c>
      <c r="F33" s="33" t="s">
        <v>301</v>
      </c>
      <c r="G33" s="74"/>
      <c r="H33" s="54"/>
      <c r="I33" s="67"/>
      <c r="J33" s="57">
        <f t="shared" si="0"/>
        <v>0</v>
      </c>
      <c r="K33" s="57"/>
      <c r="L33" s="57"/>
      <c r="M33" s="57"/>
      <c r="N33" s="57"/>
    </row>
    <row r="34" spans="1:14">
      <c r="A34" s="64">
        <v>43556</v>
      </c>
      <c r="B34" s="21" t="s">
        <v>395</v>
      </c>
      <c r="C34" s="105"/>
      <c r="D34" s="21" t="s">
        <v>70</v>
      </c>
      <c r="E34" s="21" t="s">
        <v>238</v>
      </c>
      <c r="F34" s="33" t="s">
        <v>239</v>
      </c>
      <c r="G34" s="57"/>
      <c r="H34" s="54"/>
      <c r="I34" s="68"/>
      <c r="J34" s="57">
        <f t="shared" si="0"/>
        <v>0</v>
      </c>
      <c r="K34" s="57"/>
      <c r="L34" s="57"/>
      <c r="M34" s="57"/>
      <c r="N34" s="57"/>
    </row>
    <row r="35" spans="1:14">
      <c r="A35" s="64">
        <v>43556</v>
      </c>
      <c r="B35" s="21" t="s">
        <v>395</v>
      </c>
      <c r="C35" s="105"/>
      <c r="D35" s="21" t="s">
        <v>70</v>
      </c>
      <c r="E35" s="21" t="s">
        <v>238</v>
      </c>
      <c r="F35" s="33" t="s">
        <v>317</v>
      </c>
      <c r="G35" s="57"/>
      <c r="H35" s="54"/>
      <c r="I35" s="67"/>
      <c r="J35" s="57">
        <f t="shared" si="0"/>
        <v>0</v>
      </c>
      <c r="K35" s="57"/>
      <c r="L35" s="57"/>
      <c r="M35" s="57"/>
      <c r="N35" s="57"/>
    </row>
    <row r="36" spans="1:14">
      <c r="A36" s="64">
        <v>43556</v>
      </c>
      <c r="B36" s="21" t="s">
        <v>395</v>
      </c>
      <c r="C36" s="105"/>
      <c r="D36" s="21" t="s">
        <v>77</v>
      </c>
      <c r="E36" s="21" t="s">
        <v>278</v>
      </c>
      <c r="F36" s="33" t="s">
        <v>302</v>
      </c>
      <c r="G36" s="57"/>
      <c r="H36" s="54"/>
      <c r="I36" s="67"/>
      <c r="J36" s="57">
        <f t="shared" si="0"/>
        <v>0</v>
      </c>
      <c r="K36" s="57"/>
      <c r="L36" s="57"/>
      <c r="M36" s="57"/>
      <c r="N36" s="57"/>
    </row>
    <row r="37" spans="1:14">
      <c r="A37" s="64">
        <v>43556</v>
      </c>
      <c r="B37" s="21" t="s">
        <v>395</v>
      </c>
      <c r="C37" s="105"/>
      <c r="D37" s="21" t="s">
        <v>77</v>
      </c>
      <c r="E37" s="21" t="s">
        <v>278</v>
      </c>
      <c r="F37" s="33" t="s">
        <v>305</v>
      </c>
      <c r="G37" s="57"/>
      <c r="H37" s="54"/>
      <c r="I37" s="67"/>
      <c r="J37" s="57">
        <f t="shared" si="0"/>
        <v>0</v>
      </c>
      <c r="K37" s="57"/>
      <c r="L37" s="57"/>
      <c r="M37" s="57"/>
      <c r="N37" s="57"/>
    </row>
    <row r="38" spans="1:14">
      <c r="A38" s="64">
        <v>43556</v>
      </c>
      <c r="B38" s="21" t="s">
        <v>395</v>
      </c>
      <c r="C38" s="105"/>
      <c r="D38" s="21" t="s">
        <v>60</v>
      </c>
      <c r="E38" s="21" t="s">
        <v>238</v>
      </c>
      <c r="F38" s="33" t="s">
        <v>239</v>
      </c>
      <c r="G38" s="57"/>
      <c r="H38" s="54"/>
      <c r="I38" s="67"/>
      <c r="J38" s="57">
        <f t="shared" si="0"/>
        <v>0</v>
      </c>
      <c r="K38" s="57"/>
      <c r="L38" s="57"/>
      <c r="M38" s="57"/>
      <c r="N38" s="57"/>
    </row>
    <row r="39" spans="1:14">
      <c r="A39" s="64">
        <v>43556</v>
      </c>
      <c r="B39" s="21" t="s">
        <v>395</v>
      </c>
      <c r="C39" s="105"/>
      <c r="D39" s="21" t="s">
        <v>60</v>
      </c>
      <c r="E39" s="21" t="s">
        <v>238</v>
      </c>
      <c r="F39" s="33" t="s">
        <v>317</v>
      </c>
      <c r="G39" s="57"/>
      <c r="H39" s="54"/>
      <c r="I39" s="67"/>
      <c r="J39" s="57">
        <f t="shared" si="0"/>
        <v>0</v>
      </c>
      <c r="K39" s="57"/>
      <c r="L39" s="57"/>
      <c r="M39" s="57"/>
      <c r="N39" s="57"/>
    </row>
    <row r="40" spans="1:14">
      <c r="A40" s="64">
        <v>43556</v>
      </c>
      <c r="B40" s="21" t="s">
        <v>395</v>
      </c>
      <c r="C40" s="105"/>
      <c r="D40" s="21" t="s">
        <v>72</v>
      </c>
      <c r="E40" s="21" t="s">
        <v>278</v>
      </c>
      <c r="F40" s="33" t="s">
        <v>302</v>
      </c>
      <c r="G40" s="57"/>
      <c r="H40" s="54"/>
      <c r="I40" s="68"/>
      <c r="J40" s="57">
        <f t="shared" si="0"/>
        <v>0</v>
      </c>
      <c r="K40" s="57">
        <f>(J40+J41+J42)*0.2*N2</f>
        <v>0</v>
      </c>
      <c r="L40" s="57"/>
      <c r="M40" s="57"/>
      <c r="N40" s="57"/>
    </row>
    <row r="41" spans="1:14">
      <c r="A41" s="64">
        <v>43556</v>
      </c>
      <c r="B41" s="21" t="s">
        <v>395</v>
      </c>
      <c r="C41" s="105"/>
      <c r="D41" s="21" t="s">
        <v>71</v>
      </c>
      <c r="E41" s="21" t="s">
        <v>278</v>
      </c>
      <c r="F41" s="33" t="s">
        <v>302</v>
      </c>
      <c r="G41" s="57"/>
      <c r="H41" s="54"/>
      <c r="I41" s="67"/>
      <c r="J41" s="57">
        <f t="shared" si="0"/>
        <v>0</v>
      </c>
      <c r="K41" s="57"/>
      <c r="L41" s="57"/>
      <c r="M41" s="57"/>
      <c r="N41" s="57"/>
    </row>
    <row r="42" spans="1:14">
      <c r="A42" s="64">
        <v>43556</v>
      </c>
      <c r="B42" s="21" t="s">
        <v>395</v>
      </c>
      <c r="C42" s="105"/>
      <c r="D42" s="21" t="s">
        <v>71</v>
      </c>
      <c r="E42" s="21" t="s">
        <v>278</v>
      </c>
      <c r="F42" s="33" t="s">
        <v>305</v>
      </c>
      <c r="G42" s="57"/>
      <c r="H42" s="54"/>
      <c r="I42" s="67"/>
      <c r="J42" s="57">
        <f t="shared" si="0"/>
        <v>0</v>
      </c>
      <c r="K42" s="57"/>
      <c r="L42" s="57"/>
      <c r="M42" s="57"/>
      <c r="N42" s="57"/>
    </row>
    <row r="43" spans="1:14">
      <c r="A43" s="64">
        <v>43556</v>
      </c>
      <c r="B43" s="21" t="s">
        <v>395</v>
      </c>
      <c r="C43" s="105"/>
      <c r="D43" s="21" t="s">
        <v>318</v>
      </c>
      <c r="E43" s="21" t="s">
        <v>278</v>
      </c>
      <c r="F43" s="33" t="s">
        <v>302</v>
      </c>
      <c r="G43" s="57"/>
      <c r="H43" s="54"/>
      <c r="I43" s="67"/>
      <c r="J43" s="57">
        <f t="shared" si="0"/>
        <v>0</v>
      </c>
      <c r="K43" s="57"/>
      <c r="L43" s="57"/>
      <c r="M43" s="57"/>
      <c r="N43" s="57"/>
    </row>
    <row r="44" spans="1:14">
      <c r="A44" s="64">
        <v>43556</v>
      </c>
      <c r="B44" s="21" t="s">
        <v>395</v>
      </c>
      <c r="C44" s="105"/>
      <c r="D44" s="21" t="s">
        <v>318</v>
      </c>
      <c r="E44" s="21" t="s">
        <v>278</v>
      </c>
      <c r="F44" s="33" t="s">
        <v>305</v>
      </c>
      <c r="G44" s="57"/>
      <c r="H44" s="54"/>
      <c r="I44" s="67"/>
      <c r="J44" s="57">
        <f t="shared" si="0"/>
        <v>0</v>
      </c>
      <c r="K44" s="57"/>
      <c r="L44" s="57"/>
      <c r="M44" s="57"/>
      <c r="N44" s="57"/>
    </row>
    <row r="45" spans="1:14">
      <c r="A45" s="64">
        <v>43556</v>
      </c>
      <c r="B45" s="21" t="s">
        <v>395</v>
      </c>
      <c r="C45" s="102" t="s">
        <v>397</v>
      </c>
      <c r="D45" s="21" t="s">
        <v>140</v>
      </c>
      <c r="E45" s="21" t="s">
        <v>141</v>
      </c>
      <c r="F45" s="33" t="s">
        <v>153</v>
      </c>
      <c r="G45" s="57"/>
      <c r="H45" s="54"/>
      <c r="I45" s="68"/>
      <c r="J45" s="57">
        <f t="shared" si="0"/>
        <v>0</v>
      </c>
      <c r="K45" s="57"/>
      <c r="L45" s="57"/>
      <c r="M45" s="57"/>
      <c r="N45" s="57"/>
    </row>
    <row r="46" spans="1:14">
      <c r="A46" s="64">
        <v>43556</v>
      </c>
      <c r="B46" s="21" t="s">
        <v>395</v>
      </c>
      <c r="C46" s="103"/>
      <c r="D46" s="21" t="s">
        <v>140</v>
      </c>
      <c r="E46" s="21" t="s">
        <v>141</v>
      </c>
      <c r="F46" s="33" t="s">
        <v>142</v>
      </c>
      <c r="G46" s="57"/>
      <c r="H46" s="54"/>
      <c r="I46" s="67"/>
      <c r="J46" s="57">
        <f t="shared" si="0"/>
        <v>0</v>
      </c>
      <c r="K46" s="57">
        <f>(J45+J46+J47+J55+J56+J57)*0.03*N2</f>
        <v>0</v>
      </c>
      <c r="L46" s="57">
        <f>K46/0.03*0.25</f>
        <v>0</v>
      </c>
      <c r="M46" s="57">
        <f>L46-K46</f>
        <v>0</v>
      </c>
      <c r="N46" s="57"/>
    </row>
    <row r="47" spans="1:14">
      <c r="A47" s="64">
        <v>43556</v>
      </c>
      <c r="B47" s="21" t="s">
        <v>395</v>
      </c>
      <c r="C47" s="103"/>
      <c r="D47" s="21" t="s">
        <v>140</v>
      </c>
      <c r="E47" s="21" t="s">
        <v>141</v>
      </c>
      <c r="F47" s="33" t="s">
        <v>143</v>
      </c>
      <c r="G47" s="57"/>
      <c r="H47" s="54"/>
      <c r="I47" s="67"/>
      <c r="J47" s="57">
        <f t="shared" si="0"/>
        <v>0</v>
      </c>
      <c r="K47" s="57"/>
      <c r="L47" s="57"/>
      <c r="M47" s="57"/>
      <c r="N47" s="57"/>
    </row>
    <row r="48" spans="1:14">
      <c r="A48" s="64"/>
      <c r="C48" s="103"/>
      <c r="D48" s="21" t="s">
        <v>146</v>
      </c>
      <c r="E48" s="21" t="s">
        <v>144</v>
      </c>
      <c r="F48" s="33" t="s">
        <v>167</v>
      </c>
      <c r="G48" s="57"/>
      <c r="H48" s="54"/>
      <c r="I48" s="67"/>
      <c r="J48" s="57">
        <f t="shared" si="0"/>
        <v>0</v>
      </c>
      <c r="K48" s="57"/>
      <c r="L48" s="57"/>
      <c r="M48" s="57"/>
      <c r="N48" s="57"/>
    </row>
    <row r="49" spans="1:14">
      <c r="A49" s="64">
        <v>43556</v>
      </c>
      <c r="B49" s="21" t="s">
        <v>395</v>
      </c>
      <c r="C49" s="103"/>
      <c r="D49" s="75" t="s">
        <v>158</v>
      </c>
      <c r="E49" s="75" t="s">
        <v>149</v>
      </c>
      <c r="F49" s="75" t="s">
        <v>159</v>
      </c>
      <c r="G49" s="76"/>
      <c r="H49" s="77"/>
      <c r="I49" s="67"/>
      <c r="J49" s="57">
        <f t="shared" si="0"/>
        <v>0</v>
      </c>
      <c r="K49" s="57"/>
      <c r="L49" s="57"/>
      <c r="M49" s="57"/>
      <c r="N49" s="57"/>
    </row>
    <row r="50" spans="1:14">
      <c r="A50" s="64">
        <v>43556</v>
      </c>
      <c r="B50" s="21" t="s">
        <v>395</v>
      </c>
      <c r="C50" s="103"/>
      <c r="D50" s="75" t="s">
        <v>158</v>
      </c>
      <c r="E50" s="75" t="s">
        <v>149</v>
      </c>
      <c r="F50" s="75" t="s">
        <v>150</v>
      </c>
      <c r="G50" s="76"/>
      <c r="H50" s="77"/>
      <c r="I50" s="67"/>
      <c r="J50" s="57">
        <f t="shared" si="0"/>
        <v>0</v>
      </c>
      <c r="K50" s="57">
        <f>(J50+J51+J49+J52+J53+J54+J86+J87)*0.05*N2</f>
        <v>0</v>
      </c>
      <c r="L50" s="57">
        <f>K50/0.05*0.25</f>
        <v>0</v>
      </c>
      <c r="M50" s="57">
        <f>L50-K50</f>
        <v>0</v>
      </c>
      <c r="N50" s="57"/>
    </row>
    <row r="51" spans="1:14">
      <c r="A51" s="64">
        <v>43556</v>
      </c>
      <c r="B51" s="21" t="s">
        <v>395</v>
      </c>
      <c r="C51" s="103"/>
      <c r="D51" s="75" t="s">
        <v>158</v>
      </c>
      <c r="E51" s="75" t="s">
        <v>149</v>
      </c>
      <c r="F51" s="75" t="s">
        <v>151</v>
      </c>
      <c r="G51" s="76"/>
      <c r="H51" s="77"/>
      <c r="I51" s="67"/>
      <c r="J51" s="57">
        <f t="shared" si="0"/>
        <v>0</v>
      </c>
      <c r="K51" s="57"/>
      <c r="L51" s="57"/>
      <c r="M51" s="57"/>
      <c r="N51" s="57"/>
    </row>
    <row r="52" spans="1:14">
      <c r="A52" s="64">
        <v>43556</v>
      </c>
      <c r="B52" s="21" t="s">
        <v>395</v>
      </c>
      <c r="C52" s="103"/>
      <c r="D52" s="75" t="s">
        <v>164</v>
      </c>
      <c r="E52" s="75" t="s">
        <v>149</v>
      </c>
      <c r="F52" s="75" t="s">
        <v>159</v>
      </c>
      <c r="G52" s="76"/>
      <c r="H52" s="77"/>
      <c r="I52" s="68"/>
      <c r="J52" s="57">
        <f t="shared" si="0"/>
        <v>0</v>
      </c>
      <c r="K52" s="57"/>
      <c r="L52" s="57"/>
      <c r="M52" s="57"/>
      <c r="N52" s="57"/>
    </row>
    <row r="53" spans="1:14">
      <c r="A53" s="64">
        <v>43556</v>
      </c>
      <c r="B53" s="21" t="s">
        <v>395</v>
      </c>
      <c r="C53" s="103"/>
      <c r="D53" s="75" t="s">
        <v>164</v>
      </c>
      <c r="E53" s="75" t="s">
        <v>149</v>
      </c>
      <c r="F53" s="75" t="s">
        <v>150</v>
      </c>
      <c r="G53" s="76"/>
      <c r="H53" s="77"/>
      <c r="I53" s="67"/>
      <c r="J53" s="57">
        <f t="shared" si="0"/>
        <v>0</v>
      </c>
      <c r="K53" s="57"/>
      <c r="L53" s="57"/>
      <c r="M53" s="57"/>
      <c r="N53" s="57"/>
    </row>
    <row r="54" spans="1:14">
      <c r="A54" s="64">
        <v>43556</v>
      </c>
      <c r="B54" s="21" t="s">
        <v>395</v>
      </c>
      <c r="C54" s="103"/>
      <c r="D54" s="75" t="s">
        <v>164</v>
      </c>
      <c r="E54" s="75" t="s">
        <v>149</v>
      </c>
      <c r="F54" s="75" t="s">
        <v>151</v>
      </c>
      <c r="G54" s="76"/>
      <c r="H54" s="77"/>
      <c r="I54" s="67"/>
      <c r="J54" s="57">
        <f t="shared" si="0"/>
        <v>0</v>
      </c>
      <c r="K54" s="57"/>
      <c r="L54" s="57"/>
      <c r="M54" s="57"/>
      <c r="N54" s="57"/>
    </row>
    <row r="55" spans="1:14">
      <c r="A55" s="64">
        <v>43556</v>
      </c>
      <c r="B55" s="21" t="s">
        <v>395</v>
      </c>
      <c r="C55" s="103"/>
      <c r="D55" s="21" t="s">
        <v>152</v>
      </c>
      <c r="E55" s="21" t="s">
        <v>141</v>
      </c>
      <c r="F55" s="33" t="s">
        <v>153</v>
      </c>
      <c r="G55" s="57"/>
      <c r="H55" s="54"/>
      <c r="I55" s="67"/>
      <c r="J55" s="57">
        <f t="shared" si="0"/>
        <v>0</v>
      </c>
      <c r="K55" s="57"/>
      <c r="L55" s="57">
        <f>K55/0.05*0.25</f>
        <v>0</v>
      </c>
      <c r="M55" s="57">
        <f>L55-K55</f>
        <v>0</v>
      </c>
      <c r="N55" s="57"/>
    </row>
    <row r="56" spans="1:14">
      <c r="A56" s="64">
        <v>43556</v>
      </c>
      <c r="B56" s="21" t="s">
        <v>395</v>
      </c>
      <c r="C56" s="103"/>
      <c r="D56" s="21" t="s">
        <v>152</v>
      </c>
      <c r="E56" s="21" t="s">
        <v>141</v>
      </c>
      <c r="F56" s="33" t="s">
        <v>142</v>
      </c>
      <c r="G56" s="57"/>
      <c r="H56" s="54"/>
      <c r="I56" s="67"/>
      <c r="J56" s="57">
        <f t="shared" si="0"/>
        <v>0</v>
      </c>
      <c r="K56" s="57"/>
      <c r="L56" s="57"/>
      <c r="M56" s="57"/>
      <c r="N56" s="57"/>
    </row>
    <row r="57" spans="1:14">
      <c r="A57" s="64">
        <v>43556</v>
      </c>
      <c r="B57" s="21" t="s">
        <v>395</v>
      </c>
      <c r="C57" s="103"/>
      <c r="D57" s="21" t="s">
        <v>152</v>
      </c>
      <c r="E57" s="21" t="s">
        <v>141</v>
      </c>
      <c r="F57" s="33" t="s">
        <v>143</v>
      </c>
      <c r="G57" s="57"/>
      <c r="H57" s="54"/>
      <c r="I57" s="67"/>
      <c r="J57" s="57">
        <f t="shared" si="0"/>
        <v>0</v>
      </c>
      <c r="K57" s="57"/>
      <c r="L57" s="57"/>
      <c r="M57" s="57"/>
      <c r="N57" s="57"/>
    </row>
    <row r="58" spans="1:14">
      <c r="A58" s="64">
        <v>43556</v>
      </c>
      <c r="B58" s="21" t="s">
        <v>395</v>
      </c>
      <c r="C58" s="103"/>
      <c r="D58" s="21" t="s">
        <v>166</v>
      </c>
      <c r="E58" s="21" t="s">
        <v>144</v>
      </c>
      <c r="F58" s="33" t="s">
        <v>167</v>
      </c>
      <c r="G58" s="57"/>
      <c r="H58" s="54"/>
      <c r="I58" s="67"/>
      <c r="J58" s="57">
        <f t="shared" si="0"/>
        <v>0</v>
      </c>
      <c r="K58" s="57"/>
      <c r="L58" s="57"/>
      <c r="M58" s="57"/>
      <c r="N58" s="57"/>
    </row>
    <row r="59" spans="1:14">
      <c r="A59" s="64">
        <v>43556</v>
      </c>
      <c r="B59" s="21" t="s">
        <v>395</v>
      </c>
      <c r="C59" s="103"/>
      <c r="D59" s="21" t="s">
        <v>166</v>
      </c>
      <c r="E59" s="21" t="s">
        <v>144</v>
      </c>
      <c r="F59" s="33" t="s">
        <v>145</v>
      </c>
      <c r="G59" s="57"/>
      <c r="H59" s="54"/>
      <c r="I59" s="67"/>
      <c r="J59" s="57">
        <f t="shared" si="0"/>
        <v>0</v>
      </c>
      <c r="K59" s="57"/>
      <c r="L59" s="57"/>
      <c r="M59" s="57"/>
      <c r="N59" s="57"/>
    </row>
    <row r="60" spans="1:14">
      <c r="A60" s="64">
        <v>43556</v>
      </c>
      <c r="B60" s="21" t="s">
        <v>395</v>
      </c>
      <c r="C60" s="103"/>
      <c r="D60" s="21" t="s">
        <v>166</v>
      </c>
      <c r="E60" s="21" t="s">
        <v>144</v>
      </c>
      <c r="F60" s="33" t="s">
        <v>147</v>
      </c>
      <c r="G60" s="57"/>
      <c r="H60" s="54"/>
      <c r="I60" s="67"/>
      <c r="J60" s="57">
        <f t="shared" si="0"/>
        <v>0</v>
      </c>
      <c r="K60" s="57"/>
      <c r="L60" s="57"/>
      <c r="M60" s="57"/>
      <c r="N60" s="57"/>
    </row>
    <row r="61" spans="1:14">
      <c r="A61" s="64">
        <v>43556</v>
      </c>
      <c r="B61" s="21" t="s">
        <v>395</v>
      </c>
      <c r="C61" s="103"/>
      <c r="D61" s="21" t="s">
        <v>175</v>
      </c>
      <c r="E61" s="21" t="s">
        <v>176</v>
      </c>
      <c r="F61" s="33" t="s">
        <v>177</v>
      </c>
      <c r="G61" s="57"/>
      <c r="H61" s="54"/>
      <c r="I61" s="67"/>
      <c r="J61" s="57">
        <f t="shared" si="0"/>
        <v>0</v>
      </c>
      <c r="K61" s="57"/>
      <c r="L61" s="57">
        <f>K61/0.05*0.25</f>
        <v>0</v>
      </c>
      <c r="M61" s="57">
        <f>L61-K61</f>
        <v>0</v>
      </c>
      <c r="N61" s="57"/>
    </row>
    <row r="62" spans="1:14">
      <c r="A62" s="64">
        <v>43556</v>
      </c>
      <c r="B62" s="21" t="s">
        <v>395</v>
      </c>
      <c r="C62" s="103"/>
      <c r="D62" s="21" t="s">
        <v>175</v>
      </c>
      <c r="E62" s="21" t="s">
        <v>176</v>
      </c>
      <c r="F62" s="33" t="s">
        <v>178</v>
      </c>
      <c r="G62" s="57"/>
      <c r="H62" s="54"/>
      <c r="I62" s="67"/>
      <c r="J62" s="57">
        <f t="shared" si="0"/>
        <v>0</v>
      </c>
      <c r="K62" s="57"/>
      <c r="L62" s="57"/>
      <c r="M62" s="57"/>
      <c r="N62" s="57"/>
    </row>
    <row r="63" spans="1:14">
      <c r="A63" s="64">
        <v>43556</v>
      </c>
      <c r="B63" s="21" t="s">
        <v>395</v>
      </c>
      <c r="C63" s="103"/>
      <c r="D63" s="21" t="s">
        <v>175</v>
      </c>
      <c r="E63" s="21" t="s">
        <v>176</v>
      </c>
      <c r="F63" s="33" t="s">
        <v>179</v>
      </c>
      <c r="G63" s="57"/>
      <c r="H63" s="54"/>
      <c r="I63" s="67"/>
      <c r="J63" s="57">
        <f t="shared" si="0"/>
        <v>0</v>
      </c>
      <c r="K63" s="57"/>
      <c r="L63" s="57"/>
      <c r="M63" s="57"/>
      <c r="N63" s="57"/>
    </row>
    <row r="64" spans="1:14">
      <c r="A64" s="64">
        <v>43556</v>
      </c>
      <c r="B64" s="21" t="s">
        <v>395</v>
      </c>
      <c r="C64" s="103"/>
      <c r="D64" s="21" t="s">
        <v>154</v>
      </c>
      <c r="E64" s="21" t="s">
        <v>181</v>
      </c>
      <c r="F64" s="33" t="s">
        <v>182</v>
      </c>
      <c r="G64" s="57"/>
      <c r="H64" s="54"/>
      <c r="I64" s="67"/>
      <c r="J64" s="57">
        <f t="shared" si="0"/>
        <v>0</v>
      </c>
      <c r="K64" s="57">
        <f>(J64+J65+J66+J82+J83+J84)*0.05*N2</f>
        <v>0</v>
      </c>
      <c r="L64" s="57">
        <f>K64/0.05*0.25</f>
        <v>0</v>
      </c>
      <c r="M64" s="57">
        <f>L64-K64</f>
        <v>0</v>
      </c>
      <c r="N64" s="57"/>
    </row>
    <row r="65" spans="1:14">
      <c r="A65" s="64">
        <v>43556</v>
      </c>
      <c r="B65" s="21" t="s">
        <v>395</v>
      </c>
      <c r="C65" s="103"/>
      <c r="D65" s="21" t="s">
        <v>154</v>
      </c>
      <c r="E65" s="21" t="s">
        <v>181</v>
      </c>
      <c r="F65" s="33" t="s">
        <v>183</v>
      </c>
      <c r="G65" s="57"/>
      <c r="H65" s="54"/>
      <c r="I65" s="67"/>
      <c r="J65" s="57">
        <f t="shared" si="0"/>
        <v>0</v>
      </c>
      <c r="K65" s="57"/>
      <c r="L65" s="57"/>
      <c r="M65" s="57"/>
      <c r="N65" s="57"/>
    </row>
    <row r="66" spans="1:14">
      <c r="A66" s="64">
        <v>43556</v>
      </c>
      <c r="B66" s="21" t="s">
        <v>395</v>
      </c>
      <c r="C66" s="103"/>
      <c r="D66" s="21" t="s">
        <v>154</v>
      </c>
      <c r="E66" s="21" t="s">
        <v>181</v>
      </c>
      <c r="F66" s="33" t="s">
        <v>184</v>
      </c>
      <c r="G66" s="57"/>
      <c r="H66" s="54"/>
      <c r="I66" s="67"/>
      <c r="J66" s="57">
        <f t="shared" si="0"/>
        <v>0</v>
      </c>
      <c r="K66" s="57"/>
      <c r="L66" s="57"/>
      <c r="M66" s="57"/>
      <c r="N66" s="57"/>
    </row>
    <row r="67" spans="1:14">
      <c r="A67" s="64">
        <v>43556</v>
      </c>
      <c r="B67" s="21" t="s">
        <v>395</v>
      </c>
      <c r="C67" s="103"/>
      <c r="D67" s="21" t="s">
        <v>342</v>
      </c>
      <c r="E67" s="21" t="s">
        <v>161</v>
      </c>
      <c r="F67" s="33" t="s">
        <v>290</v>
      </c>
      <c r="G67" s="57"/>
      <c r="H67" s="54"/>
      <c r="I67" s="67"/>
      <c r="J67" s="57">
        <f t="shared" ref="J67:J115" si="2">G67*H67*1-I67</f>
        <v>0</v>
      </c>
      <c r="K67" s="57"/>
      <c r="L67" s="57"/>
      <c r="M67" s="57"/>
      <c r="N67" s="57"/>
    </row>
    <row r="68" spans="1:14">
      <c r="A68" s="64">
        <v>43556</v>
      </c>
      <c r="B68" s="21" t="s">
        <v>395</v>
      </c>
      <c r="C68" s="103"/>
      <c r="D68" s="21" t="s">
        <v>342</v>
      </c>
      <c r="E68" s="21" t="s">
        <v>161</v>
      </c>
      <c r="F68" s="33" t="s">
        <v>162</v>
      </c>
      <c r="G68" s="57"/>
      <c r="H68" s="54"/>
      <c r="I68" s="67"/>
      <c r="J68" s="57">
        <f t="shared" si="2"/>
        <v>0</v>
      </c>
      <c r="K68" s="57"/>
      <c r="L68" s="57"/>
      <c r="M68" s="57"/>
      <c r="N68" s="57"/>
    </row>
    <row r="69" spans="1:14">
      <c r="A69" s="64">
        <v>43556</v>
      </c>
      <c r="B69" s="21" t="s">
        <v>395</v>
      </c>
      <c r="C69" s="103"/>
      <c r="D69" s="21" t="s">
        <v>342</v>
      </c>
      <c r="E69" s="21" t="s">
        <v>161</v>
      </c>
      <c r="F69" s="33" t="s">
        <v>163</v>
      </c>
      <c r="G69" s="57"/>
      <c r="H69" s="54"/>
      <c r="I69" s="67"/>
      <c r="J69" s="57">
        <f t="shared" si="2"/>
        <v>0</v>
      </c>
      <c r="K69" s="57"/>
      <c r="L69" s="57"/>
      <c r="M69" s="57"/>
      <c r="N69" s="57"/>
    </row>
    <row r="70" spans="1:14">
      <c r="A70" s="64">
        <v>43556</v>
      </c>
      <c r="B70" s="21" t="s">
        <v>395</v>
      </c>
      <c r="C70" s="103"/>
      <c r="D70" s="21" t="s">
        <v>160</v>
      </c>
      <c r="E70" s="21" t="s">
        <v>161</v>
      </c>
      <c r="F70" s="33" t="s">
        <v>290</v>
      </c>
      <c r="G70" s="57"/>
      <c r="H70" s="54"/>
      <c r="I70" s="67"/>
      <c r="J70" s="57">
        <f t="shared" si="2"/>
        <v>0</v>
      </c>
      <c r="K70" s="57">
        <f>(J70+J71+J72+J67+J68+J69)*0.04*N2</f>
        <v>0</v>
      </c>
      <c r="L70" s="57">
        <f>K70/0.04*0.25</f>
        <v>0</v>
      </c>
      <c r="M70" s="57">
        <f>L70-K70</f>
        <v>0</v>
      </c>
      <c r="N70" s="57"/>
    </row>
    <row r="71" spans="1:14">
      <c r="A71" s="64">
        <v>43556</v>
      </c>
      <c r="B71" s="21" t="s">
        <v>395</v>
      </c>
      <c r="C71" s="103"/>
      <c r="D71" s="21" t="s">
        <v>160</v>
      </c>
      <c r="E71" s="21" t="s">
        <v>161</v>
      </c>
      <c r="F71" s="33" t="s">
        <v>162</v>
      </c>
      <c r="G71" s="57"/>
      <c r="H71" s="54"/>
      <c r="I71" s="67"/>
      <c r="J71" s="57">
        <f t="shared" si="2"/>
        <v>0</v>
      </c>
      <c r="K71" s="57"/>
      <c r="L71" s="57"/>
      <c r="M71" s="57"/>
      <c r="N71" s="57"/>
    </row>
    <row r="72" spans="1:14">
      <c r="A72" s="64">
        <v>43556</v>
      </c>
      <c r="B72" s="21" t="s">
        <v>395</v>
      </c>
      <c r="C72" s="103"/>
      <c r="D72" s="21" t="s">
        <v>160</v>
      </c>
      <c r="E72" s="21" t="s">
        <v>161</v>
      </c>
      <c r="F72" s="33" t="s">
        <v>163</v>
      </c>
      <c r="G72" s="57"/>
      <c r="H72" s="54"/>
      <c r="I72" s="67"/>
      <c r="J72" s="57">
        <f t="shared" si="2"/>
        <v>0</v>
      </c>
      <c r="K72" s="57"/>
      <c r="L72" s="57"/>
      <c r="M72" s="57"/>
      <c r="N72" s="57"/>
    </row>
    <row r="73" spans="1:14">
      <c r="A73" s="64">
        <v>43556</v>
      </c>
      <c r="B73" s="21" t="s">
        <v>395</v>
      </c>
      <c r="C73" s="103"/>
      <c r="D73" s="21" t="s">
        <v>180</v>
      </c>
      <c r="E73" s="21" t="s">
        <v>176</v>
      </c>
      <c r="F73" s="33" t="s">
        <v>177</v>
      </c>
      <c r="G73" s="57"/>
      <c r="H73" s="54"/>
      <c r="I73" s="68"/>
      <c r="J73" s="57">
        <f t="shared" si="2"/>
        <v>0</v>
      </c>
      <c r="K73" s="57">
        <f>(J73+J74+J75+J61+J62+J63)*0.03*N2</f>
        <v>0</v>
      </c>
      <c r="L73" s="57">
        <f>K73/0.03*0.25</f>
        <v>0</v>
      </c>
      <c r="M73" s="57">
        <f>L73-K73</f>
        <v>0</v>
      </c>
      <c r="N73" s="57"/>
    </row>
    <row r="74" spans="1:14">
      <c r="A74" s="64">
        <v>43556</v>
      </c>
      <c r="B74" s="21" t="s">
        <v>395</v>
      </c>
      <c r="C74" s="103"/>
      <c r="D74" s="21" t="s">
        <v>180</v>
      </c>
      <c r="E74" s="21" t="s">
        <v>176</v>
      </c>
      <c r="F74" s="33" t="s">
        <v>178</v>
      </c>
      <c r="G74" s="57"/>
      <c r="H74" s="54"/>
      <c r="I74" s="67"/>
      <c r="J74" s="57">
        <f t="shared" si="2"/>
        <v>0</v>
      </c>
      <c r="K74" s="57"/>
      <c r="L74" s="57"/>
      <c r="M74" s="57"/>
      <c r="N74" s="57"/>
    </row>
    <row r="75" spans="1:14">
      <c r="A75" s="64"/>
      <c r="C75" s="103"/>
      <c r="D75" s="21" t="s">
        <v>180</v>
      </c>
      <c r="E75" s="21" t="s">
        <v>176</v>
      </c>
      <c r="F75" s="33" t="s">
        <v>179</v>
      </c>
      <c r="G75" s="57"/>
      <c r="H75" s="54"/>
      <c r="I75" s="67"/>
      <c r="J75" s="57">
        <f t="shared" si="2"/>
        <v>0</v>
      </c>
      <c r="K75" s="57"/>
      <c r="L75" s="57"/>
      <c r="M75" s="57"/>
      <c r="N75" s="57"/>
    </row>
    <row r="76" spans="1:14">
      <c r="A76" s="64"/>
      <c r="C76" s="103"/>
      <c r="D76" s="21" t="s">
        <v>174</v>
      </c>
      <c r="E76" s="21" t="s">
        <v>170</v>
      </c>
      <c r="F76" s="33" t="s">
        <v>171</v>
      </c>
      <c r="G76" s="57"/>
      <c r="H76" s="54"/>
      <c r="I76" s="67"/>
      <c r="J76" s="57">
        <f t="shared" si="2"/>
        <v>0</v>
      </c>
      <c r="K76" s="57"/>
      <c r="L76" s="57"/>
      <c r="M76" s="57"/>
      <c r="N76" s="57"/>
    </row>
    <row r="77" spans="1:14">
      <c r="A77" s="64">
        <v>43556</v>
      </c>
      <c r="B77" s="21" t="s">
        <v>395</v>
      </c>
      <c r="C77" s="103"/>
      <c r="D77" s="21" t="s">
        <v>174</v>
      </c>
      <c r="E77" s="21" t="s">
        <v>170</v>
      </c>
      <c r="F77" s="33" t="s">
        <v>172</v>
      </c>
      <c r="G77" s="57"/>
      <c r="H77" s="54"/>
      <c r="I77" s="67"/>
      <c r="J77" s="57">
        <f t="shared" si="2"/>
        <v>0</v>
      </c>
      <c r="K77" s="57"/>
      <c r="L77" s="57"/>
      <c r="M77" s="57"/>
      <c r="N77" s="57"/>
    </row>
    <row r="78" spans="1:14">
      <c r="A78" s="64"/>
      <c r="C78" s="103"/>
      <c r="D78" s="21" t="s">
        <v>174</v>
      </c>
      <c r="E78" s="21" t="s">
        <v>170</v>
      </c>
      <c r="F78" s="33" t="s">
        <v>173</v>
      </c>
      <c r="G78" s="57"/>
      <c r="H78" s="54"/>
      <c r="I78" s="67"/>
      <c r="J78" s="57">
        <f t="shared" si="2"/>
        <v>0</v>
      </c>
      <c r="K78" s="57"/>
      <c r="L78" s="57"/>
      <c r="M78" s="57"/>
      <c r="N78" s="57"/>
    </row>
    <row r="79" spans="1:14">
      <c r="A79" s="64">
        <v>43556</v>
      </c>
      <c r="B79" s="21" t="s">
        <v>395</v>
      </c>
      <c r="C79" s="103"/>
      <c r="D79" s="21" t="s">
        <v>169</v>
      </c>
      <c r="E79" s="21" t="s">
        <v>170</v>
      </c>
      <c r="F79" s="33" t="s">
        <v>171</v>
      </c>
      <c r="G79" s="57"/>
      <c r="H79" s="54"/>
      <c r="I79" s="67"/>
      <c r="J79" s="57">
        <f t="shared" si="2"/>
        <v>0</v>
      </c>
      <c r="K79" s="57">
        <f>(J79+J81+J80+J77+J78+J76)*0.04*N2</f>
        <v>0</v>
      </c>
      <c r="L79" s="57">
        <f>K79/0.04*0.25</f>
        <v>0</v>
      </c>
      <c r="M79" s="57">
        <f>L79-K79</f>
        <v>0</v>
      </c>
      <c r="N79" s="57"/>
    </row>
    <row r="80" spans="1:14">
      <c r="A80" s="64">
        <v>43556</v>
      </c>
      <c r="B80" s="21" t="s">
        <v>395</v>
      </c>
      <c r="C80" s="103"/>
      <c r="D80" s="21" t="s">
        <v>169</v>
      </c>
      <c r="E80" s="21" t="s">
        <v>170</v>
      </c>
      <c r="F80" s="33" t="s">
        <v>172</v>
      </c>
      <c r="G80" s="57"/>
      <c r="H80" s="54"/>
      <c r="I80" s="67"/>
      <c r="J80" s="57">
        <f t="shared" si="2"/>
        <v>0</v>
      </c>
      <c r="K80" s="57"/>
      <c r="L80" s="57"/>
      <c r="M80" s="57"/>
      <c r="N80" s="57"/>
    </row>
    <row r="81" spans="1:14">
      <c r="A81" s="64">
        <v>43556</v>
      </c>
      <c r="B81" s="21" t="s">
        <v>395</v>
      </c>
      <c r="C81" s="103"/>
      <c r="D81" s="21" t="s">
        <v>169</v>
      </c>
      <c r="E81" s="21" t="s">
        <v>170</v>
      </c>
      <c r="F81" s="33" t="s">
        <v>173</v>
      </c>
      <c r="G81" s="57"/>
      <c r="H81" s="54"/>
      <c r="I81" s="68"/>
      <c r="J81" s="57">
        <f t="shared" si="2"/>
        <v>0</v>
      </c>
      <c r="K81" s="57"/>
      <c r="L81" s="57"/>
      <c r="M81" s="57"/>
      <c r="N81" s="57"/>
    </row>
    <row r="82" spans="1:14">
      <c r="A82" s="64">
        <v>43556</v>
      </c>
      <c r="B82" s="21" t="s">
        <v>395</v>
      </c>
      <c r="C82" s="103"/>
      <c r="D82" s="21" t="s">
        <v>88</v>
      </c>
      <c r="E82" s="21" t="s">
        <v>181</v>
      </c>
      <c r="F82" s="33" t="s">
        <v>182</v>
      </c>
      <c r="G82" s="57"/>
      <c r="H82" s="54"/>
      <c r="I82" s="68"/>
      <c r="J82" s="57">
        <f t="shared" si="2"/>
        <v>0</v>
      </c>
      <c r="K82" s="57"/>
      <c r="L82" s="57"/>
      <c r="M82" s="57"/>
      <c r="N82" s="57"/>
    </row>
    <row r="83" spans="1:14">
      <c r="A83" s="64">
        <v>43556</v>
      </c>
      <c r="B83" s="21" t="s">
        <v>395</v>
      </c>
      <c r="C83" s="103"/>
      <c r="D83" s="21" t="s">
        <v>88</v>
      </c>
      <c r="E83" s="21" t="s">
        <v>181</v>
      </c>
      <c r="F83" s="33" t="s">
        <v>183</v>
      </c>
      <c r="G83" s="57"/>
      <c r="H83" s="54"/>
      <c r="I83" s="67"/>
      <c r="J83" s="57">
        <f t="shared" si="2"/>
        <v>0</v>
      </c>
      <c r="K83" s="57"/>
      <c r="L83" s="57"/>
      <c r="M83" s="57"/>
      <c r="N83" s="57"/>
    </row>
    <row r="84" spans="1:14">
      <c r="A84" s="64">
        <v>43556</v>
      </c>
      <c r="B84" s="21" t="s">
        <v>395</v>
      </c>
      <c r="C84" s="103"/>
      <c r="D84" s="21" t="s">
        <v>88</v>
      </c>
      <c r="E84" s="21" t="s">
        <v>181</v>
      </c>
      <c r="F84" s="33" t="s">
        <v>184</v>
      </c>
      <c r="G84" s="57"/>
      <c r="H84" s="54"/>
      <c r="I84" s="67"/>
      <c r="J84" s="57">
        <f t="shared" si="2"/>
        <v>0</v>
      </c>
      <c r="K84" s="57"/>
      <c r="L84" s="57"/>
      <c r="M84" s="57"/>
      <c r="N84" s="57"/>
    </row>
    <row r="85" spans="1:14">
      <c r="A85" s="64"/>
      <c r="C85" s="103"/>
      <c r="D85" s="21" t="s">
        <v>165</v>
      </c>
      <c r="E85" s="21" t="s">
        <v>144</v>
      </c>
      <c r="F85" s="33" t="s">
        <v>167</v>
      </c>
      <c r="G85" s="57"/>
      <c r="H85" s="54"/>
      <c r="I85" s="67"/>
      <c r="J85" s="57">
        <f t="shared" si="2"/>
        <v>0</v>
      </c>
      <c r="K85" s="57"/>
      <c r="L85" s="57"/>
      <c r="M85" s="57"/>
      <c r="N85" s="57"/>
    </row>
    <row r="86" spans="1:14">
      <c r="A86" s="64"/>
      <c r="C86" s="103"/>
      <c r="D86" s="75" t="s">
        <v>148</v>
      </c>
      <c r="E86" s="75" t="s">
        <v>149</v>
      </c>
      <c r="F86" s="75" t="s">
        <v>150</v>
      </c>
      <c r="G86" s="76"/>
      <c r="H86" s="77"/>
      <c r="I86" s="67"/>
      <c r="J86" s="57">
        <f t="shared" si="2"/>
        <v>0</v>
      </c>
      <c r="K86" s="57"/>
      <c r="L86" s="57"/>
      <c r="M86" s="57"/>
      <c r="N86" s="57"/>
    </row>
    <row r="87" spans="1:14">
      <c r="A87" s="64"/>
      <c r="C87" s="104"/>
      <c r="D87" s="75" t="s">
        <v>148</v>
      </c>
      <c r="E87" s="75" t="s">
        <v>149</v>
      </c>
      <c r="F87" s="75" t="s">
        <v>151</v>
      </c>
      <c r="G87" s="76"/>
      <c r="H87" s="77"/>
      <c r="I87" s="67"/>
      <c r="J87" s="57">
        <f t="shared" si="2"/>
        <v>0</v>
      </c>
      <c r="K87" s="57"/>
      <c r="L87" s="57"/>
      <c r="M87" s="57"/>
      <c r="N87" s="57"/>
    </row>
    <row r="88" spans="1:14">
      <c r="A88" s="64"/>
      <c r="C88" s="103" t="s">
        <v>83</v>
      </c>
      <c r="D88" s="21" t="s">
        <v>321</v>
      </c>
      <c r="E88" s="21" t="s">
        <v>99</v>
      </c>
      <c r="F88" s="33" t="s">
        <v>100</v>
      </c>
      <c r="G88" s="57"/>
      <c r="H88" s="54"/>
      <c r="I88" s="67"/>
      <c r="J88" s="57">
        <f t="shared" si="2"/>
        <v>0</v>
      </c>
      <c r="K88" s="57"/>
      <c r="L88" s="57"/>
      <c r="M88" s="57"/>
      <c r="N88" s="57"/>
    </row>
    <row r="89" spans="1:14">
      <c r="A89" s="64">
        <v>43556</v>
      </c>
      <c r="B89" s="21" t="s">
        <v>395</v>
      </c>
      <c r="C89" s="103"/>
      <c r="D89" s="21" t="s">
        <v>320</v>
      </c>
      <c r="E89" s="21" t="s">
        <v>99</v>
      </c>
      <c r="F89" s="33" t="s">
        <v>100</v>
      </c>
      <c r="G89" s="57"/>
      <c r="H89" s="54"/>
      <c r="I89" s="67"/>
      <c r="J89" s="57">
        <f t="shared" si="2"/>
        <v>0</v>
      </c>
      <c r="K89" s="57">
        <f>(J89+J90+J88)*0.03*N2</f>
        <v>0</v>
      </c>
      <c r="L89" s="57">
        <f>K89/0.03*0.25</f>
        <v>0</v>
      </c>
      <c r="M89" s="57">
        <f>L89-K89</f>
        <v>0</v>
      </c>
      <c r="N89" s="57"/>
    </row>
    <row r="90" spans="1:14">
      <c r="A90" s="64">
        <v>43556</v>
      </c>
      <c r="B90" s="21" t="s">
        <v>395</v>
      </c>
      <c r="C90" s="104"/>
      <c r="D90" s="21" t="s">
        <v>320</v>
      </c>
      <c r="E90" s="21" t="s">
        <v>99</v>
      </c>
      <c r="F90" s="33" t="s">
        <v>101</v>
      </c>
      <c r="G90" s="57"/>
      <c r="H90" s="54"/>
      <c r="I90" s="68"/>
      <c r="J90" s="57">
        <f t="shared" si="2"/>
        <v>0</v>
      </c>
      <c r="K90" s="57"/>
      <c r="L90" s="57"/>
      <c r="M90" s="57"/>
      <c r="N90" s="57"/>
    </row>
    <row r="91" spans="1:14">
      <c r="A91" s="64">
        <v>43556</v>
      </c>
      <c r="B91" s="21" t="s">
        <v>395</v>
      </c>
      <c r="C91" s="105" t="s">
        <v>243</v>
      </c>
      <c r="D91" s="21" t="s">
        <v>138</v>
      </c>
      <c r="E91" s="21" t="s">
        <v>108</v>
      </c>
      <c r="F91" s="33" t="s">
        <v>109</v>
      </c>
      <c r="G91" s="57"/>
      <c r="H91" s="54"/>
      <c r="I91" s="67"/>
      <c r="J91" s="57">
        <f t="shared" si="2"/>
        <v>0</v>
      </c>
      <c r="K91" s="57">
        <f>(J91+J92++J97+J98+J110+J111+J112)*0.03*N2</f>
        <v>0</v>
      </c>
      <c r="L91" s="57">
        <f>K91/0.03*0.25</f>
        <v>0</v>
      </c>
      <c r="M91" s="57">
        <f t="shared" ref="M91:M95" si="3">L91-K91</f>
        <v>0</v>
      </c>
      <c r="N91" s="57"/>
    </row>
    <row r="92" spans="1:14">
      <c r="A92" s="64">
        <v>43556</v>
      </c>
      <c r="B92" s="21" t="s">
        <v>395</v>
      </c>
      <c r="C92" s="105"/>
      <c r="D92" s="21" t="s">
        <v>138</v>
      </c>
      <c r="E92" s="21" t="s">
        <v>108</v>
      </c>
      <c r="F92" s="33" t="s">
        <v>110</v>
      </c>
      <c r="G92" s="57"/>
      <c r="H92" s="54"/>
      <c r="I92" s="67"/>
      <c r="J92" s="57">
        <f t="shared" si="2"/>
        <v>0</v>
      </c>
      <c r="K92" s="57"/>
      <c r="L92" s="57"/>
      <c r="M92" s="57"/>
      <c r="N92" s="57"/>
    </row>
    <row r="93" spans="1:14">
      <c r="A93" s="64">
        <v>43556</v>
      </c>
      <c r="B93" s="21" t="s">
        <v>395</v>
      </c>
      <c r="C93" s="105"/>
      <c r="D93" s="21" t="s">
        <v>112</v>
      </c>
      <c r="E93" s="21" t="s">
        <v>113</v>
      </c>
      <c r="F93" s="33" t="s">
        <v>114</v>
      </c>
      <c r="G93" s="57"/>
      <c r="H93" s="54"/>
      <c r="I93" s="67"/>
      <c r="J93" s="57">
        <f t="shared" si="2"/>
        <v>0</v>
      </c>
      <c r="K93" s="57"/>
      <c r="L93" s="57">
        <f>K93/0.03*0.25</f>
        <v>0</v>
      </c>
      <c r="M93" s="57">
        <f t="shared" si="3"/>
        <v>0</v>
      </c>
      <c r="N93" s="57"/>
    </row>
    <row r="94" spans="1:14">
      <c r="A94" s="64">
        <v>43556</v>
      </c>
      <c r="B94" s="21" t="s">
        <v>395</v>
      </c>
      <c r="C94" s="105"/>
      <c r="D94" s="21" t="s">
        <v>112</v>
      </c>
      <c r="E94" s="21" t="s">
        <v>113</v>
      </c>
      <c r="F94" s="33" t="s">
        <v>115</v>
      </c>
      <c r="G94" s="57"/>
      <c r="H94" s="54"/>
      <c r="I94" s="67"/>
      <c r="J94" s="57">
        <f t="shared" si="2"/>
        <v>0</v>
      </c>
      <c r="K94" s="57"/>
      <c r="L94" s="57"/>
      <c r="M94" s="57"/>
      <c r="N94" s="57"/>
    </row>
    <row r="95" spans="1:14">
      <c r="A95" s="64">
        <v>43556</v>
      </c>
      <c r="B95" s="21" t="s">
        <v>395</v>
      </c>
      <c r="C95" s="105"/>
      <c r="D95" s="21" t="s">
        <v>128</v>
      </c>
      <c r="E95" s="21" t="s">
        <v>129</v>
      </c>
      <c r="F95" s="33" t="s">
        <v>130</v>
      </c>
      <c r="G95" s="57"/>
      <c r="H95" s="54"/>
      <c r="I95" s="67"/>
      <c r="J95" s="57">
        <f t="shared" si="2"/>
        <v>0</v>
      </c>
      <c r="K95" s="57">
        <f>(J95+J96+J117+J118)*0.05*N2</f>
        <v>0</v>
      </c>
      <c r="L95" s="57">
        <f>K95/0.05*0.25</f>
        <v>0</v>
      </c>
      <c r="M95" s="57">
        <f t="shared" si="3"/>
        <v>0</v>
      </c>
      <c r="N95" s="57"/>
    </row>
    <row r="96" spans="1:14">
      <c r="A96" s="64">
        <v>43556</v>
      </c>
      <c r="B96" s="21" t="s">
        <v>395</v>
      </c>
      <c r="C96" s="105"/>
      <c r="D96" s="21" t="s">
        <v>128</v>
      </c>
      <c r="E96" s="21" t="s">
        <v>129</v>
      </c>
      <c r="F96" s="33" t="s">
        <v>131</v>
      </c>
      <c r="G96" s="57"/>
      <c r="H96" s="54"/>
      <c r="I96" s="67"/>
      <c r="J96" s="57">
        <f t="shared" si="2"/>
        <v>0</v>
      </c>
      <c r="K96" s="57"/>
      <c r="L96" s="57"/>
      <c r="M96" s="57"/>
      <c r="N96" s="57"/>
    </row>
    <row r="97" spans="1:14">
      <c r="A97" s="64">
        <v>43556</v>
      </c>
      <c r="B97" s="21" t="s">
        <v>395</v>
      </c>
      <c r="C97" s="105"/>
      <c r="D97" s="21" t="s">
        <v>19</v>
      </c>
      <c r="E97" s="21" t="s">
        <v>108</v>
      </c>
      <c r="F97" s="33" t="s">
        <v>109</v>
      </c>
      <c r="G97" s="57"/>
      <c r="H97" s="54"/>
      <c r="I97" s="67"/>
      <c r="J97" s="57">
        <f t="shared" si="2"/>
        <v>0</v>
      </c>
      <c r="K97" s="57"/>
      <c r="L97" s="57"/>
      <c r="M97" s="57"/>
      <c r="N97" s="57"/>
    </row>
    <row r="98" spans="1:14">
      <c r="A98" s="64">
        <v>43556</v>
      </c>
      <c r="B98" s="21" t="s">
        <v>395</v>
      </c>
      <c r="C98" s="105"/>
      <c r="D98" s="21" t="s">
        <v>19</v>
      </c>
      <c r="E98" s="21" t="s">
        <v>108</v>
      </c>
      <c r="F98" s="33" t="s">
        <v>110</v>
      </c>
      <c r="G98" s="57"/>
      <c r="H98" s="54"/>
      <c r="I98" s="67"/>
      <c r="J98" s="57">
        <f t="shared" si="2"/>
        <v>0</v>
      </c>
      <c r="K98" s="57"/>
      <c r="L98" s="57"/>
      <c r="M98" s="57"/>
      <c r="N98" s="57"/>
    </row>
    <row r="99" spans="1:14">
      <c r="A99" s="64">
        <v>43556</v>
      </c>
      <c r="B99" s="21" t="s">
        <v>395</v>
      </c>
      <c r="C99" s="105"/>
      <c r="D99" s="21" t="s">
        <v>120</v>
      </c>
      <c r="E99" s="21" t="s">
        <v>121</v>
      </c>
      <c r="F99" s="33" t="s">
        <v>122</v>
      </c>
      <c r="G99" s="57"/>
      <c r="H99" s="54"/>
      <c r="I99" s="67"/>
      <c r="J99" s="57">
        <f t="shared" si="2"/>
        <v>0</v>
      </c>
      <c r="K99" s="57">
        <f>(J99+J100+J101+J102+J106+J107+J108+J109)*0.05*N2</f>
        <v>0</v>
      </c>
      <c r="L99" s="57">
        <f>K99/0.05*0.25</f>
        <v>0</v>
      </c>
      <c r="M99" s="57">
        <f>L99-K99</f>
        <v>0</v>
      </c>
      <c r="N99" s="57"/>
    </row>
    <row r="100" spans="1:14">
      <c r="A100" s="64">
        <v>43556</v>
      </c>
      <c r="B100" s="21" t="s">
        <v>395</v>
      </c>
      <c r="C100" s="105"/>
      <c r="D100" s="21" t="s">
        <v>120</v>
      </c>
      <c r="E100" s="21" t="s">
        <v>121</v>
      </c>
      <c r="F100" s="33" t="s">
        <v>124</v>
      </c>
      <c r="G100" s="57"/>
      <c r="H100" s="54"/>
      <c r="I100" s="67"/>
      <c r="J100" s="57">
        <f t="shared" si="2"/>
        <v>0</v>
      </c>
      <c r="K100" s="57"/>
      <c r="L100" s="57"/>
      <c r="M100" s="57"/>
      <c r="N100" s="57"/>
    </row>
    <row r="101" spans="1:14">
      <c r="A101" s="64">
        <v>43556</v>
      </c>
      <c r="B101" s="21" t="s">
        <v>395</v>
      </c>
      <c r="C101" s="105"/>
      <c r="D101" s="21" t="s">
        <v>126</v>
      </c>
      <c r="E101" s="21" t="s">
        <v>121</v>
      </c>
      <c r="F101" s="33" t="s">
        <v>122</v>
      </c>
      <c r="G101" s="57"/>
      <c r="H101" s="54"/>
      <c r="I101" s="67"/>
      <c r="J101" s="57">
        <f t="shared" si="2"/>
        <v>0</v>
      </c>
      <c r="K101" s="57"/>
      <c r="L101" s="57"/>
      <c r="M101" s="57"/>
      <c r="N101" s="57"/>
    </row>
    <row r="102" spans="1:14">
      <c r="A102" s="64">
        <v>43556</v>
      </c>
      <c r="B102" s="21" t="s">
        <v>395</v>
      </c>
      <c r="C102" s="105"/>
      <c r="D102" s="21" t="s">
        <v>126</v>
      </c>
      <c r="E102" s="21" t="s">
        <v>121</v>
      </c>
      <c r="F102" s="33" t="s">
        <v>124</v>
      </c>
      <c r="G102" s="57"/>
      <c r="H102" s="54"/>
      <c r="I102" s="67"/>
      <c r="J102" s="57">
        <f t="shared" si="2"/>
        <v>0</v>
      </c>
      <c r="K102" s="57"/>
      <c r="L102" s="57"/>
      <c r="M102" s="57"/>
      <c r="N102" s="57"/>
    </row>
    <row r="103" spans="1:14">
      <c r="A103" s="64">
        <v>43556</v>
      </c>
      <c r="B103" s="21" t="s">
        <v>395</v>
      </c>
      <c r="C103" s="105"/>
      <c r="D103" s="21" t="s">
        <v>280</v>
      </c>
      <c r="E103" s="21" t="s">
        <v>113</v>
      </c>
      <c r="F103" s="33" t="s">
        <v>135</v>
      </c>
      <c r="G103" s="57"/>
      <c r="H103" s="54"/>
      <c r="I103" s="67"/>
      <c r="J103" s="57">
        <f t="shared" si="2"/>
        <v>0</v>
      </c>
      <c r="K103" s="57"/>
      <c r="L103" s="57"/>
      <c r="M103" s="57"/>
      <c r="N103" s="57"/>
    </row>
    <row r="104" spans="1:14">
      <c r="A104" s="64">
        <v>43556</v>
      </c>
      <c r="B104" s="21" t="s">
        <v>395</v>
      </c>
      <c r="C104" s="105"/>
      <c r="D104" s="21" t="s">
        <v>280</v>
      </c>
      <c r="E104" s="21" t="s">
        <v>113</v>
      </c>
      <c r="F104" s="33" t="s">
        <v>136</v>
      </c>
      <c r="G104" s="57"/>
      <c r="H104" s="54"/>
      <c r="I104" s="68"/>
      <c r="J104" s="57">
        <f t="shared" si="2"/>
        <v>0</v>
      </c>
      <c r="K104" s="57"/>
      <c r="L104" s="57"/>
      <c r="M104" s="57"/>
      <c r="N104" s="57"/>
    </row>
    <row r="105" spans="1:14">
      <c r="A105" s="64">
        <v>43556</v>
      </c>
      <c r="B105" s="21" t="s">
        <v>395</v>
      </c>
      <c r="C105" s="105"/>
      <c r="D105" s="21" t="s">
        <v>134</v>
      </c>
      <c r="E105" s="21" t="s">
        <v>113</v>
      </c>
      <c r="F105" s="33" t="s">
        <v>135</v>
      </c>
      <c r="G105" s="57"/>
      <c r="H105" s="54"/>
      <c r="I105" s="67"/>
      <c r="J105" s="57">
        <f t="shared" si="2"/>
        <v>0</v>
      </c>
      <c r="K105" s="57"/>
      <c r="L105" s="57"/>
      <c r="M105" s="57"/>
      <c r="N105" s="57"/>
    </row>
    <row r="106" spans="1:14">
      <c r="A106" s="64">
        <v>43556</v>
      </c>
      <c r="B106" s="21" t="s">
        <v>395</v>
      </c>
      <c r="C106" s="105"/>
      <c r="D106" s="21" t="s">
        <v>123</v>
      </c>
      <c r="E106" s="21" t="s">
        <v>121</v>
      </c>
      <c r="F106" s="33" t="s">
        <v>122</v>
      </c>
      <c r="G106" s="57"/>
      <c r="H106" s="54"/>
      <c r="I106" s="68"/>
      <c r="J106" s="57">
        <f t="shared" si="2"/>
        <v>0</v>
      </c>
      <c r="K106" s="57"/>
      <c r="L106" s="57"/>
      <c r="M106" s="57"/>
      <c r="N106" s="57"/>
    </row>
    <row r="107" spans="1:14">
      <c r="A107" s="64">
        <v>43556</v>
      </c>
      <c r="B107" s="21" t="s">
        <v>395</v>
      </c>
      <c r="C107" s="105"/>
      <c r="D107" s="21" t="s">
        <v>123</v>
      </c>
      <c r="E107" s="21" t="s">
        <v>121</v>
      </c>
      <c r="F107" s="33" t="s">
        <v>124</v>
      </c>
      <c r="G107" s="57"/>
      <c r="H107" s="54"/>
      <c r="I107" s="67"/>
      <c r="J107" s="57">
        <f t="shared" si="2"/>
        <v>0</v>
      </c>
      <c r="K107" s="57"/>
      <c r="L107" s="57"/>
      <c r="M107" s="57"/>
      <c r="N107" s="57"/>
    </row>
    <row r="108" spans="1:14">
      <c r="A108" s="64">
        <v>43556</v>
      </c>
      <c r="B108" s="21" t="s">
        <v>395</v>
      </c>
      <c r="C108" s="105"/>
      <c r="D108" s="21" t="s">
        <v>125</v>
      </c>
      <c r="E108" s="21" t="s">
        <v>121</v>
      </c>
      <c r="F108" s="33" t="s">
        <v>122</v>
      </c>
      <c r="G108" s="57"/>
      <c r="H108" s="54"/>
      <c r="I108" s="67"/>
      <c r="J108" s="57">
        <f t="shared" si="2"/>
        <v>0</v>
      </c>
      <c r="K108" s="57"/>
      <c r="L108" s="57"/>
      <c r="M108" s="57"/>
      <c r="N108" s="57"/>
    </row>
    <row r="109" spans="1:14">
      <c r="A109" s="64">
        <v>43556</v>
      </c>
      <c r="B109" s="21" t="s">
        <v>395</v>
      </c>
      <c r="C109" s="105"/>
      <c r="D109" s="21" t="s">
        <v>125</v>
      </c>
      <c r="E109" s="21" t="s">
        <v>121</v>
      </c>
      <c r="F109" s="33" t="s">
        <v>124</v>
      </c>
      <c r="G109" s="57"/>
      <c r="H109" s="54"/>
      <c r="I109" s="67"/>
      <c r="J109" s="57">
        <f t="shared" si="2"/>
        <v>0</v>
      </c>
      <c r="K109" s="57"/>
      <c r="L109" s="57"/>
      <c r="M109" s="57"/>
      <c r="N109" s="57"/>
    </row>
    <row r="110" spans="1:14">
      <c r="A110" s="64">
        <v>43556</v>
      </c>
      <c r="B110" s="21" t="s">
        <v>395</v>
      </c>
      <c r="C110" s="105"/>
      <c r="D110" s="21" t="s">
        <v>111</v>
      </c>
      <c r="E110" s="21" t="s">
        <v>108</v>
      </c>
      <c r="F110" s="33" t="s">
        <v>109</v>
      </c>
      <c r="G110" s="57"/>
      <c r="H110" s="54"/>
      <c r="I110" s="67"/>
      <c r="J110" s="57">
        <f t="shared" si="2"/>
        <v>0</v>
      </c>
      <c r="K110" s="57"/>
      <c r="L110" s="57"/>
      <c r="M110" s="57"/>
      <c r="N110" s="57"/>
    </row>
    <row r="111" spans="1:14">
      <c r="A111" s="64"/>
      <c r="C111" s="105"/>
      <c r="D111" s="21" t="s">
        <v>107</v>
      </c>
      <c r="E111" s="21" t="s">
        <v>108</v>
      </c>
      <c r="F111" s="33" t="s">
        <v>109</v>
      </c>
      <c r="G111" s="57"/>
      <c r="H111" s="54"/>
      <c r="I111" s="67"/>
      <c r="J111" s="57">
        <f t="shared" si="2"/>
        <v>0</v>
      </c>
      <c r="K111" s="57"/>
      <c r="L111" s="57"/>
      <c r="M111" s="57"/>
      <c r="N111" s="57"/>
    </row>
    <row r="112" spans="1:14">
      <c r="A112" s="64"/>
      <c r="C112" s="105"/>
      <c r="D112" s="21" t="s">
        <v>285</v>
      </c>
      <c r="E112" s="21" t="s">
        <v>108</v>
      </c>
      <c r="F112" s="33" t="s">
        <v>110</v>
      </c>
      <c r="G112" s="57"/>
      <c r="H112" s="54"/>
      <c r="I112" s="67"/>
      <c r="J112" s="57">
        <f t="shared" si="2"/>
        <v>0</v>
      </c>
      <c r="K112" s="57"/>
      <c r="L112" s="57"/>
      <c r="M112" s="57"/>
      <c r="N112" s="57"/>
    </row>
    <row r="113" spans="1:14">
      <c r="A113" s="64">
        <v>43556</v>
      </c>
      <c r="B113" s="21" t="s">
        <v>395</v>
      </c>
      <c r="C113" s="105"/>
      <c r="D113" s="21" t="s">
        <v>127</v>
      </c>
      <c r="E113" s="21" t="s">
        <v>117</v>
      </c>
      <c r="F113" s="33" t="s">
        <v>118</v>
      </c>
      <c r="G113" s="57"/>
      <c r="H113" s="54"/>
      <c r="I113" s="67"/>
      <c r="J113" s="57">
        <f t="shared" si="2"/>
        <v>0</v>
      </c>
      <c r="K113" s="57">
        <f>(J113+J114+J115+J116)*0.15*N2</f>
        <v>0</v>
      </c>
      <c r="L113" s="57"/>
      <c r="M113" s="57"/>
      <c r="N113" s="57"/>
    </row>
    <row r="114" spans="1:14">
      <c r="A114" s="64">
        <v>43556</v>
      </c>
      <c r="B114" s="21" t="s">
        <v>395</v>
      </c>
      <c r="C114" s="105"/>
      <c r="D114" s="21" t="s">
        <v>127</v>
      </c>
      <c r="E114" s="21" t="s">
        <v>117</v>
      </c>
      <c r="F114" s="33" t="s">
        <v>119</v>
      </c>
      <c r="G114" s="57"/>
      <c r="H114" s="54"/>
      <c r="I114" s="67"/>
      <c r="J114" s="57">
        <f t="shared" si="2"/>
        <v>0</v>
      </c>
      <c r="K114" s="57"/>
      <c r="L114" s="57"/>
      <c r="M114" s="57"/>
      <c r="N114" s="57"/>
    </row>
    <row r="115" spans="1:14">
      <c r="A115" s="64">
        <v>43556</v>
      </c>
      <c r="B115" s="21" t="s">
        <v>395</v>
      </c>
      <c r="C115" s="105"/>
      <c r="D115" s="21" t="s">
        <v>116</v>
      </c>
      <c r="E115" s="21" t="s">
        <v>117</v>
      </c>
      <c r="F115" s="33" t="s">
        <v>118</v>
      </c>
      <c r="G115" s="57"/>
      <c r="H115" s="54"/>
      <c r="I115" s="67"/>
      <c r="J115" s="57">
        <f t="shared" si="2"/>
        <v>0</v>
      </c>
      <c r="K115" s="57"/>
      <c r="L115" s="57"/>
      <c r="M115" s="57"/>
      <c r="N115" s="57"/>
    </row>
    <row r="116" spans="1:14">
      <c r="A116" s="64">
        <v>43556</v>
      </c>
      <c r="B116" s="21" t="s">
        <v>395</v>
      </c>
      <c r="C116" s="105"/>
      <c r="D116" s="21" t="s">
        <v>116</v>
      </c>
      <c r="E116" s="21" t="s">
        <v>117</v>
      </c>
      <c r="F116" s="33" t="s">
        <v>119</v>
      </c>
      <c r="G116" s="57"/>
      <c r="H116" s="54"/>
      <c r="I116" s="67"/>
      <c r="J116" s="57">
        <f t="shared" ref="J116:J147" si="4">G116*H116*1-I116</f>
        <v>0</v>
      </c>
      <c r="K116" s="57"/>
      <c r="L116" s="57"/>
      <c r="M116" s="57"/>
      <c r="N116" s="57"/>
    </row>
    <row r="117" spans="1:14">
      <c r="A117" s="64">
        <v>43556</v>
      </c>
      <c r="B117" s="21" t="s">
        <v>395</v>
      </c>
      <c r="C117" s="105"/>
      <c r="D117" s="21" t="s">
        <v>133</v>
      </c>
      <c r="E117" s="21" t="s">
        <v>129</v>
      </c>
      <c r="F117" s="33" t="s">
        <v>130</v>
      </c>
      <c r="G117" s="57"/>
      <c r="H117" s="54"/>
      <c r="I117" s="67"/>
      <c r="J117" s="57">
        <f t="shared" si="4"/>
        <v>0</v>
      </c>
      <c r="K117" s="57"/>
      <c r="L117" s="57">
        <f>K117/0.03*0.25</f>
        <v>0</v>
      </c>
      <c r="M117" s="57">
        <f>L117-K117</f>
        <v>0</v>
      </c>
      <c r="N117" s="57"/>
    </row>
    <row r="118" spans="1:14">
      <c r="A118" s="64">
        <v>43556</v>
      </c>
      <c r="B118" s="21" t="s">
        <v>395</v>
      </c>
      <c r="C118" s="105"/>
      <c r="D118" s="21" t="s">
        <v>133</v>
      </c>
      <c r="E118" s="21" t="s">
        <v>129</v>
      </c>
      <c r="F118" s="33" t="s">
        <v>131</v>
      </c>
      <c r="G118" s="57"/>
      <c r="H118" s="54"/>
      <c r="I118" s="67"/>
      <c r="J118" s="57">
        <f t="shared" si="4"/>
        <v>0</v>
      </c>
      <c r="K118" s="57"/>
      <c r="L118" s="57"/>
      <c r="M118" s="57"/>
      <c r="N118" s="57"/>
    </row>
    <row r="119" spans="1:14">
      <c r="A119" s="64">
        <v>43556</v>
      </c>
      <c r="B119" s="21" t="s">
        <v>395</v>
      </c>
      <c r="C119" s="105"/>
      <c r="D119" s="21" t="s">
        <v>137</v>
      </c>
      <c r="E119" s="21" t="s">
        <v>113</v>
      </c>
      <c r="F119" s="33" t="s">
        <v>114</v>
      </c>
      <c r="G119" s="57"/>
      <c r="H119" s="54"/>
      <c r="I119" s="67"/>
      <c r="J119" s="57">
        <f t="shared" si="4"/>
        <v>0</v>
      </c>
      <c r="K119" s="57"/>
      <c r="L119" s="57"/>
      <c r="M119" s="57"/>
      <c r="N119" s="57"/>
    </row>
    <row r="120" spans="1:14">
      <c r="A120" s="64">
        <v>43556</v>
      </c>
      <c r="B120" s="21" t="s">
        <v>395</v>
      </c>
      <c r="C120" s="105"/>
      <c r="D120" s="21" t="s">
        <v>137</v>
      </c>
      <c r="E120" s="21" t="s">
        <v>113</v>
      </c>
      <c r="F120" s="33" t="s">
        <v>115</v>
      </c>
      <c r="G120" s="57"/>
      <c r="H120" s="54"/>
      <c r="I120" s="67"/>
      <c r="J120" s="57">
        <f t="shared" si="4"/>
        <v>0</v>
      </c>
      <c r="K120" s="57"/>
      <c r="L120" s="57"/>
      <c r="M120" s="57"/>
      <c r="N120" s="57"/>
    </row>
    <row r="121" spans="1:14">
      <c r="A121" s="64">
        <v>43556</v>
      </c>
      <c r="B121" s="21" t="s">
        <v>395</v>
      </c>
      <c r="C121" s="21" t="s">
        <v>257</v>
      </c>
      <c r="D121" s="21" t="s">
        <v>258</v>
      </c>
      <c r="E121" s="21" t="s">
        <v>121</v>
      </c>
      <c r="F121" s="33" t="s">
        <v>122</v>
      </c>
      <c r="G121" s="57"/>
      <c r="H121" s="54"/>
      <c r="I121" s="67"/>
      <c r="J121" s="57">
        <f t="shared" si="4"/>
        <v>0</v>
      </c>
      <c r="K121" s="57"/>
      <c r="L121" s="57"/>
      <c r="M121" s="57"/>
      <c r="N121" s="57"/>
    </row>
    <row r="122" spans="1:14">
      <c r="A122" s="64"/>
      <c r="C122" s="102" t="s">
        <v>259</v>
      </c>
      <c r="D122" s="21" t="s">
        <v>388</v>
      </c>
      <c r="E122" s="21" t="s">
        <v>349</v>
      </c>
      <c r="F122" s="33" t="s">
        <v>350</v>
      </c>
      <c r="G122" s="57"/>
      <c r="H122" s="54"/>
      <c r="I122" s="67"/>
      <c r="J122" s="57">
        <f t="shared" si="4"/>
        <v>0</v>
      </c>
      <c r="K122" s="57"/>
      <c r="L122" s="57"/>
      <c r="M122" s="57"/>
      <c r="N122" s="57"/>
    </row>
    <row r="123" spans="1:14">
      <c r="A123" s="64">
        <v>43556</v>
      </c>
      <c r="B123" s="21" t="s">
        <v>395</v>
      </c>
      <c r="C123" s="103"/>
      <c r="D123" s="21" t="s">
        <v>388</v>
      </c>
      <c r="E123" s="21" t="s">
        <v>349</v>
      </c>
      <c r="F123" s="33" t="s">
        <v>351</v>
      </c>
      <c r="G123" s="57"/>
      <c r="H123" s="54"/>
      <c r="I123" s="67"/>
      <c r="J123" s="57">
        <f t="shared" si="4"/>
        <v>0</v>
      </c>
      <c r="K123" s="57">
        <f>(J123+J125+J127+J122+J124)*0.05*N2</f>
        <v>0</v>
      </c>
      <c r="L123" s="57">
        <f>K123/0.05*0.25</f>
        <v>0</v>
      </c>
      <c r="M123" s="57">
        <f>L123-K123</f>
        <v>0</v>
      </c>
      <c r="N123" s="57"/>
    </row>
    <row r="124" spans="1:14">
      <c r="A124" s="64"/>
      <c r="C124" s="103"/>
      <c r="D124" s="21" t="s">
        <v>189</v>
      </c>
      <c r="E124" s="21" t="s">
        <v>349</v>
      </c>
      <c r="F124" s="33" t="s">
        <v>350</v>
      </c>
      <c r="G124" s="57"/>
      <c r="H124" s="54"/>
      <c r="I124" s="67"/>
      <c r="J124" s="57">
        <f t="shared" si="4"/>
        <v>0</v>
      </c>
      <c r="K124" s="57"/>
      <c r="L124" s="57"/>
      <c r="M124" s="57"/>
      <c r="N124" s="57"/>
    </row>
    <row r="125" spans="1:14">
      <c r="A125" s="64">
        <v>43556</v>
      </c>
      <c r="B125" s="21" t="s">
        <v>395</v>
      </c>
      <c r="C125" s="103"/>
      <c r="D125" s="21" t="s">
        <v>189</v>
      </c>
      <c r="E125" s="21" t="s">
        <v>349</v>
      </c>
      <c r="F125" s="33" t="s">
        <v>351</v>
      </c>
      <c r="G125" s="57"/>
      <c r="H125" s="54"/>
      <c r="I125" s="67"/>
      <c r="J125" s="57">
        <f t="shared" si="4"/>
        <v>0</v>
      </c>
      <c r="K125" s="57"/>
      <c r="L125" s="57"/>
      <c r="M125" s="57"/>
      <c r="N125" s="57"/>
    </row>
    <row r="126" spans="1:14">
      <c r="A126" s="64"/>
      <c r="C126" s="103"/>
      <c r="D126" s="21" t="s">
        <v>197</v>
      </c>
      <c r="E126" s="21" t="s">
        <v>191</v>
      </c>
      <c r="F126" s="33" t="s">
        <v>193</v>
      </c>
      <c r="G126" s="57"/>
      <c r="H126" s="54"/>
      <c r="I126" s="68"/>
      <c r="J126" s="57">
        <f t="shared" si="4"/>
        <v>0</v>
      </c>
      <c r="K126" s="57">
        <f>(J126)*0.05*N2</f>
        <v>0</v>
      </c>
      <c r="L126" s="57">
        <f>K126/0.05*0.25</f>
        <v>0</v>
      </c>
      <c r="M126" s="57">
        <f>L126-K126</f>
        <v>0</v>
      </c>
      <c r="N126" s="57"/>
    </row>
    <row r="127" spans="1:14">
      <c r="A127" s="64">
        <v>43556</v>
      </c>
      <c r="B127" s="21" t="s">
        <v>395</v>
      </c>
      <c r="C127" s="104"/>
      <c r="D127" s="80" t="s">
        <v>197</v>
      </c>
      <c r="E127" s="21" t="s">
        <v>349</v>
      </c>
      <c r="F127" s="33" t="s">
        <v>351</v>
      </c>
      <c r="G127" s="57"/>
      <c r="H127" s="54"/>
      <c r="I127" s="67"/>
      <c r="J127" s="57">
        <f t="shared" si="4"/>
        <v>0</v>
      </c>
      <c r="K127" s="57"/>
      <c r="L127" s="57"/>
      <c r="M127" s="57"/>
      <c r="N127" s="57"/>
    </row>
    <row r="128" spans="1:14">
      <c r="A128" s="64">
        <v>43556</v>
      </c>
      <c r="B128" s="21" t="s">
        <v>395</v>
      </c>
      <c r="C128" s="21" t="s">
        <v>398</v>
      </c>
      <c r="D128" s="21" t="s">
        <v>189</v>
      </c>
      <c r="E128" s="21" t="s">
        <v>187</v>
      </c>
      <c r="F128" s="33" t="s">
        <v>188</v>
      </c>
      <c r="G128" s="57"/>
      <c r="H128" s="54"/>
      <c r="I128" s="67"/>
      <c r="J128" s="57">
        <f t="shared" si="4"/>
        <v>0</v>
      </c>
      <c r="K128" s="57">
        <f>(J128)*0.05*N2</f>
        <v>0</v>
      </c>
      <c r="L128" s="57">
        <f>K128/0.05*0.25</f>
        <v>0</v>
      </c>
      <c r="M128" s="57">
        <f>L128-K128</f>
        <v>0</v>
      </c>
      <c r="N128" s="57"/>
    </row>
    <row r="129" spans="1:14">
      <c r="A129" s="64">
        <v>43556</v>
      </c>
      <c r="B129" s="21" t="s">
        <v>395</v>
      </c>
      <c r="C129" s="105" t="s">
        <v>199</v>
      </c>
      <c r="D129" s="21" t="s">
        <v>200</v>
      </c>
      <c r="E129" s="21" t="s">
        <v>93</v>
      </c>
      <c r="F129" s="33" t="s">
        <v>94</v>
      </c>
      <c r="G129" s="57"/>
      <c r="H129" s="54"/>
      <c r="I129" s="67"/>
      <c r="J129" s="57">
        <f t="shared" si="4"/>
        <v>0</v>
      </c>
      <c r="K129" s="57">
        <f>(J129+J131+J132+J130)*0.25*N2</f>
        <v>0</v>
      </c>
      <c r="L129" s="57"/>
      <c r="M129" s="57"/>
      <c r="N129" s="57"/>
    </row>
    <row r="130" spans="1:14">
      <c r="A130" s="64"/>
      <c r="C130" s="105"/>
      <c r="D130" s="21" t="s">
        <v>203</v>
      </c>
      <c r="E130" s="21" t="s">
        <v>93</v>
      </c>
      <c r="F130" s="33" t="s">
        <v>94</v>
      </c>
      <c r="G130" s="57"/>
      <c r="H130" s="54"/>
      <c r="I130" s="67"/>
      <c r="J130" s="57">
        <f t="shared" si="4"/>
        <v>0</v>
      </c>
      <c r="K130" s="57"/>
      <c r="L130" s="57"/>
      <c r="M130" s="57"/>
      <c r="N130" s="57"/>
    </row>
    <row r="131" spans="1:14">
      <c r="A131" s="64">
        <v>43556</v>
      </c>
      <c r="B131" s="21" t="s">
        <v>395</v>
      </c>
      <c r="C131" s="105"/>
      <c r="D131" s="21" t="s">
        <v>201</v>
      </c>
      <c r="E131" s="21" t="s">
        <v>93</v>
      </c>
      <c r="F131" s="33" t="s">
        <v>94</v>
      </c>
      <c r="G131" s="57"/>
      <c r="H131" s="54"/>
      <c r="I131" s="67"/>
      <c r="J131" s="57">
        <f t="shared" si="4"/>
        <v>0</v>
      </c>
      <c r="K131" s="57"/>
      <c r="L131" s="57"/>
      <c r="M131" s="57"/>
      <c r="N131" s="57"/>
    </row>
    <row r="132" spans="1:14">
      <c r="A132" s="64">
        <v>43556</v>
      </c>
      <c r="B132" s="21" t="s">
        <v>395</v>
      </c>
      <c r="C132" s="105"/>
      <c r="D132" s="21" t="s">
        <v>202</v>
      </c>
      <c r="E132" s="21" t="s">
        <v>93</v>
      </c>
      <c r="F132" s="33" t="s">
        <v>94</v>
      </c>
      <c r="G132" s="57"/>
      <c r="H132" s="54"/>
      <c r="I132" s="68"/>
      <c r="J132" s="57">
        <f t="shared" si="4"/>
        <v>0</v>
      </c>
      <c r="K132" s="57"/>
      <c r="L132" s="57"/>
      <c r="M132" s="57"/>
      <c r="N132" s="57"/>
    </row>
    <row r="133" spans="1:14">
      <c r="A133" s="64">
        <v>43556</v>
      </c>
      <c r="B133" s="21" t="s">
        <v>395</v>
      </c>
      <c r="C133" s="102" t="s">
        <v>204</v>
      </c>
      <c r="D133" s="21" t="s">
        <v>206</v>
      </c>
      <c r="E133" s="21" t="s">
        <v>129</v>
      </c>
      <c r="F133" s="33" t="s">
        <v>207</v>
      </c>
      <c r="G133" s="57"/>
      <c r="H133" s="54"/>
      <c r="I133" s="68"/>
      <c r="J133" s="57">
        <f t="shared" si="4"/>
        <v>0</v>
      </c>
      <c r="K133" s="57">
        <f>(J133+J134)*0.25*N2</f>
        <v>0</v>
      </c>
      <c r="L133" s="57"/>
      <c r="M133" s="57"/>
      <c r="N133" s="57"/>
    </row>
    <row r="134" spans="1:14">
      <c r="A134" s="64">
        <v>43556</v>
      </c>
      <c r="B134" s="21" t="s">
        <v>395</v>
      </c>
      <c r="C134" s="103"/>
      <c r="D134" s="21" t="s">
        <v>206</v>
      </c>
      <c r="E134" s="21" t="s">
        <v>129</v>
      </c>
      <c r="F134" s="33" t="s">
        <v>208</v>
      </c>
      <c r="G134" s="57"/>
      <c r="H134" s="54"/>
      <c r="I134" s="68"/>
      <c r="J134" s="57">
        <f t="shared" si="4"/>
        <v>0</v>
      </c>
      <c r="K134" s="57"/>
      <c r="L134" s="57"/>
      <c r="M134" s="57"/>
      <c r="N134" s="57"/>
    </row>
    <row r="135" spans="1:14">
      <c r="A135" s="64">
        <v>43556</v>
      </c>
      <c r="B135" s="21" t="s">
        <v>395</v>
      </c>
      <c r="C135" s="103"/>
      <c r="D135" s="21" t="s">
        <v>209</v>
      </c>
      <c r="E135" s="21" t="s">
        <v>144</v>
      </c>
      <c r="F135" s="33" t="s">
        <v>210</v>
      </c>
      <c r="G135" s="57"/>
      <c r="H135" s="54"/>
      <c r="I135" s="68"/>
      <c r="J135" s="57">
        <f t="shared" si="4"/>
        <v>0</v>
      </c>
      <c r="K135" s="57">
        <f>(J135+J136)*0.25*N2</f>
        <v>0</v>
      </c>
      <c r="L135" s="57"/>
      <c r="M135" s="57"/>
      <c r="N135" s="57"/>
    </row>
    <row r="136" spans="1:14">
      <c r="A136" s="64">
        <v>43556</v>
      </c>
      <c r="B136" s="21" t="s">
        <v>395</v>
      </c>
      <c r="C136" s="103"/>
      <c r="D136" s="21" t="s">
        <v>209</v>
      </c>
      <c r="E136" s="21" t="s">
        <v>144</v>
      </c>
      <c r="F136" s="33" t="s">
        <v>211</v>
      </c>
      <c r="G136" s="57"/>
      <c r="H136" s="54"/>
      <c r="I136" s="68"/>
      <c r="J136" s="57">
        <f t="shared" si="4"/>
        <v>0</v>
      </c>
      <c r="K136" s="57"/>
      <c r="L136" s="57"/>
      <c r="M136" s="57"/>
      <c r="N136" s="57"/>
    </row>
    <row r="137" spans="1:14">
      <c r="A137" s="64">
        <v>43556</v>
      </c>
      <c r="B137" s="21" t="s">
        <v>395</v>
      </c>
      <c r="C137" s="103"/>
      <c r="D137" s="21" t="s">
        <v>88</v>
      </c>
      <c r="E137" s="21" t="s">
        <v>93</v>
      </c>
      <c r="F137" s="33" t="s">
        <v>212</v>
      </c>
      <c r="G137" s="57"/>
      <c r="H137" s="54"/>
      <c r="I137" s="68"/>
      <c r="J137" s="57">
        <f t="shared" si="4"/>
        <v>0</v>
      </c>
      <c r="K137" s="57">
        <f>(J137)*0.4*N2</f>
        <v>0</v>
      </c>
      <c r="L137" s="57"/>
      <c r="M137" s="57"/>
      <c r="N137" s="57"/>
    </row>
    <row r="138" spans="1:14">
      <c r="A138" s="64">
        <v>43556</v>
      </c>
      <c r="B138" s="21" t="s">
        <v>395</v>
      </c>
      <c r="C138" s="103"/>
      <c r="D138" s="21" t="s">
        <v>214</v>
      </c>
      <c r="E138" s="21" t="s">
        <v>161</v>
      </c>
      <c r="F138" s="33" t="s">
        <v>215</v>
      </c>
      <c r="G138" s="57"/>
      <c r="H138" s="54"/>
      <c r="I138" s="68"/>
      <c r="J138" s="57">
        <f t="shared" si="4"/>
        <v>0</v>
      </c>
      <c r="K138" s="57">
        <f>(J138+J139)*0.25*N2</f>
        <v>0</v>
      </c>
      <c r="L138" s="57"/>
      <c r="M138" s="57"/>
      <c r="N138" s="57"/>
    </row>
    <row r="139" spans="1:14">
      <c r="A139" s="64"/>
      <c r="C139" s="103"/>
      <c r="D139" s="21" t="s">
        <v>88</v>
      </c>
      <c r="E139" s="21" t="s">
        <v>161</v>
      </c>
      <c r="F139" s="33" t="s">
        <v>205</v>
      </c>
      <c r="G139" s="57"/>
      <c r="H139" s="54"/>
      <c r="I139" s="68"/>
      <c r="J139" s="57">
        <f t="shared" si="4"/>
        <v>0</v>
      </c>
      <c r="K139" s="57"/>
      <c r="L139" s="57"/>
      <c r="M139" s="57"/>
      <c r="N139" s="57"/>
    </row>
    <row r="140" spans="1:14">
      <c r="A140" s="64">
        <v>43556</v>
      </c>
      <c r="B140" s="21" t="s">
        <v>395</v>
      </c>
      <c r="C140" s="103"/>
      <c r="D140" s="21" t="s">
        <v>217</v>
      </c>
      <c r="E140" s="21" t="s">
        <v>161</v>
      </c>
      <c r="F140" s="33" t="s">
        <v>215</v>
      </c>
      <c r="G140" s="57"/>
      <c r="H140" s="54"/>
      <c r="I140" s="68"/>
      <c r="J140" s="57">
        <f t="shared" si="4"/>
        <v>0</v>
      </c>
      <c r="K140" s="57">
        <f>(J140+J141)*0.25*N2</f>
        <v>0</v>
      </c>
      <c r="L140" s="57"/>
      <c r="M140" s="57"/>
      <c r="N140" s="57"/>
    </row>
    <row r="141" spans="1:14">
      <c r="A141" s="64"/>
      <c r="C141" s="104"/>
      <c r="D141" s="21" t="s">
        <v>217</v>
      </c>
      <c r="E141" s="21" t="s">
        <v>161</v>
      </c>
      <c r="F141" s="33" t="s">
        <v>216</v>
      </c>
      <c r="G141" s="57"/>
      <c r="H141" s="54"/>
      <c r="I141" s="68"/>
      <c r="J141" s="57">
        <f t="shared" si="4"/>
        <v>0</v>
      </c>
      <c r="K141" s="57"/>
      <c r="L141" s="57"/>
      <c r="M141" s="57"/>
      <c r="N141" s="57"/>
    </row>
    <row r="142" spans="1:14">
      <c r="A142" s="21">
        <v>42795</v>
      </c>
      <c r="C142" s="105" t="s">
        <v>218</v>
      </c>
      <c r="D142" s="105"/>
      <c r="E142" s="21" t="s">
        <v>219</v>
      </c>
      <c r="F142" s="33" t="s">
        <v>219</v>
      </c>
      <c r="G142" s="57"/>
      <c r="H142" s="54"/>
      <c r="I142" s="68"/>
      <c r="J142" s="57">
        <f t="shared" si="4"/>
        <v>0</v>
      </c>
      <c r="K142" s="57">
        <f>(J15+J16+J20+J21+J26+J27+J30+J31+J34+J35+J38+J39+J40+J41+J42+J43+J44+J76)*0.07*N2+(J97+J98+J91+J92+J112)*0.04*N2+(J4+J5+J6+J7+J8+J9+J10+J11+J17+J18+J19+J22+J24+J25+J28+J29+J32+J36+J45+J46+J50+J47+J51+J52+J53+J54+J58+J59+J60+J61+J62+J63+J65+J66+J68+J70+J71+J72+J73+J79+J80+J81+J82+J83+J84+J89+J93+J94+J99+J100+J103+J104+J106+J113+J114+J119+J120+J123+J125+J128+J3+J33+J74+J90+J95+J105+J107+J12+J13+J14+J64+J67+J77+J96+J115+J116+J127+J108+J109+J110+J78+J75+J48+J69+J85+J86+J87+J49+J23+J55+J56+J57+J88+J122+J124+J117+J126+J111)*0.01*N2+(0)*0.08*N2</f>
        <v>0</v>
      </c>
      <c r="L142" s="57"/>
      <c r="M142" s="57"/>
      <c r="N142" s="57"/>
    </row>
    <row r="143" spans="1:14">
      <c r="A143" s="21">
        <v>42795</v>
      </c>
      <c r="C143" s="105"/>
      <c r="D143" s="105"/>
      <c r="E143" s="21" t="s">
        <v>220</v>
      </c>
      <c r="F143" s="33" t="s">
        <v>220</v>
      </c>
      <c r="G143" s="57"/>
      <c r="H143" s="54"/>
      <c r="I143" s="68"/>
      <c r="J143" s="57">
        <f t="shared" si="4"/>
        <v>0</v>
      </c>
      <c r="K143" s="57">
        <f>(J3+J4+J5+J7+J28+J29+J6)*0.06*N2+(J115+J119+J120+J116)*0.03*N2+(J58+J59+J60+J79+J80+J81)*0.07*N2</f>
        <v>0</v>
      </c>
      <c r="L143" s="57"/>
      <c r="M143" s="57"/>
      <c r="N143" s="57"/>
    </row>
    <row r="144" spans="1:14">
      <c r="A144" s="21">
        <v>42795</v>
      </c>
      <c r="C144" s="105"/>
      <c r="D144" s="105"/>
      <c r="E144" s="21" t="s">
        <v>221</v>
      </c>
      <c r="F144" s="33" t="s">
        <v>221</v>
      </c>
      <c r="G144" s="57"/>
      <c r="H144" s="54"/>
      <c r="I144" s="68"/>
      <c r="J144" s="57">
        <f t="shared" si="4"/>
        <v>0</v>
      </c>
      <c r="K144" s="57">
        <f>(J8+J10+J17+J18+J19+J22+J9+J23)*0.06*N2+(J54+J50+J51+J52+J53+J48+J85+J86+J87+J49)*0.07*N2+(J125+J128+J124)*0.03*N2</f>
        <v>0</v>
      </c>
      <c r="L144" s="57"/>
      <c r="M144" s="57"/>
      <c r="N144" s="57"/>
    </row>
    <row r="145" spans="1:14">
      <c r="A145" s="21">
        <v>42795</v>
      </c>
      <c r="C145" s="105"/>
      <c r="D145" s="105"/>
      <c r="E145" s="21" t="s">
        <v>225</v>
      </c>
      <c r="F145" s="33" t="s">
        <v>225</v>
      </c>
      <c r="G145" s="57"/>
      <c r="H145" s="54"/>
      <c r="I145" s="68"/>
      <c r="J145" s="57">
        <f t="shared" si="4"/>
        <v>0</v>
      </c>
      <c r="K145" s="57">
        <f>(J61+J62+J63+J64+J65+J66)*0.07*N2+(J32+J33)*0.06*N2+(J108+J109+J117+J118+J93+J94)*0.03*N2</f>
        <v>0</v>
      </c>
      <c r="L145" s="57"/>
      <c r="M145" s="57"/>
      <c r="N145" s="57"/>
    </row>
    <row r="146" spans="1:14">
      <c r="A146" s="21">
        <v>42795</v>
      </c>
      <c r="C146" s="105"/>
      <c r="D146" s="105"/>
      <c r="E146" s="21" t="s">
        <v>223</v>
      </c>
      <c r="F146" s="33" t="s">
        <v>223</v>
      </c>
      <c r="G146" s="57"/>
      <c r="H146" s="54"/>
      <c r="I146" s="68"/>
      <c r="J146" s="57">
        <f t="shared" si="4"/>
        <v>0</v>
      </c>
      <c r="K146" s="57">
        <f>(J12+J13+J14)*0.06*N2</f>
        <v>0</v>
      </c>
      <c r="L146" s="57"/>
      <c r="M146" s="57"/>
      <c r="N146" s="57"/>
    </row>
    <row r="147" spans="1:14">
      <c r="C147" s="105"/>
      <c r="D147" s="105"/>
      <c r="E147" s="21" t="s">
        <v>224</v>
      </c>
      <c r="F147" s="33" t="s">
        <v>224</v>
      </c>
      <c r="G147" s="57"/>
      <c r="H147" s="54"/>
      <c r="I147" s="68"/>
      <c r="J147" s="57">
        <f t="shared" si="4"/>
        <v>0</v>
      </c>
      <c r="K147" s="57">
        <f>(J82+J83+J84+J77+J73+J74+J78+J75+J76)*0.07*N2+(J106+J107)*0.03*N2+(0)*0.06*N2</f>
        <v>0</v>
      </c>
      <c r="L147" s="57"/>
      <c r="M147" s="57"/>
      <c r="N147" s="57"/>
    </row>
    <row r="148" spans="1:14">
      <c r="C148" s="105"/>
      <c r="D148" s="105"/>
      <c r="E148" s="21" t="s">
        <v>222</v>
      </c>
      <c r="F148" s="33" t="s">
        <v>222</v>
      </c>
      <c r="G148" s="57"/>
      <c r="H148" s="54"/>
      <c r="I148" s="68"/>
      <c r="J148" s="57">
        <v>0</v>
      </c>
      <c r="K148" s="57">
        <f>(J68+J69+J67+J70+J71+J72+J121+J89+J90)*0.07*N2+(J99+J100+J101+J102+J95+J110+J96+J105)*0.03*N2+(J24+J25)*0.06*N2</f>
        <v>0</v>
      </c>
      <c r="L148" s="57"/>
      <c r="M148" s="57"/>
      <c r="N148" s="57"/>
    </row>
    <row r="149" spans="1:14">
      <c r="C149" s="105"/>
      <c r="D149" s="105"/>
      <c r="E149" s="21" t="s">
        <v>226</v>
      </c>
      <c r="F149" s="33" t="s">
        <v>226</v>
      </c>
      <c r="G149" s="57"/>
      <c r="H149" s="54"/>
      <c r="I149" s="68"/>
      <c r="J149" s="57">
        <f>G149*H149*1-I149</f>
        <v>0</v>
      </c>
      <c r="K149" s="57">
        <f>(J55+J56+J57+J45+J46+J47+J88)*0.07*N2+(J103+J104+J113+J114+J111)*0.03*N2</f>
        <v>0</v>
      </c>
      <c r="L149" s="57"/>
      <c r="M149" s="57"/>
      <c r="N149" s="57"/>
    </row>
    <row r="150" spans="1:14">
      <c r="A150" s="21">
        <v>42795</v>
      </c>
      <c r="F150" s="58" t="s">
        <v>227</v>
      </c>
      <c r="G150" s="65">
        <f>SUM(G3:G145)</f>
        <v>0</v>
      </c>
      <c r="H150" s="66"/>
      <c r="I150" s="69">
        <f>SUM(I2:I146)</f>
        <v>0</v>
      </c>
      <c r="J150" s="65">
        <f>SUM(J3:J146)</f>
        <v>0</v>
      </c>
      <c r="K150" s="65">
        <f>J150*N2</f>
        <v>0</v>
      </c>
      <c r="L150" s="57"/>
      <c r="M150" s="57"/>
      <c r="N150" s="57"/>
    </row>
    <row r="151" spans="1:14">
      <c r="F151" s="58" t="s">
        <v>228</v>
      </c>
      <c r="G151" s="65"/>
      <c r="H151" s="66"/>
      <c r="I151" s="69"/>
      <c r="J151" s="65"/>
      <c r="K151" s="65">
        <f>K150*0.4</f>
        <v>0</v>
      </c>
      <c r="L151" s="57"/>
      <c r="M151" s="57"/>
      <c r="N151" s="57"/>
    </row>
    <row r="152" spans="1:14">
      <c r="F152" s="58" t="s">
        <v>261</v>
      </c>
      <c r="G152" s="65"/>
      <c r="H152" s="66"/>
      <c r="I152" s="69"/>
      <c r="J152" s="65"/>
      <c r="K152" s="65">
        <f>K150*0.6</f>
        <v>0</v>
      </c>
      <c r="L152" s="57"/>
      <c r="M152" s="57"/>
      <c r="N152" s="57"/>
    </row>
    <row r="153" spans="1:14">
      <c r="F153" s="33"/>
      <c r="G153" s="57"/>
      <c r="H153" s="54"/>
      <c r="I153" s="68"/>
      <c r="J153" s="57"/>
      <c r="K153" s="57"/>
      <c r="L153" s="57"/>
      <c r="M153" s="57"/>
      <c r="N153" s="57"/>
    </row>
    <row r="154" spans="1:14">
      <c r="A154" s="21">
        <v>42795</v>
      </c>
      <c r="C154" s="21" t="s">
        <v>355</v>
      </c>
      <c r="E154" s="21" t="s">
        <v>230</v>
      </c>
      <c r="F154" s="33"/>
      <c r="G154" s="57"/>
      <c r="H154" s="54"/>
      <c r="I154" s="68"/>
      <c r="J154" s="57"/>
      <c r="K154" s="57">
        <f>(J36+J37+J43+J44+J40+J41+J42)*0.05+M5+M12+M13+M17+M26+M24-N13-N17-N5+M3</f>
        <v>0</v>
      </c>
      <c r="L154" s="57"/>
      <c r="M154" s="57"/>
      <c r="N154" s="57"/>
    </row>
    <row r="155" spans="1:14">
      <c r="A155" s="21">
        <v>42795</v>
      </c>
      <c r="C155" s="21" t="s">
        <v>356</v>
      </c>
      <c r="E155" s="21" t="s">
        <v>230</v>
      </c>
      <c r="K155" s="59">
        <f>(0)*0.05*N2+M55+M61+M70+M64+M50+M46+M79+M73</f>
        <v>0</v>
      </c>
    </row>
    <row r="156" spans="1:14">
      <c r="A156" s="21">
        <v>42795</v>
      </c>
      <c r="C156" s="21" t="s">
        <v>357</v>
      </c>
      <c r="E156" s="21" t="s">
        <v>233</v>
      </c>
      <c r="K156" s="59">
        <f>(0)*0.05*N2+M89</f>
        <v>0</v>
      </c>
    </row>
    <row r="157" spans="1:14">
      <c r="A157" s="21">
        <v>42795</v>
      </c>
      <c r="C157" s="21" t="s">
        <v>358</v>
      </c>
      <c r="E157" s="21" t="s">
        <v>230</v>
      </c>
      <c r="K157" s="59">
        <f>(J113+J114+J115+J116)*0.05*N2+M93+M99+M91+M117+M95</f>
        <v>0</v>
      </c>
    </row>
    <row r="158" spans="1:14">
      <c r="C158" s="21" t="s">
        <v>235</v>
      </c>
      <c r="E158" s="21" t="s">
        <v>230</v>
      </c>
      <c r="K158" s="59">
        <f>M123+M128+M126</f>
        <v>0</v>
      </c>
    </row>
    <row r="159" spans="1:14">
      <c r="A159" s="21">
        <v>42795</v>
      </c>
      <c r="C159" s="21" t="s">
        <v>262</v>
      </c>
      <c r="E159" s="21" t="s">
        <v>230</v>
      </c>
      <c r="K159" s="59">
        <f>J150*0.07*N2</f>
        <v>0</v>
      </c>
    </row>
    <row r="160" spans="1:14">
      <c r="K160" s="59">
        <f>SUM(K154:K159)</f>
        <v>0</v>
      </c>
    </row>
    <row r="161" spans="11:11">
      <c r="K161" s="65">
        <f>K154+K155+K156+K157+K158</f>
        <v>0</v>
      </c>
    </row>
  </sheetData>
  <mergeCells count="8">
    <mergeCell ref="C133:C141"/>
    <mergeCell ref="C142:D149"/>
    <mergeCell ref="C3:C44"/>
    <mergeCell ref="C45:C87"/>
    <mergeCell ref="C88:C90"/>
    <mergeCell ref="C91:C120"/>
    <mergeCell ref="C122:C127"/>
    <mergeCell ref="C129:C132"/>
  </mergeCells>
  <phoneticPr fontId="37" type="noConversion"/>
  <conditionalFormatting sqref="E145">
    <cfRule type="containsText" dxfId="20" priority="2" operator="containsText" text="方泽斯">
      <formula>NOT(ISERROR(SEARCH("方泽斯",E145)))</formula>
    </cfRule>
  </conditionalFormatting>
  <conditionalFormatting sqref="E156">
    <cfRule type="containsText" dxfId="19" priority="1" operator="containsText" text="方泽斯">
      <formula>NOT(ISERROR(SEARCH("方泽斯",E156)))</formula>
    </cfRule>
  </conditionalFormatting>
  <pageMargins left="0.7" right="0.7" top="0" bottom="0" header="0.3" footer="0.3"/>
  <pageSetup paperSize="9" scale="50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264"/>
  <sheetViews>
    <sheetView topLeftCell="C64" zoomScaleSheetLayoutView="100" workbookViewId="0">
      <selection activeCell="D58" sqref="D58:D63"/>
    </sheetView>
  </sheetViews>
  <sheetFormatPr defaultRowHeight="13.5"/>
  <cols>
    <col min="1" max="2" width="11.375" style="21" hidden="1" customWidth="1"/>
    <col min="3" max="4" width="9" style="21"/>
    <col min="5" max="5" width="9" style="21" customWidth="1"/>
    <col min="6" max="6" width="14" style="21" customWidth="1"/>
    <col min="7" max="7" width="13.5" style="59" customWidth="1"/>
    <col min="8" max="8" width="14.125" style="60" bestFit="1" customWidth="1"/>
    <col min="9" max="9" width="14.5" style="61" customWidth="1"/>
    <col min="10" max="10" width="13.625" style="59" customWidth="1"/>
    <col min="11" max="11" width="17" style="59" customWidth="1"/>
    <col min="12" max="12" width="11.625" style="59" customWidth="1"/>
    <col min="13" max="13" width="13.375" style="59" customWidth="1"/>
    <col min="14" max="14" width="9" style="59"/>
    <col min="15" max="15" width="15.75" style="21" customWidth="1"/>
    <col min="16" max="16384" width="9" style="21"/>
  </cols>
  <sheetData>
    <row r="1" spans="1:25">
      <c r="C1" s="105" t="s">
        <v>399</v>
      </c>
      <c r="D1" s="105"/>
    </row>
    <row r="2" spans="1:25" s="22" customFormat="1" ht="21" customHeight="1">
      <c r="A2" s="24"/>
      <c r="B2" s="24"/>
      <c r="C2" s="25" t="s">
        <v>1</v>
      </c>
      <c r="D2" s="25" t="s">
        <v>2</v>
      </c>
      <c r="E2" s="25"/>
      <c r="F2" s="26" t="s">
        <v>3</v>
      </c>
      <c r="G2" s="27" t="s">
        <v>4</v>
      </c>
      <c r="H2" s="28" t="s">
        <v>5</v>
      </c>
      <c r="I2" s="29" t="s">
        <v>6</v>
      </c>
      <c r="J2" s="29" t="s">
        <v>7</v>
      </c>
      <c r="K2" s="38" t="s">
        <v>8</v>
      </c>
      <c r="L2" s="39"/>
      <c r="M2" s="40" t="s">
        <v>9</v>
      </c>
      <c r="N2" s="41">
        <v>7.01</v>
      </c>
      <c r="O2" s="42"/>
      <c r="P2" s="43"/>
      <c r="Q2" s="44"/>
      <c r="R2" s="45"/>
      <c r="S2" s="45"/>
      <c r="W2" s="46"/>
      <c r="X2" s="46"/>
      <c r="Y2" s="46"/>
    </row>
    <row r="3" spans="1:25">
      <c r="A3" s="64">
        <v>43556</v>
      </c>
      <c r="B3" s="30" t="s">
        <v>399</v>
      </c>
      <c r="C3" s="102" t="s">
        <v>10</v>
      </c>
      <c r="D3" s="21" t="s">
        <v>39</v>
      </c>
      <c r="E3" s="21" t="s">
        <v>40</v>
      </c>
      <c r="F3" s="33" t="s">
        <v>41</v>
      </c>
      <c r="G3" s="57"/>
      <c r="H3" s="54"/>
      <c r="I3" s="68"/>
      <c r="J3" s="57">
        <f t="shared" ref="J3:J53" si="0">G3*H3*0.98-I3</f>
        <v>0</v>
      </c>
      <c r="K3" s="57">
        <f>(J3+J4)*0.05*N2</f>
        <v>0</v>
      </c>
      <c r="L3" s="57">
        <f>K3/0.05*0.25</f>
        <v>0</v>
      </c>
      <c r="M3" s="57">
        <f t="shared" ref="M3:M6" si="1">L3-K3</f>
        <v>0</v>
      </c>
    </row>
    <row r="4" spans="1:25">
      <c r="A4" s="64">
        <v>43556</v>
      </c>
      <c r="B4" s="30" t="s">
        <v>399</v>
      </c>
      <c r="C4" s="103"/>
      <c r="D4" s="21" t="s">
        <v>44</v>
      </c>
      <c r="E4" s="21" t="s">
        <v>40</v>
      </c>
      <c r="F4" s="33" t="s">
        <v>41</v>
      </c>
      <c r="G4" s="57"/>
      <c r="H4" s="54"/>
      <c r="I4" s="67"/>
      <c r="J4" s="57">
        <f t="shared" si="0"/>
        <v>0</v>
      </c>
      <c r="K4" s="57"/>
      <c r="L4" s="57"/>
      <c r="M4" s="57"/>
    </row>
    <row r="5" spans="1:25">
      <c r="A5" s="64">
        <v>43556</v>
      </c>
      <c r="B5" s="30" t="s">
        <v>399</v>
      </c>
      <c r="C5" s="103"/>
      <c r="D5" s="21" t="s">
        <v>60</v>
      </c>
      <c r="E5" s="21" t="s">
        <v>57</v>
      </c>
      <c r="F5" s="33" t="s">
        <v>58</v>
      </c>
      <c r="G5" s="57"/>
      <c r="H5" s="54"/>
      <c r="I5" s="68"/>
      <c r="J5" s="57">
        <f t="shared" si="0"/>
        <v>0</v>
      </c>
      <c r="K5" s="57">
        <f>(J5+J8)*0.05*N2</f>
        <v>0</v>
      </c>
      <c r="L5" s="57">
        <f>K5/0.05*0.25</f>
        <v>0</v>
      </c>
      <c r="M5" s="57">
        <f t="shared" si="1"/>
        <v>0</v>
      </c>
    </row>
    <row r="6" spans="1:25">
      <c r="A6" s="64">
        <v>43556</v>
      </c>
      <c r="B6" s="30" t="s">
        <v>399</v>
      </c>
      <c r="C6" s="103"/>
      <c r="D6" s="21" t="s">
        <v>51</v>
      </c>
      <c r="E6" s="21" t="s">
        <v>52</v>
      </c>
      <c r="F6" s="33" t="s">
        <v>53</v>
      </c>
      <c r="G6" s="57"/>
      <c r="H6" s="54"/>
      <c r="I6" s="68"/>
      <c r="J6" s="57">
        <f t="shared" si="0"/>
        <v>0</v>
      </c>
      <c r="K6" s="57">
        <f>(J6)*0.05*N2</f>
        <v>0</v>
      </c>
      <c r="L6" s="57">
        <f>K6/0.05*0.25</f>
        <v>0</v>
      </c>
      <c r="M6" s="57">
        <f t="shared" si="1"/>
        <v>0</v>
      </c>
    </row>
    <row r="7" spans="1:25">
      <c r="A7" s="64">
        <v>43556</v>
      </c>
      <c r="B7" s="30" t="s">
        <v>399</v>
      </c>
      <c r="C7" s="103"/>
      <c r="D7" s="21" t="s">
        <v>45</v>
      </c>
      <c r="E7" s="21" t="s">
        <v>57</v>
      </c>
      <c r="F7" s="33" t="s">
        <v>58</v>
      </c>
      <c r="G7" s="57"/>
      <c r="H7" s="54"/>
      <c r="I7" s="68"/>
      <c r="J7" s="57">
        <f t="shared" si="0"/>
        <v>0</v>
      </c>
      <c r="K7" s="57"/>
      <c r="L7" s="57"/>
      <c r="M7" s="57"/>
    </row>
    <row r="8" spans="1:25">
      <c r="A8" s="64">
        <v>43556</v>
      </c>
      <c r="B8" s="30" t="s">
        <v>399</v>
      </c>
      <c r="C8" s="103"/>
      <c r="D8" s="21" t="s">
        <v>56</v>
      </c>
      <c r="E8" s="21" t="s">
        <v>57</v>
      </c>
      <c r="F8" s="33" t="s">
        <v>58</v>
      </c>
      <c r="G8" s="57"/>
      <c r="H8" s="54"/>
      <c r="I8" s="68"/>
      <c r="J8" s="57">
        <f t="shared" si="0"/>
        <v>0</v>
      </c>
      <c r="K8" s="57"/>
      <c r="L8" s="57"/>
      <c r="M8" s="57"/>
    </row>
    <row r="9" spans="1:25">
      <c r="A9" s="64">
        <v>43556</v>
      </c>
      <c r="B9" s="30" t="s">
        <v>399</v>
      </c>
      <c r="C9" s="103"/>
      <c r="D9" s="21" t="s">
        <v>62</v>
      </c>
      <c r="E9" s="21" t="s">
        <v>63</v>
      </c>
      <c r="F9" s="33" t="s">
        <v>64</v>
      </c>
      <c r="G9" s="57"/>
      <c r="H9" s="54"/>
      <c r="I9" s="68"/>
      <c r="J9" s="57">
        <f t="shared" si="0"/>
        <v>0</v>
      </c>
      <c r="K9" s="57">
        <f>(J9+J10+J11+J12)*0.05*N2</f>
        <v>0</v>
      </c>
      <c r="L9" s="57">
        <f>K9/0.05*0.25</f>
        <v>0</v>
      </c>
      <c r="M9" s="57">
        <f>L9-K9</f>
        <v>0</v>
      </c>
    </row>
    <row r="10" spans="1:25">
      <c r="A10" s="64">
        <v>43556</v>
      </c>
      <c r="B10" s="30" t="s">
        <v>399</v>
      </c>
      <c r="C10" s="103"/>
      <c r="D10" s="21" t="s">
        <v>61</v>
      </c>
      <c r="E10" s="21" t="s">
        <v>63</v>
      </c>
      <c r="F10" s="33" t="s">
        <v>64</v>
      </c>
      <c r="G10" s="57"/>
      <c r="H10" s="54"/>
      <c r="I10" s="68"/>
      <c r="J10" s="57">
        <f t="shared" si="0"/>
        <v>0</v>
      </c>
      <c r="K10" s="57"/>
      <c r="L10" s="57"/>
      <c r="M10" s="57"/>
    </row>
    <row r="11" spans="1:25">
      <c r="A11" s="64">
        <v>43556</v>
      </c>
      <c r="B11" s="30" t="s">
        <v>399</v>
      </c>
      <c r="C11" s="103"/>
      <c r="D11" s="21" t="s">
        <v>66</v>
      </c>
      <c r="E11" s="21" t="s">
        <v>63</v>
      </c>
      <c r="F11" s="33" t="s">
        <v>64</v>
      </c>
      <c r="G11" s="57"/>
      <c r="H11" s="54"/>
      <c r="I11" s="68"/>
      <c r="J11" s="57">
        <f t="shared" si="0"/>
        <v>0</v>
      </c>
      <c r="K11" s="57"/>
      <c r="L11" s="57"/>
      <c r="M11" s="57"/>
    </row>
    <row r="12" spans="1:25">
      <c r="A12" s="64">
        <v>43556</v>
      </c>
      <c r="B12" s="30" t="s">
        <v>399</v>
      </c>
      <c r="C12" s="103"/>
      <c r="D12" s="21" t="s">
        <v>66</v>
      </c>
      <c r="E12" s="21" t="s">
        <v>63</v>
      </c>
      <c r="F12" s="33" t="s">
        <v>65</v>
      </c>
      <c r="G12" s="57"/>
      <c r="H12" s="54"/>
      <c r="I12" s="67"/>
      <c r="J12" s="57">
        <f t="shared" si="0"/>
        <v>0</v>
      </c>
      <c r="K12" s="57"/>
      <c r="L12" s="57"/>
      <c r="M12" s="57"/>
    </row>
    <row r="13" spans="1:25">
      <c r="A13" s="64">
        <v>43556</v>
      </c>
      <c r="B13" s="30" t="s">
        <v>399</v>
      </c>
      <c r="C13" s="103"/>
      <c r="D13" s="21" t="s">
        <v>31</v>
      </c>
      <c r="E13" s="21" t="s">
        <v>20</v>
      </c>
      <c r="F13" s="33" t="s">
        <v>21</v>
      </c>
      <c r="G13" s="57"/>
      <c r="H13" s="54"/>
      <c r="I13" s="68"/>
      <c r="J13" s="57">
        <f t="shared" si="0"/>
        <v>0</v>
      </c>
      <c r="K13" s="57"/>
      <c r="L13" s="57"/>
      <c r="M13" s="57"/>
    </row>
    <row r="14" spans="1:25">
      <c r="A14" s="64">
        <v>43556</v>
      </c>
      <c r="B14" s="30" t="s">
        <v>399</v>
      </c>
      <c r="C14" s="103"/>
      <c r="D14" s="21" t="s">
        <v>19</v>
      </c>
      <c r="E14" s="21" t="s">
        <v>20</v>
      </c>
      <c r="F14" s="33" t="s">
        <v>21</v>
      </c>
      <c r="G14" s="57"/>
      <c r="H14" s="54"/>
      <c r="I14" s="67"/>
      <c r="J14" s="57">
        <f t="shared" si="0"/>
        <v>0</v>
      </c>
      <c r="K14" s="57"/>
      <c r="L14" s="57"/>
      <c r="M14" s="57"/>
    </row>
    <row r="15" spans="1:25">
      <c r="A15" s="64">
        <v>43556</v>
      </c>
      <c r="B15" s="30" t="s">
        <v>399</v>
      </c>
      <c r="C15" s="103"/>
      <c r="D15" s="21" t="s">
        <v>19</v>
      </c>
      <c r="E15" s="21" t="s">
        <v>20</v>
      </c>
      <c r="F15" s="33" t="s">
        <v>22</v>
      </c>
      <c r="G15" s="57"/>
      <c r="H15" s="54"/>
      <c r="I15" s="68"/>
      <c r="J15" s="57">
        <f t="shared" si="0"/>
        <v>0</v>
      </c>
      <c r="K15" s="57"/>
      <c r="L15" s="57"/>
      <c r="M15" s="57"/>
    </row>
    <row r="16" spans="1:25">
      <c r="A16" s="64">
        <v>43556</v>
      </c>
      <c r="B16" s="30" t="s">
        <v>399</v>
      </c>
      <c r="C16" s="103"/>
      <c r="D16" s="21" t="s">
        <v>19</v>
      </c>
      <c r="E16" s="21" t="s">
        <v>20</v>
      </c>
      <c r="F16" s="33" t="s">
        <v>23</v>
      </c>
      <c r="G16" s="57"/>
      <c r="H16" s="54"/>
      <c r="I16" s="67"/>
      <c r="J16" s="57">
        <f t="shared" si="0"/>
        <v>0</v>
      </c>
      <c r="K16" s="57">
        <f>(J16+J14+J13+J15)*0.015*N2</f>
        <v>0</v>
      </c>
      <c r="L16" s="57">
        <f>K16/0.015*0.25</f>
        <v>0</v>
      </c>
      <c r="M16" s="57">
        <f t="shared" ref="M16:M21" si="2">L16-K16</f>
        <v>0</v>
      </c>
    </row>
    <row r="17" spans="1:13">
      <c r="A17" s="64">
        <v>43556</v>
      </c>
      <c r="B17" s="30" t="s">
        <v>399</v>
      </c>
      <c r="C17" s="103"/>
      <c r="D17" s="21" t="s">
        <v>32</v>
      </c>
      <c r="E17" s="21" t="s">
        <v>33</v>
      </c>
      <c r="F17" s="33" t="s">
        <v>34</v>
      </c>
      <c r="G17" s="57"/>
      <c r="H17" s="54"/>
      <c r="I17" s="68"/>
      <c r="J17" s="57">
        <f t="shared" si="0"/>
        <v>0</v>
      </c>
      <c r="K17" s="57">
        <f>(J17+J18)*0.2*N2</f>
        <v>0</v>
      </c>
      <c r="L17" s="57"/>
      <c r="M17" s="57"/>
    </row>
    <row r="18" spans="1:13">
      <c r="A18" s="64">
        <v>43556</v>
      </c>
      <c r="B18" s="30" t="s">
        <v>399</v>
      </c>
      <c r="C18" s="103"/>
      <c r="D18" s="21" t="s">
        <v>38</v>
      </c>
      <c r="E18" s="21" t="s">
        <v>33</v>
      </c>
      <c r="F18" s="33" t="s">
        <v>34</v>
      </c>
      <c r="G18" s="57"/>
      <c r="H18" s="54"/>
      <c r="I18" s="68"/>
      <c r="J18" s="57">
        <f t="shared" si="0"/>
        <v>0</v>
      </c>
      <c r="K18" s="57"/>
      <c r="L18" s="57"/>
      <c r="M18" s="57"/>
    </row>
    <row r="19" spans="1:13">
      <c r="A19" s="64">
        <v>43556</v>
      </c>
      <c r="B19" s="30" t="s">
        <v>399</v>
      </c>
      <c r="C19" s="103"/>
      <c r="D19" s="21" t="s">
        <v>11</v>
      </c>
      <c r="E19" s="21" t="s">
        <v>12</v>
      </c>
      <c r="F19" s="33" t="s">
        <v>14</v>
      </c>
      <c r="G19" s="57"/>
      <c r="H19" s="54"/>
      <c r="I19" s="67"/>
      <c r="J19" s="57">
        <f t="shared" si="0"/>
        <v>0</v>
      </c>
      <c r="K19" s="57">
        <f>J19*0.025*N2</f>
        <v>0</v>
      </c>
      <c r="L19" s="57">
        <f>K19/0.025*0.25</f>
        <v>0</v>
      </c>
      <c r="M19" s="57">
        <f t="shared" si="2"/>
        <v>0</v>
      </c>
    </row>
    <row r="20" spans="1:13">
      <c r="A20" s="64">
        <v>43556</v>
      </c>
      <c r="B20" s="30" t="s">
        <v>399</v>
      </c>
      <c r="C20" s="103"/>
      <c r="D20" s="21" t="s">
        <v>77</v>
      </c>
      <c r="E20" s="21" t="s">
        <v>12</v>
      </c>
      <c r="F20" s="33" t="s">
        <v>13</v>
      </c>
      <c r="G20" s="57"/>
      <c r="H20" s="54"/>
      <c r="I20" s="68"/>
      <c r="J20" s="57">
        <f t="shared" si="0"/>
        <v>0</v>
      </c>
      <c r="K20" s="57">
        <f>J20*0.05*N2</f>
        <v>0</v>
      </c>
      <c r="L20" s="57">
        <f>K20/0.05*0.25</f>
        <v>0</v>
      </c>
      <c r="M20" s="57">
        <f t="shared" si="2"/>
        <v>0</v>
      </c>
    </row>
    <row r="21" spans="1:13" ht="15" customHeight="1">
      <c r="A21" s="64">
        <v>43556</v>
      </c>
      <c r="B21" s="30" t="s">
        <v>399</v>
      </c>
      <c r="C21" s="103"/>
      <c r="D21" s="21" t="s">
        <v>31</v>
      </c>
      <c r="E21" s="21" t="s">
        <v>20</v>
      </c>
      <c r="F21" s="33" t="s">
        <v>21</v>
      </c>
      <c r="G21" s="57"/>
      <c r="H21" s="54"/>
      <c r="I21" s="68"/>
      <c r="J21" s="57">
        <f t="shared" si="0"/>
        <v>0</v>
      </c>
      <c r="K21" s="57">
        <f>(J21+J22)*0.03*N2</f>
        <v>0</v>
      </c>
      <c r="L21" s="57">
        <f>K21/0.03*0.25</f>
        <v>0</v>
      </c>
      <c r="M21" s="57">
        <f t="shared" si="2"/>
        <v>0</v>
      </c>
    </row>
    <row r="22" spans="1:13" ht="15" customHeight="1">
      <c r="A22" s="64">
        <v>43556</v>
      </c>
      <c r="B22" s="30" t="s">
        <v>399</v>
      </c>
      <c r="C22" s="103"/>
      <c r="D22" s="21" t="s">
        <v>30</v>
      </c>
      <c r="E22" s="21" t="s">
        <v>20</v>
      </c>
      <c r="F22" s="33" t="s">
        <v>21</v>
      </c>
      <c r="G22" s="57"/>
      <c r="H22" s="54"/>
      <c r="I22" s="68"/>
      <c r="J22" s="57">
        <f t="shared" si="0"/>
        <v>0</v>
      </c>
      <c r="K22" s="57"/>
      <c r="L22" s="57"/>
      <c r="M22" s="57"/>
    </row>
    <row r="23" spans="1:13" ht="15" customHeight="1">
      <c r="A23" s="64">
        <v>43556</v>
      </c>
      <c r="B23" s="30" t="s">
        <v>399</v>
      </c>
      <c r="C23" s="104"/>
      <c r="D23" s="21" t="s">
        <v>29</v>
      </c>
      <c r="E23" s="21" t="s">
        <v>376</v>
      </c>
      <c r="F23" s="33" t="s">
        <v>377</v>
      </c>
      <c r="G23" s="57"/>
      <c r="H23" s="54"/>
      <c r="I23" s="68"/>
      <c r="J23" s="57">
        <f t="shared" si="0"/>
        <v>0</v>
      </c>
      <c r="K23" s="57">
        <f>J23*0.03*N2</f>
        <v>0</v>
      </c>
      <c r="L23" s="57"/>
      <c r="M23" s="57"/>
    </row>
    <row r="24" spans="1:13">
      <c r="A24" s="64">
        <v>43556</v>
      </c>
      <c r="B24" s="30" t="s">
        <v>399</v>
      </c>
      <c r="C24" s="102" t="s">
        <v>139</v>
      </c>
      <c r="D24" s="75" t="s">
        <v>158</v>
      </c>
      <c r="E24" s="75" t="s">
        <v>149</v>
      </c>
      <c r="F24" s="75" t="s">
        <v>150</v>
      </c>
      <c r="G24" s="78"/>
      <c r="H24" s="77"/>
      <c r="I24" s="68"/>
      <c r="J24" s="57">
        <f t="shared" si="0"/>
        <v>0</v>
      </c>
      <c r="K24" s="57">
        <f>(J24+J25+J28+J29+J47)*0.25*N2</f>
        <v>0</v>
      </c>
      <c r="L24" s="57"/>
      <c r="M24" s="57"/>
    </row>
    <row r="25" spans="1:13">
      <c r="A25" s="64">
        <v>43556</v>
      </c>
      <c r="B25" s="30" t="s">
        <v>399</v>
      </c>
      <c r="C25" s="103"/>
      <c r="D25" s="75" t="s">
        <v>158</v>
      </c>
      <c r="E25" s="75" t="s">
        <v>149</v>
      </c>
      <c r="F25" s="75" t="s">
        <v>151</v>
      </c>
      <c r="G25" s="78"/>
      <c r="H25" s="77"/>
      <c r="I25" s="68"/>
      <c r="J25" s="57">
        <f t="shared" si="0"/>
        <v>0</v>
      </c>
      <c r="K25" s="57"/>
      <c r="L25" s="57"/>
      <c r="M25" s="57"/>
    </row>
    <row r="26" spans="1:13">
      <c r="A26" s="64">
        <v>43556</v>
      </c>
      <c r="B26" s="30" t="s">
        <v>399</v>
      </c>
      <c r="C26" s="103"/>
      <c r="D26" s="21" t="s">
        <v>160</v>
      </c>
      <c r="E26" s="21" t="s">
        <v>161</v>
      </c>
      <c r="F26" s="33" t="s">
        <v>162</v>
      </c>
      <c r="G26" s="57"/>
      <c r="H26" s="54"/>
      <c r="I26" s="68"/>
      <c r="J26" s="57">
        <f t="shared" si="0"/>
        <v>0</v>
      </c>
      <c r="K26" s="57">
        <f>(J26+J27)*0.04*N2</f>
        <v>0</v>
      </c>
      <c r="L26" s="57">
        <f>K26/0.04*0.25</f>
        <v>0</v>
      </c>
      <c r="M26" s="57">
        <f>L26-K26</f>
        <v>0</v>
      </c>
    </row>
    <row r="27" spans="1:13">
      <c r="A27" s="64">
        <v>43556</v>
      </c>
      <c r="B27" s="30" t="s">
        <v>399</v>
      </c>
      <c r="C27" s="103"/>
      <c r="D27" s="21" t="s">
        <v>160</v>
      </c>
      <c r="E27" s="21" t="s">
        <v>161</v>
      </c>
      <c r="F27" s="33" t="s">
        <v>163</v>
      </c>
      <c r="G27" s="57"/>
      <c r="H27" s="54"/>
      <c r="I27" s="68"/>
      <c r="J27" s="57">
        <f t="shared" si="0"/>
        <v>0</v>
      </c>
      <c r="K27" s="57"/>
      <c r="L27" s="57"/>
      <c r="M27" s="57"/>
    </row>
    <row r="28" spans="1:13">
      <c r="A28" s="64">
        <v>43556</v>
      </c>
      <c r="B28" s="30" t="s">
        <v>399</v>
      </c>
      <c r="C28" s="103"/>
      <c r="D28" s="75" t="s">
        <v>164</v>
      </c>
      <c r="E28" s="75" t="s">
        <v>149</v>
      </c>
      <c r="F28" s="75" t="s">
        <v>159</v>
      </c>
      <c r="G28" s="76"/>
      <c r="H28" s="77"/>
      <c r="I28" s="68"/>
      <c r="J28" s="57">
        <f t="shared" si="0"/>
        <v>0</v>
      </c>
      <c r="K28" s="57"/>
      <c r="L28" s="57">
        <f>K28/0.03*0.25</f>
        <v>0</v>
      </c>
      <c r="M28" s="57">
        <f>L28-K28</f>
        <v>0</v>
      </c>
    </row>
    <row r="29" spans="1:13">
      <c r="A29" s="64">
        <v>43556</v>
      </c>
      <c r="B29" s="30" t="s">
        <v>399</v>
      </c>
      <c r="C29" s="103"/>
      <c r="D29" s="75" t="s">
        <v>164</v>
      </c>
      <c r="E29" s="75" t="s">
        <v>149</v>
      </c>
      <c r="F29" s="75" t="s">
        <v>151</v>
      </c>
      <c r="G29" s="76"/>
      <c r="H29" s="77"/>
      <c r="I29" s="68"/>
      <c r="J29" s="57">
        <f t="shared" si="0"/>
        <v>0</v>
      </c>
      <c r="K29" s="57"/>
      <c r="L29" s="57"/>
      <c r="M29" s="57"/>
    </row>
    <row r="30" spans="1:13">
      <c r="A30" s="64">
        <v>43556</v>
      </c>
      <c r="B30" s="30" t="s">
        <v>399</v>
      </c>
      <c r="C30" s="103"/>
      <c r="D30" s="21" t="s">
        <v>152</v>
      </c>
      <c r="E30" s="21" t="s">
        <v>141</v>
      </c>
      <c r="F30" s="33" t="s">
        <v>143</v>
      </c>
      <c r="G30" s="57"/>
      <c r="H30" s="54"/>
      <c r="I30" s="68"/>
      <c r="J30" s="57">
        <f t="shared" si="0"/>
        <v>0</v>
      </c>
      <c r="K30" s="57">
        <f>(J30)*0.03*N2</f>
        <v>0</v>
      </c>
      <c r="L30" s="57">
        <f>K30/0.03*0.25</f>
        <v>0</v>
      </c>
      <c r="M30" s="57">
        <f>L30-K30</f>
        <v>0</v>
      </c>
    </row>
    <row r="31" spans="1:13">
      <c r="A31" s="64">
        <v>43556</v>
      </c>
      <c r="B31" s="30" t="s">
        <v>399</v>
      </c>
      <c r="C31" s="103"/>
      <c r="D31" s="21" t="s">
        <v>166</v>
      </c>
      <c r="E31" s="21" t="s">
        <v>144</v>
      </c>
      <c r="F31" s="33" t="s">
        <v>167</v>
      </c>
      <c r="G31" s="57"/>
      <c r="H31" s="54"/>
      <c r="I31" s="68"/>
      <c r="J31" s="57">
        <f t="shared" si="0"/>
        <v>0</v>
      </c>
      <c r="K31" s="57"/>
      <c r="L31" s="57"/>
      <c r="M31" s="57"/>
    </row>
    <row r="32" spans="1:13">
      <c r="A32" s="64">
        <v>43556</v>
      </c>
      <c r="B32" s="30" t="s">
        <v>399</v>
      </c>
      <c r="C32" s="103"/>
      <c r="D32" s="21" t="s">
        <v>166</v>
      </c>
      <c r="E32" s="21" t="s">
        <v>144</v>
      </c>
      <c r="F32" s="33" t="s">
        <v>145</v>
      </c>
      <c r="G32" s="57"/>
      <c r="H32" s="54"/>
      <c r="I32" s="67"/>
      <c r="J32" s="57">
        <f t="shared" si="0"/>
        <v>0</v>
      </c>
      <c r="K32" s="57"/>
      <c r="L32" s="57">
        <f>K32/0.05*0.25</f>
        <v>0</v>
      </c>
      <c r="M32" s="57">
        <f>L32-K32</f>
        <v>0</v>
      </c>
    </row>
    <row r="33" spans="1:13">
      <c r="A33" s="64">
        <v>43556</v>
      </c>
      <c r="B33" s="30" t="s">
        <v>399</v>
      </c>
      <c r="C33" s="103"/>
      <c r="D33" s="21" t="s">
        <v>166</v>
      </c>
      <c r="E33" s="21" t="s">
        <v>144</v>
      </c>
      <c r="F33" s="33" t="s">
        <v>147</v>
      </c>
      <c r="G33" s="57"/>
      <c r="H33" s="54"/>
      <c r="I33" s="68"/>
      <c r="J33" s="57">
        <f t="shared" si="0"/>
        <v>0</v>
      </c>
      <c r="K33" s="57"/>
      <c r="L33" s="57"/>
      <c r="M33" s="57"/>
    </row>
    <row r="34" spans="1:13">
      <c r="A34" s="64">
        <v>43556</v>
      </c>
      <c r="B34" s="30" t="s">
        <v>399</v>
      </c>
      <c r="C34" s="103"/>
      <c r="D34" s="21" t="s">
        <v>169</v>
      </c>
      <c r="E34" s="21" t="s">
        <v>170</v>
      </c>
      <c r="F34" s="33" t="s">
        <v>171</v>
      </c>
      <c r="G34" s="57"/>
      <c r="H34" s="54"/>
      <c r="I34" s="68"/>
      <c r="J34" s="57">
        <f t="shared" si="0"/>
        <v>0</v>
      </c>
      <c r="K34" s="57"/>
      <c r="L34" s="57"/>
      <c r="M34" s="57"/>
    </row>
    <row r="35" spans="1:13">
      <c r="A35" s="64">
        <v>43556</v>
      </c>
      <c r="B35" s="30" t="s">
        <v>399</v>
      </c>
      <c r="C35" s="103"/>
      <c r="D35" s="21" t="s">
        <v>169</v>
      </c>
      <c r="E35" s="21" t="s">
        <v>170</v>
      </c>
      <c r="F35" s="33" t="s">
        <v>172</v>
      </c>
      <c r="G35" s="57"/>
      <c r="H35" s="54"/>
      <c r="I35" s="68"/>
      <c r="J35" s="57">
        <f t="shared" si="0"/>
        <v>0</v>
      </c>
      <c r="K35" s="57"/>
      <c r="L35" s="57"/>
      <c r="M35" s="57"/>
    </row>
    <row r="36" spans="1:13">
      <c r="A36" s="64"/>
      <c r="B36" s="30"/>
      <c r="C36" s="103"/>
      <c r="D36" s="21" t="s">
        <v>169</v>
      </c>
      <c r="E36" s="21" t="s">
        <v>170</v>
      </c>
      <c r="F36" s="33" t="s">
        <v>173</v>
      </c>
      <c r="G36" s="57"/>
      <c r="H36" s="54"/>
      <c r="I36" s="68"/>
      <c r="J36" s="57">
        <f t="shared" si="0"/>
        <v>0</v>
      </c>
      <c r="K36" s="57"/>
      <c r="L36" s="57"/>
      <c r="M36" s="57"/>
    </row>
    <row r="37" spans="1:13">
      <c r="A37" s="64"/>
      <c r="B37" s="30"/>
      <c r="C37" s="103"/>
      <c r="D37" s="21" t="s">
        <v>174</v>
      </c>
      <c r="E37" s="21" t="s">
        <v>170</v>
      </c>
      <c r="F37" s="33" t="s">
        <v>173</v>
      </c>
      <c r="G37" s="57"/>
      <c r="H37" s="54"/>
      <c r="I37" s="68"/>
      <c r="J37" s="57">
        <f t="shared" si="0"/>
        <v>0</v>
      </c>
      <c r="K37" s="57"/>
      <c r="L37" s="57"/>
      <c r="M37" s="57"/>
    </row>
    <row r="38" spans="1:13">
      <c r="A38" s="64">
        <v>43556</v>
      </c>
      <c r="B38" s="30" t="s">
        <v>399</v>
      </c>
      <c r="C38" s="103"/>
      <c r="D38" s="21" t="s">
        <v>175</v>
      </c>
      <c r="E38" s="21" t="s">
        <v>176</v>
      </c>
      <c r="F38" s="33" t="s">
        <v>177</v>
      </c>
      <c r="G38" s="57"/>
      <c r="H38" s="54"/>
      <c r="I38" s="67"/>
      <c r="J38" s="57">
        <f t="shared" si="0"/>
        <v>0</v>
      </c>
      <c r="K38" s="57">
        <f>(J38+J39+J40)*0.03*N2</f>
        <v>0</v>
      </c>
      <c r="L38" s="57">
        <f>K38/0.03*0.25</f>
        <v>0</v>
      </c>
      <c r="M38" s="57">
        <f>L38-K38</f>
        <v>0</v>
      </c>
    </row>
    <row r="39" spans="1:13">
      <c r="A39" s="64">
        <v>43556</v>
      </c>
      <c r="B39" s="30" t="s">
        <v>399</v>
      </c>
      <c r="C39" s="103"/>
      <c r="D39" s="21" t="s">
        <v>175</v>
      </c>
      <c r="E39" s="21" t="s">
        <v>176</v>
      </c>
      <c r="F39" s="33" t="s">
        <v>178</v>
      </c>
      <c r="G39" s="57"/>
      <c r="H39" s="54"/>
      <c r="I39" s="67"/>
      <c r="J39" s="57">
        <f t="shared" si="0"/>
        <v>0</v>
      </c>
      <c r="K39" s="57"/>
      <c r="L39" s="57"/>
      <c r="M39" s="57"/>
    </row>
    <row r="40" spans="1:13">
      <c r="A40" s="64"/>
      <c r="B40" s="30"/>
      <c r="C40" s="103"/>
      <c r="D40" s="21" t="s">
        <v>180</v>
      </c>
      <c r="E40" s="21" t="s">
        <v>176</v>
      </c>
      <c r="F40" s="33" t="s">
        <v>177</v>
      </c>
      <c r="G40" s="57"/>
      <c r="H40" s="54"/>
      <c r="I40" s="67"/>
      <c r="J40" s="57">
        <f t="shared" si="0"/>
        <v>0</v>
      </c>
      <c r="K40" s="57"/>
      <c r="L40" s="57"/>
      <c r="M40" s="57"/>
    </row>
    <row r="41" spans="1:13">
      <c r="A41" s="64">
        <v>43556</v>
      </c>
      <c r="B41" s="30" t="s">
        <v>399</v>
      </c>
      <c r="C41" s="103"/>
      <c r="D41" s="21" t="s">
        <v>88</v>
      </c>
      <c r="E41" s="21" t="s">
        <v>181</v>
      </c>
      <c r="F41" s="33" t="s">
        <v>183</v>
      </c>
      <c r="G41" s="57"/>
      <c r="H41" s="54"/>
      <c r="I41" s="67"/>
      <c r="J41" s="57">
        <f t="shared" si="0"/>
        <v>0</v>
      </c>
      <c r="K41" s="57">
        <f>(J41+J42)*0.05*N2</f>
        <v>0</v>
      </c>
      <c r="L41" s="57">
        <f>K41/0.05*0.25</f>
        <v>0</v>
      </c>
      <c r="M41" s="57">
        <f>L41-K41</f>
        <v>0</v>
      </c>
    </row>
    <row r="42" spans="1:13">
      <c r="A42" s="64">
        <v>43556</v>
      </c>
      <c r="B42" s="30" t="s">
        <v>399</v>
      </c>
      <c r="C42" s="103"/>
      <c r="D42" s="21" t="s">
        <v>88</v>
      </c>
      <c r="E42" s="21" t="s">
        <v>181</v>
      </c>
      <c r="F42" s="33" t="s">
        <v>184</v>
      </c>
      <c r="G42" s="57"/>
      <c r="H42" s="54"/>
      <c r="I42" s="68"/>
      <c r="J42" s="57">
        <f t="shared" si="0"/>
        <v>0</v>
      </c>
      <c r="K42" s="57"/>
      <c r="L42" s="57"/>
      <c r="M42" s="57"/>
    </row>
    <row r="43" spans="1:13">
      <c r="A43" s="64">
        <v>43556</v>
      </c>
      <c r="B43" s="30" t="s">
        <v>399</v>
      </c>
      <c r="C43" s="103"/>
      <c r="D43" s="21" t="s">
        <v>169</v>
      </c>
      <c r="E43" s="21" t="s">
        <v>170</v>
      </c>
      <c r="F43" s="33" t="s">
        <v>171</v>
      </c>
      <c r="G43" s="57"/>
      <c r="H43" s="54"/>
      <c r="I43" s="67"/>
      <c r="J43" s="57">
        <f t="shared" si="0"/>
        <v>0</v>
      </c>
      <c r="K43" s="57">
        <f>(J43+J44+J45+J34+J35+J36+J37)*0.04*N2</f>
        <v>0</v>
      </c>
      <c r="L43" s="57">
        <f>K43/0.04*0.25</f>
        <v>0</v>
      </c>
      <c r="M43" s="57">
        <f>L43-K43</f>
        <v>0</v>
      </c>
    </row>
    <row r="44" spans="1:13">
      <c r="A44" s="64">
        <v>43556</v>
      </c>
      <c r="B44" s="30" t="s">
        <v>399</v>
      </c>
      <c r="C44" s="103"/>
      <c r="D44" s="21" t="s">
        <v>169</v>
      </c>
      <c r="E44" s="21" t="s">
        <v>170</v>
      </c>
      <c r="F44" s="33" t="s">
        <v>172</v>
      </c>
      <c r="G44" s="57"/>
      <c r="H44" s="54"/>
      <c r="I44" s="67"/>
      <c r="J44" s="57">
        <f t="shared" si="0"/>
        <v>0</v>
      </c>
      <c r="K44" s="57"/>
      <c r="L44" s="57"/>
      <c r="M44" s="57"/>
    </row>
    <row r="45" spans="1:13">
      <c r="A45" s="64">
        <v>43556</v>
      </c>
      <c r="B45" s="30" t="s">
        <v>399</v>
      </c>
      <c r="C45" s="103"/>
      <c r="D45" s="21" t="s">
        <v>169</v>
      </c>
      <c r="E45" s="21" t="s">
        <v>170</v>
      </c>
      <c r="F45" s="33" t="s">
        <v>173</v>
      </c>
      <c r="G45" s="57"/>
      <c r="H45" s="54"/>
      <c r="I45" s="68"/>
      <c r="J45" s="57">
        <f t="shared" si="0"/>
        <v>0</v>
      </c>
      <c r="K45" s="57"/>
      <c r="L45" s="57"/>
      <c r="M45" s="57"/>
    </row>
    <row r="46" spans="1:13">
      <c r="A46" s="64">
        <v>43556</v>
      </c>
      <c r="B46" s="30" t="s">
        <v>399</v>
      </c>
      <c r="C46" s="103"/>
      <c r="D46" s="21" t="s">
        <v>140</v>
      </c>
      <c r="E46" s="21" t="s">
        <v>287</v>
      </c>
      <c r="F46" s="33" t="s">
        <v>289</v>
      </c>
      <c r="G46" s="57"/>
      <c r="H46" s="54"/>
      <c r="I46" s="68"/>
      <c r="J46" s="57">
        <f t="shared" si="0"/>
        <v>0</v>
      </c>
      <c r="K46" s="57">
        <f>(J46)*0.04*N2</f>
        <v>0</v>
      </c>
      <c r="L46" s="57">
        <f>K46/0.04*0.25</f>
        <v>0</v>
      </c>
      <c r="M46" s="57">
        <f>L46-K46</f>
        <v>0</v>
      </c>
    </row>
    <row r="47" spans="1:13">
      <c r="A47" s="64"/>
      <c r="B47" s="30"/>
      <c r="C47" s="103"/>
      <c r="D47" s="75" t="s">
        <v>148</v>
      </c>
      <c r="E47" s="75" t="s">
        <v>149</v>
      </c>
      <c r="F47" s="75" t="s">
        <v>400</v>
      </c>
      <c r="G47" s="76"/>
      <c r="H47" s="77"/>
      <c r="I47" s="68"/>
      <c r="J47" s="57">
        <f t="shared" si="0"/>
        <v>0</v>
      </c>
      <c r="K47" s="57"/>
      <c r="L47" s="57"/>
      <c r="M47" s="57"/>
    </row>
    <row r="48" spans="1:13">
      <c r="A48" s="64">
        <v>43556</v>
      </c>
      <c r="B48" s="30" t="s">
        <v>399</v>
      </c>
      <c r="C48" s="102" t="s">
        <v>83</v>
      </c>
      <c r="D48" s="21" t="s">
        <v>84</v>
      </c>
      <c r="E48" s="21" t="s">
        <v>85</v>
      </c>
      <c r="F48" s="33" t="s">
        <v>86</v>
      </c>
      <c r="G48" s="57"/>
      <c r="H48" s="54"/>
      <c r="I48" s="68"/>
      <c r="J48" s="57">
        <f t="shared" si="0"/>
        <v>0</v>
      </c>
      <c r="K48" s="57">
        <f>(J48+J49+J60+J61)*0.03*N2</f>
        <v>0</v>
      </c>
      <c r="L48" s="57">
        <f>K48/0.03*0.25</f>
        <v>0</v>
      </c>
      <c r="M48" s="57">
        <f>L48-K48</f>
        <v>0</v>
      </c>
    </row>
    <row r="49" spans="1:13">
      <c r="A49" s="64">
        <v>43556</v>
      </c>
      <c r="B49" s="30" t="s">
        <v>399</v>
      </c>
      <c r="C49" s="103"/>
      <c r="D49" s="21" t="s">
        <v>84</v>
      </c>
      <c r="E49" s="21" t="s">
        <v>85</v>
      </c>
      <c r="F49" s="33" t="s">
        <v>87</v>
      </c>
      <c r="G49" s="57"/>
      <c r="H49" s="54"/>
      <c r="I49" s="68"/>
      <c r="J49" s="57">
        <f t="shared" si="0"/>
        <v>0</v>
      </c>
      <c r="K49" s="57"/>
      <c r="L49" s="57"/>
      <c r="M49" s="57"/>
    </row>
    <row r="50" spans="1:13">
      <c r="A50" s="64">
        <v>43556</v>
      </c>
      <c r="B50" s="30" t="s">
        <v>399</v>
      </c>
      <c r="C50" s="103"/>
      <c r="D50" s="21" t="s">
        <v>105</v>
      </c>
      <c r="E50" s="21" t="s">
        <v>99</v>
      </c>
      <c r="F50" s="33" t="s">
        <v>100</v>
      </c>
      <c r="G50" s="57"/>
      <c r="H50" s="54"/>
      <c r="I50" s="68"/>
      <c r="J50" s="57">
        <f t="shared" si="0"/>
        <v>0</v>
      </c>
      <c r="K50" s="57">
        <f>(J50+J51+J56+J57)*0.03*N2</f>
        <v>0</v>
      </c>
      <c r="L50" s="57">
        <f>K50/0.03*0.25</f>
        <v>0</v>
      </c>
      <c r="M50" s="57">
        <f>L50-K50</f>
        <v>0</v>
      </c>
    </row>
    <row r="51" spans="1:13">
      <c r="A51" s="64">
        <v>43556</v>
      </c>
      <c r="B51" s="30" t="s">
        <v>399</v>
      </c>
      <c r="C51" s="103"/>
      <c r="D51" s="21" t="s">
        <v>105</v>
      </c>
      <c r="E51" s="21" t="s">
        <v>99</v>
      </c>
      <c r="F51" s="33" t="s">
        <v>101</v>
      </c>
      <c r="G51" s="57"/>
      <c r="H51" s="54"/>
      <c r="I51" s="68"/>
      <c r="J51" s="57">
        <f t="shared" si="0"/>
        <v>0</v>
      </c>
      <c r="K51" s="57"/>
      <c r="L51" s="57"/>
      <c r="M51" s="57"/>
    </row>
    <row r="52" spans="1:13">
      <c r="A52" s="64">
        <v>43556</v>
      </c>
      <c r="B52" s="30" t="s">
        <v>399</v>
      </c>
      <c r="C52" s="103"/>
      <c r="D52" s="21" t="s">
        <v>255</v>
      </c>
      <c r="E52" s="21" t="s">
        <v>89</v>
      </c>
      <c r="F52" s="33" t="s">
        <v>90</v>
      </c>
      <c r="G52" s="57"/>
      <c r="H52" s="54"/>
      <c r="I52" s="68"/>
      <c r="J52" s="57">
        <f t="shared" si="0"/>
        <v>0</v>
      </c>
      <c r="K52" s="57"/>
      <c r="L52" s="57">
        <f>K52/0.05*0.25</f>
        <v>0</v>
      </c>
      <c r="M52" s="57">
        <f>L52-K52</f>
        <v>0</v>
      </c>
    </row>
    <row r="53" spans="1:13">
      <c r="A53" s="64">
        <v>43556</v>
      </c>
      <c r="B53" s="30" t="s">
        <v>399</v>
      </c>
      <c r="C53" s="103"/>
      <c r="D53" s="21" t="s">
        <v>255</v>
      </c>
      <c r="E53" s="21" t="s">
        <v>89</v>
      </c>
      <c r="F53" s="33" t="s">
        <v>91</v>
      </c>
      <c r="G53" s="57"/>
      <c r="H53" s="54"/>
      <c r="I53" s="68"/>
      <c r="J53" s="57">
        <f t="shared" si="0"/>
        <v>0</v>
      </c>
      <c r="K53" s="57"/>
      <c r="L53" s="57"/>
      <c r="M53" s="57"/>
    </row>
    <row r="54" spans="1:13">
      <c r="A54" s="64">
        <v>43556</v>
      </c>
      <c r="B54" s="30" t="s">
        <v>399</v>
      </c>
      <c r="C54" s="103"/>
      <c r="D54" s="21" t="s">
        <v>256</v>
      </c>
      <c r="E54" s="21" t="s">
        <v>89</v>
      </c>
      <c r="F54" s="33" t="s">
        <v>90</v>
      </c>
      <c r="G54" s="57"/>
      <c r="H54" s="54"/>
      <c r="I54" s="68"/>
      <c r="J54" s="57">
        <f t="shared" ref="J54:J68" si="3">G54*H54*0.98-I54</f>
        <v>0</v>
      </c>
      <c r="K54" s="57"/>
      <c r="L54" s="57"/>
      <c r="M54" s="57"/>
    </row>
    <row r="55" spans="1:13">
      <c r="A55" s="64">
        <v>43556</v>
      </c>
      <c r="B55" s="30" t="s">
        <v>399</v>
      </c>
      <c r="C55" s="103"/>
      <c r="D55" s="21" t="s">
        <v>103</v>
      </c>
      <c r="E55" s="21" t="s">
        <v>249</v>
      </c>
      <c r="F55" s="33" t="s">
        <v>254</v>
      </c>
      <c r="G55" s="57"/>
      <c r="H55" s="54"/>
      <c r="I55" s="68"/>
      <c r="J55" s="57">
        <f t="shared" si="3"/>
        <v>0</v>
      </c>
      <c r="K55" s="57"/>
      <c r="L55" s="57"/>
      <c r="M55" s="57"/>
    </row>
    <row r="56" spans="1:13">
      <c r="A56" s="64">
        <v>43556</v>
      </c>
      <c r="B56" s="30" t="s">
        <v>399</v>
      </c>
      <c r="C56" s="103"/>
      <c r="D56" s="21" t="s">
        <v>98</v>
      </c>
      <c r="E56" s="21" t="s">
        <v>99</v>
      </c>
      <c r="F56" s="33" t="s">
        <v>100</v>
      </c>
      <c r="G56" s="57"/>
      <c r="H56" s="54"/>
      <c r="I56" s="68"/>
      <c r="J56" s="57">
        <f t="shared" si="3"/>
        <v>0</v>
      </c>
      <c r="K56" s="57"/>
      <c r="L56" s="57">
        <f>K56/0.04*0.25</f>
        <v>0</v>
      </c>
      <c r="M56" s="57">
        <f>L56-K56</f>
        <v>0</v>
      </c>
    </row>
    <row r="57" spans="1:13">
      <c r="A57" s="64">
        <v>43556</v>
      </c>
      <c r="B57" s="30" t="s">
        <v>399</v>
      </c>
      <c r="C57" s="103"/>
      <c r="D57" s="21" t="s">
        <v>98</v>
      </c>
      <c r="E57" s="21" t="s">
        <v>99</v>
      </c>
      <c r="F57" s="33" t="s">
        <v>101</v>
      </c>
      <c r="G57" s="57"/>
      <c r="H57" s="54"/>
      <c r="I57" s="68"/>
      <c r="J57" s="57">
        <f t="shared" si="3"/>
        <v>0</v>
      </c>
      <c r="K57" s="57"/>
      <c r="L57" s="57"/>
      <c r="M57" s="57"/>
    </row>
    <row r="58" spans="1:13">
      <c r="A58" s="64">
        <v>43556</v>
      </c>
      <c r="B58" s="30" t="s">
        <v>399</v>
      </c>
      <c r="C58" s="103"/>
      <c r="D58" s="21" t="s">
        <v>102</v>
      </c>
      <c r="E58" s="21" t="s">
        <v>93</v>
      </c>
      <c r="F58" s="33" t="s">
        <v>94</v>
      </c>
      <c r="G58" s="57"/>
      <c r="H58" s="54"/>
      <c r="I58" s="68"/>
      <c r="J58" s="57">
        <f t="shared" si="3"/>
        <v>0</v>
      </c>
      <c r="K58" s="57">
        <f>(J58+J59)*0.2*N2</f>
        <v>0</v>
      </c>
      <c r="L58" s="57"/>
      <c r="M58" s="57"/>
    </row>
    <row r="59" spans="1:13">
      <c r="A59" s="64"/>
      <c r="B59" s="30"/>
      <c r="C59" s="103"/>
      <c r="D59" s="21" t="s">
        <v>102</v>
      </c>
      <c r="E59" s="21" t="s">
        <v>93</v>
      </c>
      <c r="F59" s="33" t="s">
        <v>97</v>
      </c>
      <c r="G59" s="57"/>
      <c r="H59" s="54"/>
      <c r="I59" s="68"/>
      <c r="J59" s="57">
        <f t="shared" si="3"/>
        <v>0</v>
      </c>
      <c r="K59" s="57"/>
      <c r="L59" s="57"/>
      <c r="M59" s="57"/>
    </row>
    <row r="60" spans="1:13">
      <c r="A60" s="64">
        <v>43556</v>
      </c>
      <c r="B60" s="30" t="s">
        <v>399</v>
      </c>
      <c r="C60" s="103"/>
      <c r="D60" s="21" t="s">
        <v>95</v>
      </c>
      <c r="E60" s="21" t="s">
        <v>85</v>
      </c>
      <c r="F60" s="33" t="s">
        <v>86</v>
      </c>
      <c r="G60" s="57"/>
      <c r="H60" s="54"/>
      <c r="I60" s="68"/>
      <c r="J60" s="57">
        <f t="shared" si="3"/>
        <v>0</v>
      </c>
      <c r="K60" s="57"/>
      <c r="L60" s="57"/>
      <c r="M60" s="57"/>
    </row>
    <row r="61" spans="1:13">
      <c r="A61" s="64">
        <v>43556</v>
      </c>
      <c r="B61" s="30" t="s">
        <v>399</v>
      </c>
      <c r="C61" s="104"/>
      <c r="D61" s="21" t="s">
        <v>95</v>
      </c>
      <c r="E61" s="21" t="s">
        <v>85</v>
      </c>
      <c r="F61" s="33" t="s">
        <v>87</v>
      </c>
      <c r="G61" s="57"/>
      <c r="H61" s="54"/>
      <c r="I61" s="68"/>
      <c r="J61" s="57">
        <f t="shared" si="3"/>
        <v>0</v>
      </c>
      <c r="K61" s="57"/>
      <c r="L61" s="57"/>
      <c r="M61" s="57"/>
    </row>
    <row r="62" spans="1:13">
      <c r="A62" s="64">
        <v>43556</v>
      </c>
      <c r="B62" s="30" t="s">
        <v>399</v>
      </c>
      <c r="C62" s="105" t="s">
        <v>106</v>
      </c>
      <c r="D62" s="21" t="s">
        <v>107</v>
      </c>
      <c r="E62" s="21" t="s">
        <v>108</v>
      </c>
      <c r="F62" s="33" t="s">
        <v>109</v>
      </c>
      <c r="G62" s="57"/>
      <c r="H62" s="54"/>
      <c r="I62" s="79"/>
      <c r="J62" s="57">
        <f t="shared" si="3"/>
        <v>0</v>
      </c>
      <c r="K62" s="57">
        <f>(J62+J63+J67+J68)*0.03*N2</f>
        <v>0</v>
      </c>
      <c r="L62" s="57">
        <f>K62/0.03*0.25</f>
        <v>0</v>
      </c>
      <c r="M62" s="57">
        <f>L62-K62</f>
        <v>0</v>
      </c>
    </row>
    <row r="63" spans="1:13">
      <c r="A63" s="64">
        <v>43556</v>
      </c>
      <c r="B63" s="30" t="s">
        <v>399</v>
      </c>
      <c r="C63" s="105"/>
      <c r="D63" s="21" t="s">
        <v>107</v>
      </c>
      <c r="E63" s="21" t="s">
        <v>108</v>
      </c>
      <c r="F63" s="33" t="s">
        <v>110</v>
      </c>
      <c r="G63" s="57"/>
      <c r="H63" s="54"/>
      <c r="I63" s="68"/>
      <c r="J63" s="57">
        <f t="shared" si="3"/>
        <v>0</v>
      </c>
      <c r="K63" s="57"/>
      <c r="L63" s="57"/>
      <c r="M63" s="57"/>
    </row>
    <row r="64" spans="1:13">
      <c r="A64" s="64">
        <v>43556</v>
      </c>
      <c r="B64" s="30" t="s">
        <v>399</v>
      </c>
      <c r="C64" s="105"/>
      <c r="D64" s="21" t="s">
        <v>116</v>
      </c>
      <c r="E64" s="21" t="s">
        <v>401</v>
      </c>
      <c r="F64" s="33" t="s">
        <v>402</v>
      </c>
      <c r="G64" s="57"/>
      <c r="H64" s="54"/>
      <c r="I64" s="68"/>
      <c r="J64" s="57">
        <f t="shared" si="3"/>
        <v>0</v>
      </c>
      <c r="K64" s="57"/>
      <c r="L64" s="57"/>
      <c r="M64" s="57"/>
    </row>
    <row r="65" spans="1:13">
      <c r="A65" s="64">
        <v>43556</v>
      </c>
      <c r="B65" s="30" t="s">
        <v>399</v>
      </c>
      <c r="C65" s="105"/>
      <c r="D65" s="21" t="s">
        <v>112</v>
      </c>
      <c r="E65" s="21" t="s">
        <v>113</v>
      </c>
      <c r="F65" s="33" t="s">
        <v>114</v>
      </c>
      <c r="G65" s="57"/>
      <c r="H65" s="54"/>
      <c r="I65" s="67"/>
      <c r="J65" s="57">
        <f t="shared" si="3"/>
        <v>0</v>
      </c>
      <c r="K65" s="57"/>
      <c r="L65" s="57">
        <f>K65/0.03*0.25</f>
        <v>0</v>
      </c>
      <c r="M65" s="57">
        <f>L65-K65</f>
        <v>0</v>
      </c>
    </row>
    <row r="66" spans="1:13">
      <c r="A66" s="64">
        <v>43556</v>
      </c>
      <c r="B66" s="30" t="s">
        <v>399</v>
      </c>
      <c r="C66" s="105"/>
      <c r="D66" s="21" t="s">
        <v>112</v>
      </c>
      <c r="E66" s="21" t="s">
        <v>113</v>
      </c>
      <c r="F66" s="33" t="s">
        <v>115</v>
      </c>
      <c r="G66" s="57"/>
      <c r="H66" s="54"/>
      <c r="I66" s="68"/>
      <c r="J66" s="57">
        <f t="shared" si="3"/>
        <v>0</v>
      </c>
      <c r="K66" s="57"/>
      <c r="L66" s="57"/>
      <c r="M66" s="57"/>
    </row>
    <row r="67" spans="1:13">
      <c r="A67" s="64">
        <v>43556</v>
      </c>
      <c r="B67" s="30" t="s">
        <v>399</v>
      </c>
      <c r="C67" s="105"/>
      <c r="D67" s="21" t="s">
        <v>111</v>
      </c>
      <c r="E67" s="21" t="s">
        <v>108</v>
      </c>
      <c r="F67" s="33" t="s">
        <v>109</v>
      </c>
      <c r="G67" s="57"/>
      <c r="H67" s="54"/>
      <c r="I67" s="79"/>
      <c r="J67" s="57">
        <f t="shared" si="3"/>
        <v>0</v>
      </c>
      <c r="K67" s="57"/>
      <c r="L67" s="57"/>
      <c r="M67" s="57"/>
    </row>
    <row r="68" spans="1:13">
      <c r="A68" s="64">
        <v>43556</v>
      </c>
      <c r="B68" s="30" t="s">
        <v>399</v>
      </c>
      <c r="C68" s="105"/>
      <c r="D68" s="21" t="s">
        <v>111</v>
      </c>
      <c r="E68" s="21" t="s">
        <v>108</v>
      </c>
      <c r="F68" s="33" t="s">
        <v>110</v>
      </c>
      <c r="G68" s="57"/>
      <c r="H68" s="54"/>
      <c r="I68" s="68"/>
      <c r="J68" s="57">
        <f t="shared" si="3"/>
        <v>0</v>
      </c>
      <c r="K68" s="57"/>
      <c r="L68" s="57"/>
      <c r="M68" s="57"/>
    </row>
    <row r="69" spans="1:13">
      <c r="A69" s="64">
        <v>43556</v>
      </c>
      <c r="B69" s="30" t="s">
        <v>399</v>
      </c>
      <c r="C69" s="105"/>
      <c r="D69" s="21" t="s">
        <v>128</v>
      </c>
      <c r="E69" s="21" t="s">
        <v>129</v>
      </c>
      <c r="F69" s="33" t="s">
        <v>131</v>
      </c>
      <c r="G69" s="57"/>
      <c r="H69" s="54"/>
      <c r="I69" s="68"/>
      <c r="J69" s="57">
        <f t="shared" ref="J69:J80" si="4">G69*H69*0.98-I69</f>
        <v>0</v>
      </c>
      <c r="K69" s="57"/>
      <c r="L69" s="57"/>
      <c r="M69" s="57"/>
    </row>
    <row r="70" spans="1:13" ht="15" customHeight="1">
      <c r="A70" s="64">
        <v>43556</v>
      </c>
      <c r="B70" s="30" t="s">
        <v>399</v>
      </c>
      <c r="C70" s="105"/>
      <c r="D70" s="21" t="s">
        <v>133</v>
      </c>
      <c r="E70" s="21" t="s">
        <v>129</v>
      </c>
      <c r="F70" s="33" t="s">
        <v>130</v>
      </c>
      <c r="G70" s="57"/>
      <c r="H70" s="54"/>
      <c r="I70" s="68"/>
      <c r="J70" s="57">
        <f t="shared" si="4"/>
        <v>0</v>
      </c>
      <c r="K70" s="57">
        <f>(J70+J71)*0.05*N2</f>
        <v>0</v>
      </c>
      <c r="L70" s="57">
        <f>K70/0.05*0.25</f>
        <v>0</v>
      </c>
      <c r="M70" s="57">
        <f>L70-K70</f>
        <v>0</v>
      </c>
    </row>
    <row r="71" spans="1:13" ht="15" customHeight="1">
      <c r="A71" s="64">
        <v>43556</v>
      </c>
      <c r="B71" s="30" t="s">
        <v>399</v>
      </c>
      <c r="C71" s="105"/>
      <c r="D71" s="21" t="s">
        <v>133</v>
      </c>
      <c r="E71" s="21" t="s">
        <v>129</v>
      </c>
      <c r="F71" s="33" t="s">
        <v>131</v>
      </c>
      <c r="G71" s="57"/>
      <c r="H71" s="54"/>
      <c r="I71" s="68"/>
      <c r="J71" s="57">
        <f t="shared" si="4"/>
        <v>0</v>
      </c>
      <c r="K71" s="57"/>
      <c r="L71" s="57"/>
      <c r="M71" s="57"/>
    </row>
    <row r="72" spans="1:13" ht="15" customHeight="1">
      <c r="A72" s="64"/>
      <c r="B72" s="30"/>
      <c r="C72" s="105"/>
      <c r="D72" s="21" t="s">
        <v>133</v>
      </c>
      <c r="E72" s="21" t="s">
        <v>113</v>
      </c>
      <c r="F72" s="33" t="s">
        <v>248</v>
      </c>
      <c r="G72" s="57"/>
      <c r="H72" s="54"/>
      <c r="I72" s="68"/>
      <c r="J72" s="57">
        <f t="shared" si="4"/>
        <v>0</v>
      </c>
      <c r="K72" s="57"/>
      <c r="L72" s="57"/>
      <c r="M72" s="57"/>
    </row>
    <row r="73" spans="1:13" ht="15" customHeight="1">
      <c r="A73" s="64"/>
      <c r="B73" s="30"/>
      <c r="C73" s="105"/>
      <c r="D73" s="21" t="s">
        <v>133</v>
      </c>
      <c r="E73" s="21" t="s">
        <v>113</v>
      </c>
      <c r="F73" s="33" t="s">
        <v>403</v>
      </c>
      <c r="G73" s="57"/>
      <c r="H73" s="54"/>
      <c r="I73" s="68"/>
      <c r="J73" s="57">
        <f t="shared" si="4"/>
        <v>0</v>
      </c>
      <c r="K73" s="57"/>
      <c r="L73" s="57"/>
      <c r="M73" s="57"/>
    </row>
    <row r="74" spans="1:13" ht="15" customHeight="1">
      <c r="A74" s="64">
        <v>43556</v>
      </c>
      <c r="B74" s="30" t="s">
        <v>399</v>
      </c>
      <c r="C74" s="105"/>
      <c r="D74" s="21" t="s">
        <v>134</v>
      </c>
      <c r="E74" s="21" t="s">
        <v>113</v>
      </c>
      <c r="F74" s="33" t="s">
        <v>248</v>
      </c>
      <c r="G74" s="57"/>
      <c r="H74" s="54"/>
      <c r="I74" s="68"/>
      <c r="J74" s="57">
        <f t="shared" si="4"/>
        <v>0</v>
      </c>
      <c r="K74" s="57"/>
      <c r="L74" s="57"/>
      <c r="M74" s="57"/>
    </row>
    <row r="75" spans="1:13">
      <c r="A75" s="64">
        <v>43556</v>
      </c>
      <c r="B75" s="30" t="s">
        <v>399</v>
      </c>
      <c r="C75" s="105"/>
      <c r="D75" s="21" t="s">
        <v>134</v>
      </c>
      <c r="E75" s="21" t="s">
        <v>113</v>
      </c>
      <c r="F75" s="33" t="s">
        <v>403</v>
      </c>
      <c r="G75" s="57"/>
      <c r="H75" s="54"/>
      <c r="I75" s="68"/>
      <c r="J75" s="57">
        <f t="shared" si="4"/>
        <v>0</v>
      </c>
      <c r="K75" s="57"/>
      <c r="L75" s="57"/>
      <c r="M75" s="57"/>
    </row>
    <row r="76" spans="1:13">
      <c r="A76" s="64">
        <v>43556</v>
      </c>
      <c r="B76" s="30" t="s">
        <v>399</v>
      </c>
      <c r="C76" s="105" t="s">
        <v>404</v>
      </c>
      <c r="D76" s="21" t="s">
        <v>186</v>
      </c>
      <c r="E76" s="21" t="s">
        <v>187</v>
      </c>
      <c r="F76" s="33" t="s">
        <v>190</v>
      </c>
      <c r="G76" s="57"/>
      <c r="H76" s="54"/>
      <c r="I76" s="68"/>
      <c r="J76" s="57">
        <f t="shared" si="4"/>
        <v>0</v>
      </c>
      <c r="K76" s="57"/>
      <c r="L76" s="57">
        <f>K76/0.03*0.25*3</f>
        <v>0</v>
      </c>
      <c r="M76" s="57">
        <f>L76-K76</f>
        <v>0</v>
      </c>
    </row>
    <row r="77" spans="1:13">
      <c r="A77" s="64">
        <v>43556</v>
      </c>
      <c r="B77" s="30" t="s">
        <v>399</v>
      </c>
      <c r="C77" s="105"/>
      <c r="D77" s="21" t="s">
        <v>186</v>
      </c>
      <c r="E77" s="21" t="s">
        <v>187</v>
      </c>
      <c r="F77" s="33" t="s">
        <v>188</v>
      </c>
      <c r="G77" s="57"/>
      <c r="H77" s="54"/>
      <c r="I77" s="68"/>
      <c r="J77" s="57">
        <f t="shared" si="4"/>
        <v>0</v>
      </c>
      <c r="K77" s="57"/>
      <c r="L77" s="57"/>
      <c r="M77" s="57"/>
    </row>
    <row r="78" spans="1:13">
      <c r="A78" s="64"/>
      <c r="B78" s="30"/>
      <c r="C78" s="105"/>
      <c r="D78" s="21" t="s">
        <v>189</v>
      </c>
      <c r="E78" s="21" t="s">
        <v>187</v>
      </c>
      <c r="F78" s="33" t="s">
        <v>190</v>
      </c>
      <c r="G78" s="57"/>
      <c r="H78" s="54"/>
      <c r="I78" s="68"/>
      <c r="J78" s="57">
        <f t="shared" si="4"/>
        <v>0</v>
      </c>
      <c r="K78" s="57"/>
      <c r="L78" s="57"/>
      <c r="M78" s="57"/>
    </row>
    <row r="79" spans="1:13">
      <c r="A79" s="64">
        <v>43556</v>
      </c>
      <c r="B79" s="30" t="s">
        <v>399</v>
      </c>
      <c r="C79" s="105"/>
      <c r="D79" s="21" t="s">
        <v>189</v>
      </c>
      <c r="E79" s="21" t="s">
        <v>187</v>
      </c>
      <c r="F79" s="33" t="s">
        <v>188</v>
      </c>
      <c r="G79" s="57"/>
      <c r="H79" s="54"/>
      <c r="I79" s="68"/>
      <c r="J79" s="57">
        <f t="shared" si="4"/>
        <v>0</v>
      </c>
      <c r="K79" s="57">
        <f>(J79+J77+J78+J76)*0.05*N2</f>
        <v>0</v>
      </c>
      <c r="L79" s="57">
        <f>K79/0.05*0.25</f>
        <v>0</v>
      </c>
      <c r="M79" s="57">
        <f>L79-K79</f>
        <v>0</v>
      </c>
    </row>
    <row r="80" spans="1:13">
      <c r="A80" s="64">
        <v>43556</v>
      </c>
      <c r="B80" s="30" t="s">
        <v>399</v>
      </c>
      <c r="C80" s="21" t="s">
        <v>199</v>
      </c>
      <c r="D80" s="21" t="s">
        <v>201</v>
      </c>
      <c r="E80" s="21" t="s">
        <v>93</v>
      </c>
      <c r="F80" s="33" t="s">
        <v>94</v>
      </c>
      <c r="G80" s="57"/>
      <c r="H80" s="54"/>
      <c r="I80" s="68"/>
      <c r="J80" s="57">
        <f t="shared" si="4"/>
        <v>0</v>
      </c>
      <c r="K80" s="57">
        <f>(J80)*0.25*N2</f>
        <v>0</v>
      </c>
      <c r="L80" s="57"/>
      <c r="M80" s="57"/>
    </row>
    <row r="81" spans="1:13">
      <c r="A81" s="21">
        <v>42795</v>
      </c>
      <c r="B81" s="71"/>
      <c r="C81" s="106" t="s">
        <v>218</v>
      </c>
      <c r="D81" s="107"/>
      <c r="E81" s="21" t="s">
        <v>219</v>
      </c>
      <c r="F81" s="33" t="s">
        <v>219</v>
      </c>
      <c r="G81" s="57"/>
      <c r="H81" s="54"/>
      <c r="I81" s="68"/>
      <c r="J81" s="57">
        <f t="shared" ref="J81:J84" si="5">(G81*H81*0.98)-I81</f>
        <v>0</v>
      </c>
      <c r="K81" s="57">
        <f>(J4+J5+J8+J10+J13+J14+J15+J16+J21+J22)*0.07*N2+(J3+J6+J7+J9+J11+J12+J17+J18+J19+J20+J23+J24+J25+J26+J27++J28+J29+J30+J31+J32+J33+J34+J35+J36+J37+J38+J39+J40+J41+J42+J43+J44+J45+J46+J47+J48+J49+J50+J51+J56+J57+J58+J59+J60+J61+J62+J63+J64+J65+J66+J67+J68+J69+J70+J71+J72+J73+J74+J75+J76+J77+J78+J79)*0.01*N2+(0)*0.04*N2+(J55)*0.08*N2</f>
        <v>0</v>
      </c>
      <c r="L81" s="57"/>
      <c r="M81" s="57"/>
    </row>
    <row r="82" spans="1:13">
      <c r="A82" s="21">
        <v>42795</v>
      </c>
      <c r="B82" s="72"/>
      <c r="C82" s="108"/>
      <c r="D82" s="109"/>
      <c r="E82" s="21" t="s">
        <v>220</v>
      </c>
      <c r="F82" s="33" t="s">
        <v>220</v>
      </c>
      <c r="G82" s="57"/>
      <c r="H82" s="54"/>
      <c r="I82" s="33"/>
      <c r="J82" s="57">
        <f t="shared" si="5"/>
        <v>0</v>
      </c>
      <c r="K82" s="57">
        <f>(J6+J17+J19)*0.06*N2+(J31+J32+J33+J34+J35+J36+J43+J44+J45+J48+J49+J60+J61)*0.07*N2+(J64)*0.03*N2</f>
        <v>0</v>
      </c>
      <c r="L82" s="57"/>
      <c r="M82" s="57"/>
    </row>
    <row r="83" spans="1:13">
      <c r="A83" s="21">
        <v>42795</v>
      </c>
      <c r="B83" s="72"/>
      <c r="C83" s="108"/>
      <c r="D83" s="109"/>
      <c r="E83" s="21" t="s">
        <v>221</v>
      </c>
      <c r="F83" s="33" t="s">
        <v>221</v>
      </c>
      <c r="G83" s="57"/>
      <c r="H83" s="54"/>
      <c r="I83" s="68"/>
      <c r="J83" s="57">
        <f t="shared" si="5"/>
        <v>0</v>
      </c>
      <c r="K83" s="57">
        <f>(J3+J18)*0.06*N2+(J24+J25+J28+J29+J47+J50+J51)*0.07*N2+(J78+J79)*0.03*N2</f>
        <v>0</v>
      </c>
      <c r="L83" s="57"/>
      <c r="M83" s="57"/>
    </row>
    <row r="84" spans="1:13">
      <c r="A84" s="21">
        <v>42795</v>
      </c>
      <c r="B84" s="72"/>
      <c r="C84" s="108"/>
      <c r="D84" s="109"/>
      <c r="E84" s="21" t="s">
        <v>225</v>
      </c>
      <c r="F84" s="33" t="s">
        <v>225</v>
      </c>
      <c r="G84" s="57"/>
      <c r="H84" s="54"/>
      <c r="I84" s="68"/>
      <c r="J84" s="57">
        <f t="shared" si="5"/>
        <v>0</v>
      </c>
      <c r="K84" s="57">
        <f>(J7)*0.06*N2+(J38+J39)*0.07*N2+(J65+J66+J70+J71+J72+J73)*0.03*N2</f>
        <v>0</v>
      </c>
      <c r="L84" s="57"/>
      <c r="M84" s="57"/>
    </row>
    <row r="85" spans="1:13">
      <c r="A85" s="21">
        <v>42795</v>
      </c>
      <c r="B85" s="72"/>
      <c r="C85" s="108"/>
      <c r="D85" s="109"/>
      <c r="E85" s="21" t="s">
        <v>223</v>
      </c>
      <c r="F85" s="33" t="s">
        <v>223</v>
      </c>
      <c r="G85" s="57"/>
      <c r="H85" s="54"/>
      <c r="I85" s="68"/>
      <c r="J85" s="57">
        <v>0</v>
      </c>
      <c r="K85" s="57">
        <f>(J9+J11+J12)*0.06*N2</f>
        <v>0</v>
      </c>
      <c r="L85" s="57"/>
      <c r="M85" s="57"/>
    </row>
    <row r="86" spans="1:13">
      <c r="B86" s="72"/>
      <c r="C86" s="108"/>
      <c r="D86" s="109"/>
      <c r="E86" s="21" t="s">
        <v>224</v>
      </c>
      <c r="F86" s="33" t="s">
        <v>224</v>
      </c>
      <c r="G86" s="57"/>
      <c r="H86" s="54"/>
      <c r="I86" s="68"/>
      <c r="J86" s="57">
        <v>0</v>
      </c>
      <c r="K86" s="57">
        <f>(0)*0.06*N2+(J37+J40+J41+J42+J56+J57)*0.07*N2+(J76+J77)*0.03*N2</f>
        <v>0</v>
      </c>
      <c r="L86" s="57"/>
      <c r="M86" s="57"/>
    </row>
    <row r="87" spans="1:13">
      <c r="B87" s="72"/>
      <c r="C87" s="108"/>
      <c r="D87" s="109"/>
      <c r="E87" s="21" t="s">
        <v>226</v>
      </c>
      <c r="F87" s="33" t="s">
        <v>226</v>
      </c>
      <c r="G87" s="57"/>
      <c r="H87" s="54"/>
      <c r="I87" s="68"/>
      <c r="J87" s="57">
        <v>0</v>
      </c>
      <c r="K87" s="57">
        <f>(J20)*0.06*N2+(J30+J46)*0.07*N2+(J62+J63)*0.03*N2</f>
        <v>0</v>
      </c>
      <c r="L87" s="57"/>
      <c r="M87" s="57"/>
    </row>
    <row r="88" spans="1:13">
      <c r="B88" s="73"/>
      <c r="C88" s="110"/>
      <c r="D88" s="111"/>
      <c r="E88" s="21" t="s">
        <v>222</v>
      </c>
      <c r="F88" s="33" t="s">
        <v>222</v>
      </c>
      <c r="G88" s="57"/>
      <c r="H88" s="54"/>
      <c r="I88" s="68"/>
      <c r="J88" s="57">
        <v>0</v>
      </c>
      <c r="K88" s="57">
        <f>(J23)*0.06*N2+(J26+J27+J55+J58+J59)*0.07*N2+(J67+J68+J69+J74+J75)*0.03*N2</f>
        <v>0</v>
      </c>
      <c r="L88" s="57"/>
      <c r="M88" s="57"/>
    </row>
    <row r="89" spans="1:13" ht="14.25">
      <c r="A89" s="21">
        <v>42795</v>
      </c>
      <c r="F89" s="48" t="s">
        <v>227</v>
      </c>
      <c r="G89" s="49">
        <f>SUM(G3:G84)</f>
        <v>0</v>
      </c>
      <c r="H89" s="43"/>
      <c r="I89" s="50">
        <f>SUM(I3:I84)</f>
        <v>0</v>
      </c>
      <c r="J89" s="51">
        <f>SUM(J3:J84)</f>
        <v>0</v>
      </c>
      <c r="K89" s="36">
        <f>J89*N2</f>
        <v>0</v>
      </c>
      <c r="L89" s="57"/>
      <c r="M89" s="57"/>
    </row>
    <row r="90" spans="1:13">
      <c r="F90" s="48" t="s">
        <v>228</v>
      </c>
      <c r="G90" s="21"/>
      <c r="H90" s="21"/>
      <c r="I90" s="23"/>
      <c r="J90" s="21"/>
      <c r="K90" s="37">
        <f>K89*0.4</f>
        <v>0</v>
      </c>
      <c r="L90" s="57"/>
      <c r="M90" s="57"/>
    </row>
    <row r="91" spans="1:13">
      <c r="F91" s="48" t="s">
        <v>261</v>
      </c>
      <c r="G91" s="21"/>
      <c r="H91" s="21"/>
      <c r="I91" s="23"/>
      <c r="J91" s="21"/>
      <c r="K91" s="37">
        <f>K89*0.6</f>
        <v>0</v>
      </c>
      <c r="L91" s="57"/>
      <c r="M91" s="57"/>
    </row>
    <row r="92" spans="1:13">
      <c r="G92" s="21"/>
      <c r="H92" s="21"/>
      <c r="I92" s="23"/>
      <c r="J92" s="21"/>
      <c r="K92" s="21"/>
      <c r="L92" s="57"/>
      <c r="M92" s="57"/>
    </row>
    <row r="93" spans="1:13">
      <c r="A93" s="21">
        <v>42795</v>
      </c>
      <c r="C93" s="21" t="s">
        <v>405</v>
      </c>
      <c r="E93" s="21" t="s">
        <v>230</v>
      </c>
      <c r="G93" s="21"/>
      <c r="H93" s="21"/>
      <c r="I93" s="23"/>
      <c r="J93" s="21"/>
      <c r="K93" s="21">
        <f>(0)*0.05*N2+M9+M3+M5+M20+M21+M23+M19+M16+M6</f>
        <v>0</v>
      </c>
      <c r="L93" s="57"/>
      <c r="M93" s="57"/>
    </row>
    <row r="94" spans="1:13">
      <c r="A94" s="21">
        <v>42795</v>
      </c>
      <c r="C94" s="21" t="s">
        <v>406</v>
      </c>
      <c r="E94" s="21" t="s">
        <v>230</v>
      </c>
      <c r="G94" s="21"/>
      <c r="H94" s="21"/>
      <c r="I94" s="23"/>
      <c r="J94" s="21"/>
      <c r="K94" s="21">
        <f>(0)*0.05*N2+M24+M32+M38+M26+M28+M41+M43+M46+M30</f>
        <v>0</v>
      </c>
      <c r="L94" s="57"/>
      <c r="M94" s="57"/>
    </row>
    <row r="95" spans="1:13">
      <c r="A95" s="21">
        <v>42795</v>
      </c>
      <c r="C95" s="21" t="s">
        <v>407</v>
      </c>
      <c r="E95" s="21" t="s">
        <v>233</v>
      </c>
      <c r="G95" s="21"/>
      <c r="H95" s="21"/>
      <c r="I95" s="23"/>
      <c r="J95" s="21"/>
      <c r="K95" s="21">
        <f>M52+(0)*0.05*N2+M56+M48+M60+M50</f>
        <v>0</v>
      </c>
      <c r="L95" s="57"/>
      <c r="M95" s="57"/>
    </row>
    <row r="96" spans="1:13">
      <c r="A96" s="21">
        <v>42795</v>
      </c>
      <c r="C96" s="21" t="s">
        <v>408</v>
      </c>
      <c r="E96" s="21" t="s">
        <v>230</v>
      </c>
      <c r="G96" s="21"/>
      <c r="H96" s="21"/>
      <c r="I96" s="23"/>
      <c r="J96" s="21"/>
      <c r="K96" s="21">
        <f>M62+M70+M65</f>
        <v>0</v>
      </c>
      <c r="L96" s="57"/>
      <c r="M96" s="57"/>
    </row>
    <row r="97" spans="1:13">
      <c r="C97" s="21" t="s">
        <v>235</v>
      </c>
      <c r="E97" s="21" t="s">
        <v>230</v>
      </c>
      <c r="G97" s="21"/>
      <c r="H97" s="21"/>
      <c r="I97" s="23"/>
      <c r="J97" s="21"/>
      <c r="K97" s="21">
        <f>M76+M79</f>
        <v>0</v>
      </c>
      <c r="L97" s="57"/>
      <c r="M97" s="57"/>
    </row>
    <row r="98" spans="1:13">
      <c r="A98" s="21">
        <v>42795</v>
      </c>
      <c r="C98" s="21" t="s">
        <v>363</v>
      </c>
      <c r="G98" s="21"/>
      <c r="H98" s="21"/>
      <c r="I98" s="23"/>
      <c r="J98" s="21"/>
      <c r="K98" s="21">
        <v>0</v>
      </c>
    </row>
    <row r="99" spans="1:13">
      <c r="A99" s="21">
        <v>42795</v>
      </c>
      <c r="C99" s="21" t="s">
        <v>262</v>
      </c>
      <c r="E99" s="21" t="s">
        <v>230</v>
      </c>
      <c r="K99" s="59">
        <f>J89*0.07*N2</f>
        <v>0</v>
      </c>
    </row>
    <row r="100" spans="1:13">
      <c r="K100" s="59">
        <f>K93+K94+K95+K96</f>
        <v>0</v>
      </c>
    </row>
    <row r="101" spans="1:13">
      <c r="K101" s="65">
        <f>K93+K94+K95+K96+K97</f>
        <v>0</v>
      </c>
    </row>
    <row r="105" spans="1:13" customFormat="1"/>
    <row r="106" spans="1:13" customFormat="1"/>
    <row r="107" spans="1:13" customFormat="1"/>
    <row r="108" spans="1:13" customFormat="1"/>
    <row r="109" spans="1:13" customFormat="1"/>
    <row r="110" spans="1:13" customFormat="1"/>
    <row r="111" spans="1:13" customFormat="1"/>
    <row r="112" spans="1:13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</sheetData>
  <mergeCells count="7">
    <mergeCell ref="C81:D88"/>
    <mergeCell ref="C1:D1"/>
    <mergeCell ref="C3:C23"/>
    <mergeCell ref="C24:C47"/>
    <mergeCell ref="C48:C61"/>
    <mergeCell ref="C62:C75"/>
    <mergeCell ref="C76:C79"/>
  </mergeCells>
  <phoneticPr fontId="37" type="noConversion"/>
  <conditionalFormatting sqref="E84">
    <cfRule type="containsText" dxfId="18" priority="2" operator="containsText" text="方泽斯">
      <formula>NOT(ISERROR(SEARCH("方泽斯",E84)))</formula>
    </cfRule>
  </conditionalFormatting>
  <conditionalFormatting sqref="E95">
    <cfRule type="containsText" dxfId="17" priority="1" operator="containsText" text="方泽斯">
      <formula>NOT(ISERROR(SEARCH("方泽斯",E95)))</formula>
    </cfRule>
  </conditionalFormatting>
  <pageMargins left="0" right="0" top="0" bottom="0" header="0.51" footer="0.51"/>
  <pageSetup paperSize="9" scale="65"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>
  <sheetPr enableFormatConditionsCalculation="0">
    <tabColor rgb="FF99CC00"/>
    <pageSetUpPr fitToPage="1"/>
  </sheetPr>
  <dimension ref="A1:Y107"/>
  <sheetViews>
    <sheetView topLeftCell="C1" zoomScaleSheetLayoutView="100" workbookViewId="0">
      <selection activeCell="D81" sqref="D81"/>
    </sheetView>
  </sheetViews>
  <sheetFormatPr defaultRowHeight="13.5"/>
  <cols>
    <col min="1" max="2" width="10.625" style="21" hidden="1" customWidth="1"/>
    <col min="3" max="3" width="10.875" style="21" customWidth="1"/>
    <col min="4" max="4" width="9" style="21"/>
    <col min="5" max="5" width="9" style="21" customWidth="1"/>
    <col min="6" max="6" width="20.625" style="21" customWidth="1"/>
    <col min="7" max="7" width="13.5" style="59" customWidth="1"/>
    <col min="8" max="8" width="15.375" style="60" bestFit="1" customWidth="1"/>
    <col min="9" max="9" width="13.875" style="61" customWidth="1"/>
    <col min="10" max="10" width="13.625" style="59" customWidth="1"/>
    <col min="11" max="11" width="17.875" style="59" customWidth="1"/>
    <col min="12" max="12" width="12.125" style="59" customWidth="1"/>
    <col min="13" max="13" width="11.5" style="59" customWidth="1"/>
    <col min="14" max="14" width="9" style="59"/>
    <col min="15" max="15" width="15.75" style="21" customWidth="1"/>
    <col min="16" max="16384" width="9" style="21"/>
  </cols>
  <sheetData>
    <row r="1" spans="1:25">
      <c r="C1" s="21" t="s">
        <v>409</v>
      </c>
    </row>
    <row r="2" spans="1:25" s="22" customFormat="1" ht="21" customHeight="1">
      <c r="A2" s="24"/>
      <c r="B2" s="24"/>
      <c r="C2" s="25" t="s">
        <v>1</v>
      </c>
      <c r="D2" s="25" t="s">
        <v>2</v>
      </c>
      <c r="E2" s="25"/>
      <c r="F2" s="26" t="s">
        <v>3</v>
      </c>
      <c r="G2" s="27" t="s">
        <v>4</v>
      </c>
      <c r="H2" s="28" t="s">
        <v>5</v>
      </c>
      <c r="I2" s="29" t="s">
        <v>6</v>
      </c>
      <c r="J2" s="29" t="s">
        <v>7</v>
      </c>
      <c r="K2" s="38" t="s">
        <v>8</v>
      </c>
      <c r="L2" s="39"/>
      <c r="M2" s="40" t="s">
        <v>9</v>
      </c>
      <c r="N2" s="41">
        <v>7.01</v>
      </c>
      <c r="O2" s="42"/>
      <c r="P2" s="43"/>
      <c r="Q2" s="44"/>
      <c r="R2" s="45"/>
      <c r="S2" s="45"/>
      <c r="W2" s="46"/>
      <c r="X2" s="46"/>
      <c r="Y2" s="46"/>
    </row>
    <row r="3" spans="1:25">
      <c r="A3" s="64">
        <v>43556</v>
      </c>
      <c r="B3" s="21" t="s">
        <v>409</v>
      </c>
      <c r="C3" s="102" t="s">
        <v>10</v>
      </c>
      <c r="D3" s="21" t="s">
        <v>78</v>
      </c>
      <c r="E3" s="21" t="s">
        <v>240</v>
      </c>
      <c r="F3" s="33" t="s">
        <v>273</v>
      </c>
      <c r="G3" s="57"/>
      <c r="H3" s="54"/>
      <c r="I3" s="79"/>
      <c r="J3" s="57">
        <f t="shared" ref="J3:J66" si="0">G3*H3*1-I3</f>
        <v>0</v>
      </c>
      <c r="K3" s="57"/>
      <c r="L3" s="57">
        <f>K3/0.03*0.25</f>
        <v>0</v>
      </c>
      <c r="M3" s="57">
        <f>L3-K3</f>
        <v>0</v>
      </c>
    </row>
    <row r="4" spans="1:25">
      <c r="A4" s="64">
        <v>43556</v>
      </c>
      <c r="B4" s="21" t="s">
        <v>409</v>
      </c>
      <c r="C4" s="103"/>
      <c r="D4" s="21" t="s">
        <v>78</v>
      </c>
      <c r="E4" s="21" t="s">
        <v>240</v>
      </c>
      <c r="F4" s="33" t="s">
        <v>274</v>
      </c>
      <c r="G4" s="57"/>
      <c r="H4" s="54"/>
      <c r="I4" s="67"/>
      <c r="J4" s="57">
        <f t="shared" si="0"/>
        <v>0</v>
      </c>
      <c r="K4" s="57"/>
      <c r="L4" s="57"/>
      <c r="M4" s="57"/>
    </row>
    <row r="5" spans="1:25">
      <c r="A5" s="64">
        <v>43556</v>
      </c>
      <c r="B5" s="21" t="s">
        <v>409</v>
      </c>
      <c r="C5" s="103"/>
      <c r="D5" s="21" t="s">
        <v>31</v>
      </c>
      <c r="E5" s="21" t="s">
        <v>240</v>
      </c>
      <c r="F5" s="33" t="s">
        <v>241</v>
      </c>
      <c r="G5" s="57"/>
      <c r="H5" s="54"/>
      <c r="I5" s="68"/>
      <c r="J5" s="57">
        <f t="shared" si="0"/>
        <v>0</v>
      </c>
      <c r="K5" s="57">
        <f>(J5+J6+J7+J3+J4+J14+J15+J16)*0.04*N2</f>
        <v>0</v>
      </c>
      <c r="L5" s="57">
        <f>K5/0.04*0.25</f>
        <v>0</v>
      </c>
      <c r="M5" s="57">
        <f>L5-K5</f>
        <v>0</v>
      </c>
    </row>
    <row r="6" spans="1:25">
      <c r="A6" s="64">
        <v>43556</v>
      </c>
      <c r="B6" s="21" t="s">
        <v>409</v>
      </c>
      <c r="C6" s="103"/>
      <c r="D6" s="21" t="s">
        <v>31</v>
      </c>
      <c r="E6" s="21" t="s">
        <v>240</v>
      </c>
      <c r="F6" s="33" t="s">
        <v>273</v>
      </c>
      <c r="G6" s="57"/>
      <c r="H6" s="54"/>
      <c r="I6" s="67"/>
      <c r="J6" s="57">
        <f t="shared" si="0"/>
        <v>0</v>
      </c>
      <c r="K6" s="57"/>
      <c r="L6" s="57"/>
      <c r="M6" s="57"/>
    </row>
    <row r="7" spans="1:25">
      <c r="A7" s="64">
        <v>43556</v>
      </c>
      <c r="B7" s="21" t="s">
        <v>409</v>
      </c>
      <c r="C7" s="103"/>
      <c r="D7" s="21" t="s">
        <v>31</v>
      </c>
      <c r="E7" s="21" t="s">
        <v>240</v>
      </c>
      <c r="F7" s="33" t="s">
        <v>274</v>
      </c>
      <c r="G7" s="57"/>
      <c r="H7" s="54"/>
      <c r="I7" s="68"/>
      <c r="J7" s="57">
        <f t="shared" si="0"/>
        <v>0</v>
      </c>
      <c r="K7" s="57"/>
      <c r="L7" s="57"/>
      <c r="M7" s="57"/>
    </row>
    <row r="8" spans="1:25">
      <c r="A8" s="64">
        <v>43556</v>
      </c>
      <c r="B8" s="21" t="s">
        <v>409</v>
      </c>
      <c r="C8" s="103"/>
      <c r="D8" s="21" t="s">
        <v>32</v>
      </c>
      <c r="E8" s="21" t="s">
        <v>268</v>
      </c>
      <c r="F8" s="33" t="s">
        <v>269</v>
      </c>
      <c r="G8" s="57"/>
      <c r="H8" s="54"/>
      <c r="I8" s="67"/>
      <c r="J8" s="57">
        <f t="shared" si="0"/>
        <v>0</v>
      </c>
      <c r="K8" s="57"/>
      <c r="L8" s="57"/>
      <c r="M8" s="57"/>
    </row>
    <row r="9" spans="1:25">
      <c r="A9" s="64">
        <v>43556</v>
      </c>
      <c r="B9" s="21" t="s">
        <v>409</v>
      </c>
      <c r="C9" s="103"/>
      <c r="D9" s="21" t="s">
        <v>32</v>
      </c>
      <c r="E9" s="21" t="s">
        <v>268</v>
      </c>
      <c r="F9" s="33" t="s">
        <v>270</v>
      </c>
      <c r="G9" s="57"/>
      <c r="H9" s="54"/>
      <c r="I9" s="67"/>
      <c r="J9" s="57">
        <f t="shared" si="0"/>
        <v>0</v>
      </c>
      <c r="K9" s="57"/>
      <c r="L9" s="57"/>
      <c r="M9" s="57"/>
    </row>
    <row r="10" spans="1:25">
      <c r="A10" s="64">
        <v>43556</v>
      </c>
      <c r="B10" s="21" t="s">
        <v>409</v>
      </c>
      <c r="C10" s="103"/>
      <c r="D10" s="21" t="s">
        <v>32</v>
      </c>
      <c r="E10" s="21" t="s">
        <v>268</v>
      </c>
      <c r="F10" s="33" t="s">
        <v>271</v>
      </c>
      <c r="G10" s="57"/>
      <c r="H10" s="54"/>
      <c r="I10" s="67"/>
      <c r="J10" s="57">
        <f t="shared" si="0"/>
        <v>0</v>
      </c>
      <c r="K10" s="57"/>
      <c r="L10" s="57"/>
      <c r="M10" s="57"/>
    </row>
    <row r="11" spans="1:25">
      <c r="A11" s="64">
        <v>43556</v>
      </c>
      <c r="B11" s="21" t="s">
        <v>409</v>
      </c>
      <c r="C11" s="103"/>
      <c r="D11" s="21" t="s">
        <v>38</v>
      </c>
      <c r="E11" s="21" t="s">
        <v>268</v>
      </c>
      <c r="F11" s="33" t="s">
        <v>269</v>
      </c>
      <c r="G11" s="57"/>
      <c r="H11" s="54"/>
      <c r="I11" s="67"/>
      <c r="J11" s="57">
        <f t="shared" si="0"/>
        <v>0</v>
      </c>
      <c r="K11" s="57"/>
      <c r="L11" s="57"/>
      <c r="M11" s="57"/>
    </row>
    <row r="12" spans="1:25">
      <c r="A12" s="64">
        <v>43556</v>
      </c>
      <c r="B12" s="21" t="s">
        <v>409</v>
      </c>
      <c r="C12" s="103"/>
      <c r="D12" s="21" t="s">
        <v>38</v>
      </c>
      <c r="E12" s="21" t="s">
        <v>268</v>
      </c>
      <c r="F12" s="33" t="s">
        <v>270</v>
      </c>
      <c r="G12" s="57"/>
      <c r="H12" s="54"/>
      <c r="I12" s="67"/>
      <c r="J12" s="57">
        <f t="shared" si="0"/>
        <v>0</v>
      </c>
      <c r="K12" s="57"/>
      <c r="L12" s="57"/>
      <c r="M12" s="57"/>
    </row>
    <row r="13" spans="1:25">
      <c r="A13" s="64">
        <v>43556</v>
      </c>
      <c r="B13" s="21" t="s">
        <v>409</v>
      </c>
      <c r="C13" s="103"/>
      <c r="D13" s="21" t="s">
        <v>38</v>
      </c>
      <c r="E13" s="21" t="s">
        <v>268</v>
      </c>
      <c r="F13" s="33" t="s">
        <v>271</v>
      </c>
      <c r="G13" s="57"/>
      <c r="H13" s="54"/>
      <c r="I13" s="67"/>
      <c r="J13" s="57">
        <f t="shared" si="0"/>
        <v>0</v>
      </c>
      <c r="K13" s="57"/>
      <c r="L13" s="57"/>
      <c r="M13" s="57"/>
    </row>
    <row r="14" spans="1:25">
      <c r="A14" s="64">
        <v>43556</v>
      </c>
      <c r="B14" s="21" t="s">
        <v>409</v>
      </c>
      <c r="C14" s="103"/>
      <c r="D14" s="21" t="s">
        <v>272</v>
      </c>
      <c r="E14" s="21" t="s">
        <v>240</v>
      </c>
      <c r="F14" s="33" t="s">
        <v>241</v>
      </c>
      <c r="G14" s="57"/>
      <c r="H14" s="54"/>
      <c r="I14" s="67"/>
      <c r="J14" s="57">
        <f t="shared" si="0"/>
        <v>0</v>
      </c>
      <c r="K14" s="57"/>
      <c r="L14" s="57">
        <f>K14/0.03*0.25</f>
        <v>0</v>
      </c>
      <c r="M14" s="57">
        <f>L14-K14</f>
        <v>0</v>
      </c>
    </row>
    <row r="15" spans="1:25">
      <c r="A15" s="64">
        <v>43556</v>
      </c>
      <c r="B15" s="21" t="s">
        <v>409</v>
      </c>
      <c r="C15" s="103"/>
      <c r="D15" s="21" t="s">
        <v>272</v>
      </c>
      <c r="E15" s="21" t="s">
        <v>240</v>
      </c>
      <c r="F15" s="33" t="s">
        <v>273</v>
      </c>
      <c r="G15" s="57"/>
      <c r="H15" s="54"/>
      <c r="I15" s="67"/>
      <c r="J15" s="57">
        <f t="shared" si="0"/>
        <v>0</v>
      </c>
      <c r="K15" s="57"/>
      <c r="L15" s="57"/>
      <c r="M15" s="57"/>
    </row>
    <row r="16" spans="1:25">
      <c r="A16" s="64">
        <v>43556</v>
      </c>
      <c r="B16" s="21" t="s">
        <v>409</v>
      </c>
      <c r="C16" s="103"/>
      <c r="D16" s="21" t="s">
        <v>272</v>
      </c>
      <c r="E16" s="21" t="s">
        <v>240</v>
      </c>
      <c r="F16" s="33" t="s">
        <v>274</v>
      </c>
      <c r="G16" s="57"/>
      <c r="H16" s="54"/>
      <c r="I16" s="67"/>
      <c r="J16" s="57">
        <f t="shared" si="0"/>
        <v>0</v>
      </c>
      <c r="K16" s="57"/>
      <c r="L16" s="57"/>
      <c r="M16" s="57"/>
    </row>
    <row r="17" spans="1:13">
      <c r="A17" s="64">
        <v>43556</v>
      </c>
      <c r="B17" s="21" t="s">
        <v>409</v>
      </c>
      <c r="C17" s="103"/>
      <c r="D17" s="21" t="s">
        <v>72</v>
      </c>
      <c r="E17" s="21" t="s">
        <v>268</v>
      </c>
      <c r="F17" s="33" t="s">
        <v>269</v>
      </c>
      <c r="G17" s="57"/>
      <c r="H17" s="54"/>
      <c r="I17" s="67"/>
      <c r="J17" s="57">
        <f t="shared" si="0"/>
        <v>0</v>
      </c>
      <c r="K17" s="57">
        <f>(J17+J8+J9+J10+J12+J11+J13)*0.03*N2</f>
        <v>0</v>
      </c>
      <c r="L17" s="57">
        <f>K17/0.03*0.25</f>
        <v>0</v>
      </c>
      <c r="M17" s="57">
        <f>L17-K17</f>
        <v>0</v>
      </c>
    </row>
    <row r="18" spans="1:13">
      <c r="A18" s="64">
        <v>43556</v>
      </c>
      <c r="B18" s="21" t="s">
        <v>409</v>
      </c>
      <c r="C18" s="103"/>
      <c r="D18" s="21" t="s">
        <v>51</v>
      </c>
      <c r="E18" s="21" t="s">
        <v>52</v>
      </c>
      <c r="F18" s="33" t="s">
        <v>53</v>
      </c>
      <c r="G18" s="57"/>
      <c r="H18" s="54"/>
      <c r="I18" s="67"/>
      <c r="J18" s="57">
        <f t="shared" si="0"/>
        <v>0</v>
      </c>
      <c r="K18" s="57">
        <f>(J18+J19+J20)*0.05*N2</f>
        <v>0</v>
      </c>
      <c r="L18" s="57">
        <f>K18/0.05*0.25</f>
        <v>0</v>
      </c>
      <c r="M18" s="57">
        <f>L18-K18</f>
        <v>0</v>
      </c>
    </row>
    <row r="19" spans="1:13">
      <c r="A19" s="64">
        <v>43556</v>
      </c>
      <c r="B19" s="21" t="s">
        <v>409</v>
      </c>
      <c r="C19" s="103"/>
      <c r="D19" s="21" t="s">
        <v>51</v>
      </c>
      <c r="E19" s="21" t="s">
        <v>52</v>
      </c>
      <c r="F19" s="33" t="s">
        <v>54</v>
      </c>
      <c r="G19" s="57"/>
      <c r="H19" s="54"/>
      <c r="I19" s="67"/>
      <c r="J19" s="57">
        <f t="shared" si="0"/>
        <v>0</v>
      </c>
      <c r="K19" s="57"/>
      <c r="L19" s="57"/>
      <c r="M19" s="57"/>
    </row>
    <row r="20" spans="1:13">
      <c r="A20" s="64">
        <v>43556</v>
      </c>
      <c r="B20" s="21" t="s">
        <v>409</v>
      </c>
      <c r="C20" s="103"/>
      <c r="D20" s="21" t="s">
        <v>51</v>
      </c>
      <c r="E20" s="21" t="s">
        <v>52</v>
      </c>
      <c r="F20" s="33" t="s">
        <v>55</v>
      </c>
      <c r="G20" s="57"/>
      <c r="H20" s="54"/>
      <c r="I20" s="67"/>
      <c r="J20" s="57">
        <f t="shared" si="0"/>
        <v>0</v>
      </c>
      <c r="K20" s="57"/>
      <c r="L20" s="57"/>
      <c r="M20" s="57"/>
    </row>
    <row r="21" spans="1:13">
      <c r="A21" s="64">
        <v>43556</v>
      </c>
      <c r="B21" s="21" t="s">
        <v>409</v>
      </c>
      <c r="C21" s="103"/>
      <c r="D21" s="21" t="s">
        <v>39</v>
      </c>
      <c r="E21" s="21" t="s">
        <v>264</v>
      </c>
      <c r="F21" s="33" t="s">
        <v>265</v>
      </c>
      <c r="G21" s="57"/>
      <c r="H21" s="54"/>
      <c r="I21" s="67"/>
      <c r="J21" s="57">
        <f t="shared" si="0"/>
        <v>0</v>
      </c>
      <c r="K21" s="57">
        <f>(J21+J22+J23)*0.2*N2</f>
        <v>0</v>
      </c>
      <c r="L21" s="57"/>
      <c r="M21" s="57"/>
    </row>
    <row r="22" spans="1:13">
      <c r="A22" s="64">
        <v>43556</v>
      </c>
      <c r="B22" s="21" t="s">
        <v>409</v>
      </c>
      <c r="C22" s="103"/>
      <c r="D22" s="21" t="s">
        <v>39</v>
      </c>
      <c r="E22" s="21" t="s">
        <v>264</v>
      </c>
      <c r="F22" s="33" t="s">
        <v>266</v>
      </c>
      <c r="G22" s="57"/>
      <c r="H22" s="54"/>
      <c r="I22" s="67"/>
      <c r="J22" s="57">
        <f t="shared" si="0"/>
        <v>0</v>
      </c>
      <c r="K22" s="57"/>
      <c r="L22" s="57"/>
      <c r="M22" s="57"/>
    </row>
    <row r="23" spans="1:13">
      <c r="A23" s="64">
        <v>43556</v>
      </c>
      <c r="B23" s="21" t="s">
        <v>409</v>
      </c>
      <c r="C23" s="103"/>
      <c r="D23" s="21" t="s">
        <v>39</v>
      </c>
      <c r="E23" s="21" t="s">
        <v>264</v>
      </c>
      <c r="F23" s="33" t="s">
        <v>267</v>
      </c>
      <c r="G23" s="57"/>
      <c r="H23" s="54"/>
      <c r="I23" s="67"/>
      <c r="J23" s="57">
        <f t="shared" si="0"/>
        <v>0</v>
      </c>
      <c r="K23" s="57"/>
      <c r="L23" s="57"/>
      <c r="M23" s="57"/>
    </row>
    <row r="24" spans="1:13">
      <c r="A24" s="64">
        <v>43556</v>
      </c>
      <c r="B24" s="21" t="s">
        <v>409</v>
      </c>
      <c r="C24" s="103"/>
      <c r="D24" s="21" t="s">
        <v>30</v>
      </c>
      <c r="E24" s="21" t="s">
        <v>20</v>
      </c>
      <c r="F24" s="33" t="s">
        <v>21</v>
      </c>
      <c r="G24" s="57"/>
      <c r="H24" s="54"/>
      <c r="I24" s="67"/>
      <c r="J24" s="57">
        <f t="shared" si="0"/>
        <v>0</v>
      </c>
      <c r="K24" s="57">
        <f>J24*0.05*N2</f>
        <v>0</v>
      </c>
      <c r="L24" s="57">
        <f t="shared" ref="L24:L27" si="1">K24/0.05*0.25</f>
        <v>0</v>
      </c>
      <c r="M24" s="57">
        <f t="shared" ref="M24:M27" si="2">L24-K24</f>
        <v>0</v>
      </c>
    </row>
    <row r="25" spans="1:13">
      <c r="A25" s="64">
        <v>43556</v>
      </c>
      <c r="B25" s="21" t="s">
        <v>409</v>
      </c>
      <c r="C25" s="103"/>
      <c r="D25" s="21" t="s">
        <v>77</v>
      </c>
      <c r="E25" s="21" t="s">
        <v>12</v>
      </c>
      <c r="F25" s="33" t="s">
        <v>13</v>
      </c>
      <c r="G25" s="57"/>
      <c r="H25" s="54"/>
      <c r="I25" s="67"/>
      <c r="J25" s="57">
        <f t="shared" si="0"/>
        <v>0</v>
      </c>
      <c r="K25" s="57">
        <f>J25*0.05*N2</f>
        <v>0</v>
      </c>
      <c r="L25" s="57">
        <f t="shared" si="1"/>
        <v>0</v>
      </c>
      <c r="M25" s="57">
        <f t="shared" si="2"/>
        <v>0</v>
      </c>
    </row>
    <row r="26" spans="1:13">
      <c r="A26" s="64">
        <v>43556</v>
      </c>
      <c r="B26" s="21" t="s">
        <v>409</v>
      </c>
      <c r="C26" s="103"/>
      <c r="D26" s="21" t="s">
        <v>44</v>
      </c>
      <c r="E26" s="21" t="s">
        <v>40</v>
      </c>
      <c r="F26" s="33" t="s">
        <v>41</v>
      </c>
      <c r="G26" s="57"/>
      <c r="H26" s="54"/>
      <c r="I26" s="67"/>
      <c r="J26" s="57">
        <f t="shared" si="0"/>
        <v>0</v>
      </c>
      <c r="K26" s="57">
        <f>J26*0.05*N2</f>
        <v>0</v>
      </c>
      <c r="L26" s="57">
        <f t="shared" si="1"/>
        <v>0</v>
      </c>
      <c r="M26" s="57">
        <f t="shared" si="2"/>
        <v>0</v>
      </c>
    </row>
    <row r="27" spans="1:13">
      <c r="A27" s="64">
        <v>43556</v>
      </c>
      <c r="B27" s="21" t="s">
        <v>409</v>
      </c>
      <c r="C27" s="103"/>
      <c r="D27" s="21" t="s">
        <v>66</v>
      </c>
      <c r="E27" s="21" t="s">
        <v>63</v>
      </c>
      <c r="F27" s="33" t="s">
        <v>64</v>
      </c>
      <c r="G27" s="57"/>
      <c r="H27" s="54"/>
      <c r="I27" s="67"/>
      <c r="J27" s="57">
        <f t="shared" si="0"/>
        <v>0</v>
      </c>
      <c r="K27" s="57">
        <f>(J27+J28+J29)*0.05*N2</f>
        <v>0</v>
      </c>
      <c r="L27" s="57">
        <f t="shared" si="1"/>
        <v>0</v>
      </c>
      <c r="M27" s="57">
        <f t="shared" si="2"/>
        <v>0</v>
      </c>
    </row>
    <row r="28" spans="1:13">
      <c r="A28" s="64">
        <v>43556</v>
      </c>
      <c r="B28" s="21" t="s">
        <v>409</v>
      </c>
      <c r="C28" s="103"/>
      <c r="D28" s="21" t="s">
        <v>62</v>
      </c>
      <c r="E28" s="21" t="s">
        <v>63</v>
      </c>
      <c r="F28" s="33" t="s">
        <v>64</v>
      </c>
      <c r="G28" s="57"/>
      <c r="H28" s="54"/>
      <c r="I28" s="67"/>
      <c r="J28" s="57">
        <f t="shared" si="0"/>
        <v>0</v>
      </c>
      <c r="K28" s="57"/>
      <c r="L28" s="57"/>
      <c r="M28" s="57"/>
    </row>
    <row r="29" spans="1:13">
      <c r="A29" s="64"/>
      <c r="C29" s="103"/>
      <c r="D29" s="21" t="s">
        <v>62</v>
      </c>
      <c r="E29" s="21" t="s">
        <v>63</v>
      </c>
      <c r="F29" s="33" t="s">
        <v>65</v>
      </c>
      <c r="G29" s="57"/>
      <c r="H29" s="54"/>
      <c r="I29" s="67"/>
      <c r="J29" s="57">
        <f t="shared" si="0"/>
        <v>0</v>
      </c>
      <c r="K29" s="57"/>
      <c r="L29" s="57"/>
      <c r="M29" s="57"/>
    </row>
    <row r="30" spans="1:13">
      <c r="A30" s="64">
        <v>43556</v>
      </c>
      <c r="B30" s="21" t="s">
        <v>409</v>
      </c>
      <c r="C30" s="103"/>
      <c r="D30" s="21" t="s">
        <v>50</v>
      </c>
      <c r="E30" s="21" t="s">
        <v>46</v>
      </c>
      <c r="F30" s="33" t="s">
        <v>49</v>
      </c>
      <c r="G30" s="57"/>
      <c r="H30" s="54"/>
      <c r="I30" s="67"/>
      <c r="J30" s="57">
        <f t="shared" si="0"/>
        <v>0</v>
      </c>
      <c r="K30" s="57">
        <f>(J30)*0.03*N2</f>
        <v>0</v>
      </c>
      <c r="L30" s="57">
        <f>K30/0.03*0.25</f>
        <v>0</v>
      </c>
      <c r="M30" s="57">
        <f>L30-K30</f>
        <v>0</v>
      </c>
    </row>
    <row r="31" spans="1:13">
      <c r="A31" s="64"/>
      <c r="C31" s="103"/>
      <c r="D31" s="21" t="s">
        <v>79</v>
      </c>
      <c r="E31" s="75" t="s">
        <v>80</v>
      </c>
      <c r="F31" s="75" t="s">
        <v>81</v>
      </c>
      <c r="G31" s="76"/>
      <c r="H31" s="77"/>
      <c r="I31" s="67"/>
      <c r="J31" s="57">
        <f t="shared" si="0"/>
        <v>0</v>
      </c>
      <c r="K31" s="57">
        <f>(J31)*0.25*N2</f>
        <v>0</v>
      </c>
      <c r="L31" s="57"/>
      <c r="M31" s="57"/>
    </row>
    <row r="32" spans="1:13">
      <c r="A32" s="64"/>
      <c r="C32" s="104"/>
      <c r="D32" s="21" t="s">
        <v>24</v>
      </c>
      <c r="E32" s="21" t="s">
        <v>25</v>
      </c>
      <c r="F32" s="33" t="s">
        <v>26</v>
      </c>
      <c r="G32" s="57"/>
      <c r="H32" s="54"/>
      <c r="I32" s="67"/>
      <c r="J32" s="57">
        <f t="shared" si="0"/>
        <v>0</v>
      </c>
      <c r="K32" s="57">
        <f>(J32)*0.03*N2</f>
        <v>0</v>
      </c>
      <c r="L32" s="57">
        <f>K32/0.03*0.25</f>
        <v>0</v>
      </c>
      <c r="M32" s="57">
        <f>L32-K32</f>
        <v>0</v>
      </c>
    </row>
    <row r="33" spans="1:13">
      <c r="A33" s="64">
        <v>43556</v>
      </c>
      <c r="B33" s="21" t="s">
        <v>409</v>
      </c>
      <c r="C33" s="105" t="s">
        <v>83</v>
      </c>
      <c r="D33" s="21" t="s">
        <v>98</v>
      </c>
      <c r="E33" s="21" t="s">
        <v>93</v>
      </c>
      <c r="F33" s="33" t="s">
        <v>94</v>
      </c>
      <c r="G33" s="57"/>
      <c r="H33" s="54"/>
      <c r="I33" s="67"/>
      <c r="J33" s="57">
        <f t="shared" si="0"/>
        <v>0</v>
      </c>
      <c r="K33" s="57">
        <f>(J33+J34)*0.2*N2</f>
        <v>0</v>
      </c>
      <c r="L33" s="57"/>
      <c r="M33" s="57"/>
    </row>
    <row r="34" spans="1:13">
      <c r="A34" s="64">
        <v>43556</v>
      </c>
      <c r="B34" s="21" t="s">
        <v>409</v>
      </c>
      <c r="C34" s="105"/>
      <c r="D34" s="21" t="s">
        <v>98</v>
      </c>
      <c r="E34" s="21" t="s">
        <v>93</v>
      </c>
      <c r="F34" s="33" t="s">
        <v>97</v>
      </c>
      <c r="G34" s="57"/>
      <c r="H34" s="54"/>
      <c r="I34" s="67"/>
      <c r="J34" s="57">
        <f t="shared" si="0"/>
        <v>0</v>
      </c>
      <c r="K34" s="57"/>
      <c r="L34" s="57"/>
      <c r="M34" s="57"/>
    </row>
    <row r="35" spans="1:13">
      <c r="A35" s="64">
        <v>43556</v>
      </c>
      <c r="B35" s="21" t="s">
        <v>409</v>
      </c>
      <c r="C35" s="105"/>
      <c r="D35" s="21" t="s">
        <v>324</v>
      </c>
      <c r="E35" s="21" t="s">
        <v>85</v>
      </c>
      <c r="F35" s="33" t="s">
        <v>86</v>
      </c>
      <c r="G35" s="57"/>
      <c r="H35" s="54"/>
      <c r="I35" s="67"/>
      <c r="J35" s="57">
        <f t="shared" si="0"/>
        <v>0</v>
      </c>
      <c r="K35" s="57">
        <f>(J35+J36)*0.03*N2</f>
        <v>0</v>
      </c>
      <c r="L35" s="57">
        <f>K35/0.03*0.25</f>
        <v>0</v>
      </c>
      <c r="M35" s="57">
        <f>L35-K35</f>
        <v>0</v>
      </c>
    </row>
    <row r="36" spans="1:13">
      <c r="A36" s="64">
        <v>43556</v>
      </c>
      <c r="B36" s="21" t="s">
        <v>409</v>
      </c>
      <c r="C36" s="105"/>
      <c r="D36" s="21" t="s">
        <v>324</v>
      </c>
      <c r="E36" s="21" t="s">
        <v>85</v>
      </c>
      <c r="F36" s="33" t="s">
        <v>87</v>
      </c>
      <c r="G36" s="57"/>
      <c r="H36" s="54"/>
      <c r="I36" s="67"/>
      <c r="J36" s="57">
        <f t="shared" si="0"/>
        <v>0</v>
      </c>
      <c r="K36" s="57"/>
      <c r="L36" s="57"/>
      <c r="M36" s="57"/>
    </row>
    <row r="37" spans="1:13">
      <c r="A37" s="64">
        <v>43556</v>
      </c>
      <c r="B37" s="21" t="s">
        <v>409</v>
      </c>
      <c r="C37" s="105" t="s">
        <v>243</v>
      </c>
      <c r="D37" s="21" t="s">
        <v>128</v>
      </c>
      <c r="E37" s="21" t="s">
        <v>129</v>
      </c>
      <c r="F37" s="33" t="s">
        <v>130</v>
      </c>
      <c r="G37" s="57"/>
      <c r="H37" s="54"/>
      <c r="I37" s="79"/>
      <c r="J37" s="57">
        <f t="shared" si="0"/>
        <v>0</v>
      </c>
      <c r="K37" s="57">
        <f>(J37+J38+J42+J43)*0.05*N2</f>
        <v>0</v>
      </c>
      <c r="L37" s="57">
        <f>K37/0.05*0.25</f>
        <v>0</v>
      </c>
      <c r="M37" s="57">
        <f>L37-K37</f>
        <v>0</v>
      </c>
    </row>
    <row r="38" spans="1:13">
      <c r="A38" s="64">
        <v>43556</v>
      </c>
      <c r="B38" s="21" t="s">
        <v>409</v>
      </c>
      <c r="C38" s="105"/>
      <c r="D38" s="21" t="s">
        <v>128</v>
      </c>
      <c r="E38" s="21" t="s">
        <v>129</v>
      </c>
      <c r="F38" s="33" t="s">
        <v>131</v>
      </c>
      <c r="G38" s="57"/>
      <c r="H38" s="54"/>
      <c r="I38" s="67"/>
      <c r="J38" s="57">
        <f t="shared" si="0"/>
        <v>0</v>
      </c>
      <c r="K38" s="57"/>
      <c r="L38" s="57"/>
      <c r="M38" s="57"/>
    </row>
    <row r="39" spans="1:13">
      <c r="A39" s="64">
        <v>43556</v>
      </c>
      <c r="B39" s="21" t="s">
        <v>409</v>
      </c>
      <c r="C39" s="105"/>
      <c r="D39" s="21" t="s">
        <v>107</v>
      </c>
      <c r="E39" s="21" t="s">
        <v>108</v>
      </c>
      <c r="F39" s="33" t="s">
        <v>109</v>
      </c>
      <c r="G39" s="57"/>
      <c r="H39" s="54"/>
      <c r="I39" s="79"/>
      <c r="J39" s="57">
        <f t="shared" si="0"/>
        <v>0</v>
      </c>
      <c r="K39" s="57">
        <f>(J39+J40+J41)*0.03*N2</f>
        <v>0</v>
      </c>
      <c r="L39" s="57">
        <f>K39/0.03*0.25</f>
        <v>0</v>
      </c>
      <c r="M39" s="57">
        <f>L39-K39</f>
        <v>0</v>
      </c>
    </row>
    <row r="40" spans="1:13">
      <c r="A40" s="64">
        <v>43556</v>
      </c>
      <c r="B40" s="21" t="s">
        <v>409</v>
      </c>
      <c r="C40" s="105"/>
      <c r="D40" s="21" t="s">
        <v>107</v>
      </c>
      <c r="E40" s="21" t="s">
        <v>108</v>
      </c>
      <c r="F40" s="33" t="s">
        <v>110</v>
      </c>
      <c r="G40" s="57"/>
      <c r="H40" s="54"/>
      <c r="I40" s="67"/>
      <c r="J40" s="57">
        <f t="shared" si="0"/>
        <v>0</v>
      </c>
      <c r="K40" s="57"/>
      <c r="L40" s="57"/>
      <c r="M40" s="57"/>
    </row>
    <row r="41" spans="1:13">
      <c r="A41" s="64"/>
      <c r="C41" s="105"/>
      <c r="D41" s="21" t="s">
        <v>138</v>
      </c>
      <c r="E41" s="21" t="s">
        <v>108</v>
      </c>
      <c r="F41" s="33" t="s">
        <v>109</v>
      </c>
      <c r="G41" s="57"/>
      <c r="H41" s="54"/>
      <c r="I41" s="67"/>
      <c r="J41" s="57">
        <f t="shared" si="0"/>
        <v>0</v>
      </c>
      <c r="K41" s="57"/>
      <c r="L41" s="57"/>
      <c r="M41" s="57"/>
    </row>
    <row r="42" spans="1:13">
      <c r="A42" s="64">
        <v>43556</v>
      </c>
      <c r="B42" s="21" t="s">
        <v>409</v>
      </c>
      <c r="C42" s="105"/>
      <c r="D42" s="21" t="s">
        <v>133</v>
      </c>
      <c r="E42" s="21" t="s">
        <v>129</v>
      </c>
      <c r="F42" s="33" t="s">
        <v>130</v>
      </c>
      <c r="G42" s="57"/>
      <c r="H42" s="54"/>
      <c r="I42" s="79"/>
      <c r="J42" s="57">
        <f t="shared" si="0"/>
        <v>0</v>
      </c>
      <c r="K42" s="57"/>
      <c r="L42" s="57">
        <f>K42/0.03*0.25</f>
        <v>0</v>
      </c>
      <c r="M42" s="57">
        <f>L42-K42</f>
        <v>0</v>
      </c>
    </row>
    <row r="43" spans="1:13">
      <c r="A43" s="64">
        <v>43556</v>
      </c>
      <c r="B43" s="21" t="s">
        <v>409</v>
      </c>
      <c r="C43" s="105"/>
      <c r="D43" s="21" t="s">
        <v>133</v>
      </c>
      <c r="E43" s="21" t="s">
        <v>129</v>
      </c>
      <c r="F43" s="33" t="s">
        <v>131</v>
      </c>
      <c r="G43" s="57"/>
      <c r="H43" s="54"/>
      <c r="I43" s="68"/>
      <c r="J43" s="57">
        <f t="shared" si="0"/>
        <v>0</v>
      </c>
      <c r="K43" s="57"/>
      <c r="L43" s="57"/>
      <c r="M43" s="57"/>
    </row>
    <row r="44" spans="1:13">
      <c r="A44" s="64">
        <v>43556</v>
      </c>
      <c r="B44" s="21" t="s">
        <v>409</v>
      </c>
      <c r="C44" s="105"/>
      <c r="D44" s="21" t="s">
        <v>127</v>
      </c>
      <c r="E44" s="21" t="s">
        <v>117</v>
      </c>
      <c r="F44" s="33" t="s">
        <v>118</v>
      </c>
      <c r="G44" s="57"/>
      <c r="H44" s="54"/>
      <c r="I44" s="67"/>
      <c r="J44" s="57">
        <f t="shared" si="0"/>
        <v>0</v>
      </c>
      <c r="K44" s="57">
        <f>(J44+J45+J47+J48)*0.15*N2</f>
        <v>0</v>
      </c>
      <c r="L44" s="57"/>
      <c r="M44" s="57"/>
    </row>
    <row r="45" spans="1:13">
      <c r="A45" s="64">
        <v>43556</v>
      </c>
      <c r="B45" s="21" t="s">
        <v>409</v>
      </c>
      <c r="C45" s="105"/>
      <c r="D45" s="21" t="s">
        <v>127</v>
      </c>
      <c r="E45" s="21" t="s">
        <v>117</v>
      </c>
      <c r="F45" s="33" t="s">
        <v>119</v>
      </c>
      <c r="G45" s="57"/>
      <c r="H45" s="54"/>
      <c r="I45" s="67"/>
      <c r="J45" s="57">
        <f t="shared" si="0"/>
        <v>0</v>
      </c>
      <c r="K45" s="57"/>
      <c r="L45" s="57"/>
      <c r="M45" s="57"/>
    </row>
    <row r="46" spans="1:13">
      <c r="A46" s="64">
        <v>43556</v>
      </c>
      <c r="B46" s="21" t="s">
        <v>409</v>
      </c>
      <c r="C46" s="105"/>
      <c r="D46" s="21" t="s">
        <v>111</v>
      </c>
      <c r="E46" s="21" t="s">
        <v>129</v>
      </c>
      <c r="F46" s="33" t="s">
        <v>130</v>
      </c>
      <c r="G46" s="57"/>
      <c r="H46" s="54"/>
      <c r="I46" s="67"/>
      <c r="J46" s="57">
        <f t="shared" si="0"/>
        <v>0</v>
      </c>
      <c r="K46" s="57"/>
      <c r="L46" s="57">
        <f>K46/0.03*0.25</f>
        <v>0</v>
      </c>
      <c r="M46" s="57">
        <f>L46-K46</f>
        <v>0</v>
      </c>
    </row>
    <row r="47" spans="1:13">
      <c r="A47" s="64">
        <v>43556</v>
      </c>
      <c r="B47" s="21" t="s">
        <v>409</v>
      </c>
      <c r="C47" s="105"/>
      <c r="D47" s="21" t="s">
        <v>116</v>
      </c>
      <c r="E47" s="21" t="s">
        <v>117</v>
      </c>
      <c r="F47" s="33" t="s">
        <v>118</v>
      </c>
      <c r="G47" s="57"/>
      <c r="H47" s="54"/>
      <c r="I47" s="67"/>
      <c r="J47" s="57">
        <f t="shared" si="0"/>
        <v>0</v>
      </c>
      <c r="K47" s="57"/>
      <c r="L47" s="57"/>
      <c r="M47" s="57"/>
    </row>
    <row r="48" spans="1:13">
      <c r="A48" s="64">
        <v>43556</v>
      </c>
      <c r="B48" s="21" t="s">
        <v>409</v>
      </c>
      <c r="C48" s="105"/>
      <c r="D48" s="21" t="s">
        <v>116</v>
      </c>
      <c r="E48" s="21" t="s">
        <v>117</v>
      </c>
      <c r="F48" s="33" t="s">
        <v>119</v>
      </c>
      <c r="G48" s="57"/>
      <c r="H48" s="54"/>
      <c r="I48" s="67"/>
      <c r="J48" s="57">
        <f t="shared" si="0"/>
        <v>0</v>
      </c>
      <c r="K48" s="57"/>
      <c r="L48" s="57"/>
      <c r="M48" s="57"/>
    </row>
    <row r="49" spans="1:13">
      <c r="A49" s="64">
        <v>43556</v>
      </c>
      <c r="B49" s="21" t="s">
        <v>409</v>
      </c>
      <c r="C49" s="105"/>
      <c r="D49" s="21" t="s">
        <v>123</v>
      </c>
      <c r="E49" s="21" t="s">
        <v>121</v>
      </c>
      <c r="F49" s="33" t="s">
        <v>122</v>
      </c>
      <c r="G49" s="57"/>
      <c r="H49" s="54"/>
      <c r="I49" s="67"/>
      <c r="J49" s="57">
        <f t="shared" si="0"/>
        <v>0</v>
      </c>
      <c r="K49" s="57"/>
      <c r="L49" s="57"/>
      <c r="M49" s="57"/>
    </row>
    <row r="50" spans="1:13">
      <c r="A50" s="64"/>
      <c r="C50" s="105"/>
      <c r="D50" s="21" t="s">
        <v>125</v>
      </c>
      <c r="E50" s="21" t="s">
        <v>121</v>
      </c>
      <c r="F50" s="33" t="s">
        <v>122</v>
      </c>
      <c r="G50" s="57"/>
      <c r="H50" s="54"/>
      <c r="I50" s="67"/>
      <c r="J50" s="57">
        <f t="shared" si="0"/>
        <v>0</v>
      </c>
      <c r="K50" s="57"/>
      <c r="L50" s="57"/>
      <c r="M50" s="57"/>
    </row>
    <row r="51" spans="1:13">
      <c r="A51" s="64"/>
      <c r="C51" s="105"/>
      <c r="D51" s="21" t="s">
        <v>112</v>
      </c>
      <c r="E51" s="21" t="s">
        <v>246</v>
      </c>
      <c r="F51" s="33" t="s">
        <v>247</v>
      </c>
      <c r="G51" s="57"/>
      <c r="H51" s="54"/>
      <c r="I51" s="67"/>
      <c r="J51" s="57">
        <f t="shared" si="0"/>
        <v>0</v>
      </c>
      <c r="K51" s="57"/>
      <c r="L51" s="57"/>
      <c r="M51" s="57"/>
    </row>
    <row r="52" spans="1:13">
      <c r="A52" s="64">
        <v>43556</v>
      </c>
      <c r="B52" s="21" t="s">
        <v>409</v>
      </c>
      <c r="C52" s="105"/>
      <c r="D52" s="21" t="s">
        <v>137</v>
      </c>
      <c r="E52" s="21" t="s">
        <v>246</v>
      </c>
      <c r="F52" s="33" t="s">
        <v>247</v>
      </c>
      <c r="G52" s="57"/>
      <c r="H52" s="54"/>
      <c r="I52" s="67"/>
      <c r="J52" s="57">
        <f t="shared" si="0"/>
        <v>0</v>
      </c>
      <c r="K52" s="57"/>
      <c r="L52" s="57">
        <f>K52/0.03*0.25</f>
        <v>0</v>
      </c>
      <c r="M52" s="57">
        <f>L52-K52</f>
        <v>0</v>
      </c>
    </row>
    <row r="53" spans="1:13">
      <c r="A53" s="64">
        <v>43556</v>
      </c>
      <c r="B53" s="21" t="s">
        <v>409</v>
      </c>
      <c r="C53" s="105"/>
      <c r="D53" s="21" t="s">
        <v>137</v>
      </c>
      <c r="E53" s="21" t="s">
        <v>246</v>
      </c>
      <c r="F53" s="33" t="s">
        <v>410</v>
      </c>
      <c r="G53" s="57"/>
      <c r="H53" s="54"/>
      <c r="I53" s="67"/>
      <c r="J53" s="57">
        <f t="shared" si="0"/>
        <v>0</v>
      </c>
      <c r="K53" s="57"/>
      <c r="L53" s="57"/>
      <c r="M53" s="57"/>
    </row>
    <row r="54" spans="1:13">
      <c r="A54" s="64">
        <v>43556</v>
      </c>
      <c r="B54" s="21" t="s">
        <v>409</v>
      </c>
      <c r="C54" s="105"/>
      <c r="D54" s="21" t="s">
        <v>120</v>
      </c>
      <c r="E54" s="21" t="s">
        <v>121</v>
      </c>
      <c r="F54" s="33" t="s">
        <v>122</v>
      </c>
      <c r="G54" s="57"/>
      <c r="H54" s="54"/>
      <c r="I54" s="79"/>
      <c r="J54" s="57">
        <f t="shared" si="0"/>
        <v>0</v>
      </c>
      <c r="K54" s="57">
        <f>(J54+J55+J49)*0.05*N2</f>
        <v>0</v>
      </c>
      <c r="L54" s="57">
        <f>K54/0.05*0.25</f>
        <v>0</v>
      </c>
      <c r="M54" s="57">
        <f>L54-K54</f>
        <v>0</v>
      </c>
    </row>
    <row r="55" spans="1:13">
      <c r="A55" s="64">
        <v>43556</v>
      </c>
      <c r="B55" s="21" t="s">
        <v>409</v>
      </c>
      <c r="C55" s="105"/>
      <c r="D55" s="21" t="s">
        <v>120</v>
      </c>
      <c r="E55" s="21" t="s">
        <v>121</v>
      </c>
      <c r="F55" s="33" t="s">
        <v>124</v>
      </c>
      <c r="G55" s="57"/>
      <c r="H55" s="54"/>
      <c r="I55" s="67"/>
      <c r="J55" s="57">
        <f t="shared" si="0"/>
        <v>0</v>
      </c>
      <c r="K55" s="57"/>
      <c r="L55" s="57"/>
      <c r="M55" s="57"/>
    </row>
    <row r="56" spans="1:13" ht="15" customHeight="1">
      <c r="A56" s="64">
        <v>43556</v>
      </c>
      <c r="B56" s="21" t="s">
        <v>409</v>
      </c>
      <c r="C56" s="105"/>
      <c r="D56" s="21" t="s">
        <v>126</v>
      </c>
      <c r="E56" s="21" t="s">
        <v>246</v>
      </c>
      <c r="F56" s="33" t="s">
        <v>247</v>
      </c>
      <c r="G56" s="57"/>
      <c r="H56" s="54"/>
      <c r="I56" s="68"/>
      <c r="J56" s="57">
        <f t="shared" si="0"/>
        <v>0</v>
      </c>
      <c r="K56" s="57"/>
      <c r="L56" s="57"/>
      <c r="M56" s="57"/>
    </row>
    <row r="57" spans="1:13">
      <c r="A57" s="64">
        <v>43556</v>
      </c>
      <c r="B57" s="21" t="s">
        <v>409</v>
      </c>
      <c r="C57" s="105"/>
      <c r="D57" s="21" t="s">
        <v>126</v>
      </c>
      <c r="E57" s="21" t="s">
        <v>246</v>
      </c>
      <c r="F57" s="33" t="s">
        <v>410</v>
      </c>
      <c r="G57" s="57"/>
      <c r="H57" s="54"/>
      <c r="I57" s="67"/>
      <c r="J57" s="57">
        <f t="shared" si="0"/>
        <v>0</v>
      </c>
      <c r="K57" s="57"/>
      <c r="L57" s="57"/>
      <c r="M57" s="57"/>
    </row>
    <row r="58" spans="1:13" ht="14.1" customHeight="1">
      <c r="A58" s="64">
        <v>43556</v>
      </c>
      <c r="B58" s="21" t="s">
        <v>409</v>
      </c>
      <c r="C58" s="105"/>
      <c r="D58" s="21" t="s">
        <v>19</v>
      </c>
      <c r="F58" s="33" t="s">
        <v>135</v>
      </c>
      <c r="G58" s="57"/>
      <c r="H58" s="54"/>
      <c r="I58" s="67"/>
      <c r="J58" s="57">
        <f t="shared" si="0"/>
        <v>0</v>
      </c>
      <c r="K58" s="57"/>
      <c r="L58" s="57"/>
      <c r="M58" s="57"/>
    </row>
    <row r="59" spans="1:13" ht="14.1" customHeight="1">
      <c r="A59" s="64"/>
      <c r="C59" s="102" t="s">
        <v>404</v>
      </c>
      <c r="D59" s="21" t="s">
        <v>186</v>
      </c>
      <c r="E59" s="21" t="s">
        <v>191</v>
      </c>
      <c r="F59" s="33" t="s">
        <v>192</v>
      </c>
      <c r="G59" s="57"/>
      <c r="H59" s="54"/>
      <c r="I59" s="67"/>
      <c r="J59" s="57">
        <f t="shared" si="0"/>
        <v>0</v>
      </c>
      <c r="K59" s="57"/>
      <c r="L59" s="57"/>
      <c r="M59" s="57"/>
    </row>
    <row r="60" spans="1:13">
      <c r="A60" s="64">
        <v>43556</v>
      </c>
      <c r="B60" s="21" t="s">
        <v>409</v>
      </c>
      <c r="C60" s="103"/>
      <c r="D60" s="21" t="s">
        <v>186</v>
      </c>
      <c r="E60" s="21" t="s">
        <v>191</v>
      </c>
      <c r="F60" s="33" t="s">
        <v>193</v>
      </c>
      <c r="G60" s="57"/>
      <c r="H60" s="54"/>
      <c r="I60" s="67"/>
      <c r="J60" s="57">
        <f t="shared" si="0"/>
        <v>0</v>
      </c>
      <c r="K60" s="57">
        <f>(J60+J62+J59+J61)*0.05*N2</f>
        <v>0</v>
      </c>
      <c r="L60" s="57">
        <f>K60/0.05*0.25</f>
        <v>0</v>
      </c>
      <c r="M60" s="57">
        <f>L60-K60</f>
        <v>0</v>
      </c>
    </row>
    <row r="61" spans="1:13">
      <c r="A61" s="64"/>
      <c r="C61" s="103"/>
      <c r="D61" s="21" t="s">
        <v>189</v>
      </c>
      <c r="E61" s="21" t="s">
        <v>191</v>
      </c>
      <c r="F61" s="33" t="s">
        <v>192</v>
      </c>
      <c r="G61" s="57"/>
      <c r="H61" s="54"/>
      <c r="I61" s="68"/>
      <c r="J61" s="57">
        <f t="shared" si="0"/>
        <v>0</v>
      </c>
      <c r="K61" s="57"/>
      <c r="L61" s="57"/>
      <c r="M61" s="57"/>
    </row>
    <row r="62" spans="1:13">
      <c r="A62" s="64">
        <v>43556</v>
      </c>
      <c r="B62" s="21" t="s">
        <v>409</v>
      </c>
      <c r="C62" s="104"/>
      <c r="D62" s="21" t="s">
        <v>189</v>
      </c>
      <c r="E62" s="21" t="s">
        <v>191</v>
      </c>
      <c r="F62" s="33" t="s">
        <v>193</v>
      </c>
      <c r="G62" s="57"/>
      <c r="H62" s="54"/>
      <c r="I62" s="67"/>
      <c r="J62" s="57">
        <f t="shared" si="0"/>
        <v>0</v>
      </c>
      <c r="K62" s="57"/>
      <c r="L62" s="57"/>
      <c r="M62" s="57"/>
    </row>
    <row r="63" spans="1:13">
      <c r="A63" s="64">
        <v>43556</v>
      </c>
      <c r="B63" s="21" t="s">
        <v>409</v>
      </c>
      <c r="C63" s="102" t="s">
        <v>411</v>
      </c>
      <c r="D63" s="21" t="s">
        <v>166</v>
      </c>
      <c r="E63" s="21" t="s">
        <v>144</v>
      </c>
      <c r="F63" s="33" t="s">
        <v>145</v>
      </c>
      <c r="G63" s="57"/>
      <c r="H63" s="54"/>
      <c r="I63" s="67"/>
      <c r="J63" s="57">
        <f t="shared" si="0"/>
        <v>0</v>
      </c>
      <c r="K63" s="57">
        <f>(J63+J64)*0.05*N2</f>
        <v>0</v>
      </c>
      <c r="L63" s="57">
        <f>K63/0.05*0.25</f>
        <v>0</v>
      </c>
      <c r="M63" s="57">
        <f>L63-K63</f>
        <v>0</v>
      </c>
    </row>
    <row r="64" spans="1:13">
      <c r="A64" s="64"/>
      <c r="C64" s="103"/>
      <c r="D64" s="21" t="s">
        <v>146</v>
      </c>
      <c r="E64" s="21" t="s">
        <v>144</v>
      </c>
      <c r="F64" s="33" t="s">
        <v>145</v>
      </c>
      <c r="G64" s="57"/>
      <c r="H64" s="54"/>
      <c r="I64" s="67"/>
      <c r="J64" s="57">
        <f t="shared" si="0"/>
        <v>0</v>
      </c>
      <c r="K64" s="57"/>
      <c r="L64" s="57"/>
      <c r="M64" s="57"/>
    </row>
    <row r="65" spans="1:13">
      <c r="A65" s="64">
        <v>43556</v>
      </c>
      <c r="B65" s="21" t="s">
        <v>409</v>
      </c>
      <c r="C65" s="103"/>
      <c r="D65" s="21" t="s">
        <v>169</v>
      </c>
      <c r="E65" s="21" t="s">
        <v>170</v>
      </c>
      <c r="F65" s="33" t="s">
        <v>171</v>
      </c>
      <c r="G65" s="57"/>
      <c r="H65" s="54"/>
      <c r="I65" s="67"/>
      <c r="J65" s="57">
        <f t="shared" si="0"/>
        <v>0</v>
      </c>
      <c r="K65" s="57">
        <f>(J65+J66+J67+J68)*0.04*N2</f>
        <v>0</v>
      </c>
      <c r="L65" s="57">
        <f>K65/0.04*0.25</f>
        <v>0</v>
      </c>
      <c r="M65" s="57">
        <f>L65-K65</f>
        <v>0</v>
      </c>
    </row>
    <row r="66" spans="1:13">
      <c r="A66" s="64"/>
      <c r="C66" s="103"/>
      <c r="D66" s="21" t="s">
        <v>169</v>
      </c>
      <c r="E66" s="21" t="s">
        <v>170</v>
      </c>
      <c r="F66" s="33" t="s">
        <v>172</v>
      </c>
      <c r="G66" s="57"/>
      <c r="H66" s="54"/>
      <c r="I66" s="67"/>
      <c r="J66" s="57">
        <f t="shared" si="0"/>
        <v>0</v>
      </c>
      <c r="K66" s="57"/>
      <c r="L66" s="57"/>
      <c r="M66" s="57"/>
    </row>
    <row r="67" spans="1:13">
      <c r="A67" s="64"/>
      <c r="C67" s="103"/>
      <c r="D67" s="21" t="s">
        <v>174</v>
      </c>
      <c r="E67" s="21" t="s">
        <v>170</v>
      </c>
      <c r="F67" s="33" t="s">
        <v>172</v>
      </c>
      <c r="G67" s="57"/>
      <c r="H67" s="54"/>
      <c r="I67" s="67"/>
      <c r="J67" s="57">
        <f t="shared" ref="J67:J86" si="3">G67*H67*1-I67</f>
        <v>0</v>
      </c>
      <c r="K67" s="57"/>
      <c r="L67" s="57"/>
      <c r="M67" s="57"/>
    </row>
    <row r="68" spans="1:13">
      <c r="A68" s="64"/>
      <c r="C68" s="103"/>
      <c r="D68" s="21" t="s">
        <v>174</v>
      </c>
      <c r="E68" s="21" t="s">
        <v>170</v>
      </c>
      <c r="F68" s="33" t="s">
        <v>173</v>
      </c>
      <c r="G68" s="57"/>
      <c r="H68" s="54"/>
      <c r="I68" s="67"/>
      <c r="J68" s="57">
        <f t="shared" si="3"/>
        <v>0</v>
      </c>
      <c r="K68" s="57"/>
      <c r="L68" s="57"/>
      <c r="M68" s="57"/>
    </row>
    <row r="69" spans="1:13">
      <c r="A69" s="64">
        <v>43556</v>
      </c>
      <c r="B69" s="21" t="s">
        <v>409</v>
      </c>
      <c r="C69" s="103"/>
      <c r="D69" s="21" t="s">
        <v>152</v>
      </c>
      <c r="E69" s="21" t="s">
        <v>380</v>
      </c>
      <c r="F69" s="33" t="s">
        <v>412</v>
      </c>
      <c r="G69" s="57"/>
      <c r="H69" s="54"/>
      <c r="I69" s="67"/>
      <c r="J69" s="57">
        <f t="shared" si="3"/>
        <v>0</v>
      </c>
      <c r="K69" s="57"/>
      <c r="L69" s="57"/>
      <c r="M69" s="57"/>
    </row>
    <row r="70" spans="1:13">
      <c r="A70" s="64">
        <v>43556</v>
      </c>
      <c r="B70" s="21" t="s">
        <v>409</v>
      </c>
      <c r="C70" s="103"/>
      <c r="D70" s="75" t="s">
        <v>158</v>
      </c>
      <c r="E70" s="75" t="s">
        <v>149</v>
      </c>
      <c r="F70" s="75" t="s">
        <v>150</v>
      </c>
      <c r="G70" s="76"/>
      <c r="H70" s="77"/>
      <c r="I70" s="67"/>
      <c r="J70" s="57">
        <f t="shared" si="3"/>
        <v>0</v>
      </c>
      <c r="K70" s="57"/>
      <c r="L70" s="57">
        <f>K70/0.05*0.25</f>
        <v>0</v>
      </c>
      <c r="M70" s="57">
        <f t="shared" ref="M70:M72" si="4">L70-K70</f>
        <v>0</v>
      </c>
    </row>
    <row r="71" spans="1:13">
      <c r="A71" s="64"/>
      <c r="C71" s="103"/>
      <c r="D71" s="75" t="s">
        <v>158</v>
      </c>
      <c r="E71" s="75" t="s">
        <v>149</v>
      </c>
      <c r="F71" s="75" t="s">
        <v>151</v>
      </c>
      <c r="G71" s="76"/>
      <c r="H71" s="77"/>
      <c r="I71" s="67"/>
      <c r="J71" s="57">
        <f t="shared" si="3"/>
        <v>0</v>
      </c>
      <c r="K71" s="57"/>
      <c r="L71" s="57"/>
      <c r="M71" s="57"/>
    </row>
    <row r="72" spans="1:13" ht="14.1" customHeight="1">
      <c r="A72" s="64">
        <v>43556</v>
      </c>
      <c r="B72" s="21" t="s">
        <v>409</v>
      </c>
      <c r="C72" s="103"/>
      <c r="D72" s="21" t="s">
        <v>160</v>
      </c>
      <c r="E72" s="21" t="s">
        <v>161</v>
      </c>
      <c r="F72" s="33" t="s">
        <v>162</v>
      </c>
      <c r="G72" s="57"/>
      <c r="H72" s="54"/>
      <c r="I72" s="67"/>
      <c r="J72" s="57">
        <f t="shared" si="3"/>
        <v>0</v>
      </c>
      <c r="K72" s="57">
        <f>(J72)*0.04*N2</f>
        <v>0</v>
      </c>
      <c r="L72" s="57">
        <f>K72/0.04*0.25</f>
        <v>0</v>
      </c>
      <c r="M72" s="57">
        <f t="shared" si="4"/>
        <v>0</v>
      </c>
    </row>
    <row r="73" spans="1:13" ht="14.1" customHeight="1">
      <c r="A73" s="64">
        <v>43556</v>
      </c>
      <c r="B73" s="21" t="s">
        <v>409</v>
      </c>
      <c r="C73" s="103"/>
      <c r="D73" s="75" t="s">
        <v>164</v>
      </c>
      <c r="E73" s="75" t="s">
        <v>149</v>
      </c>
      <c r="F73" s="75" t="s">
        <v>150</v>
      </c>
      <c r="G73" s="76"/>
      <c r="H73" s="77"/>
      <c r="I73" s="67"/>
      <c r="J73" s="57">
        <f t="shared" si="3"/>
        <v>0</v>
      </c>
      <c r="K73" s="57">
        <f>(J73+J74+J70+J71)*0.25*N2</f>
        <v>0</v>
      </c>
      <c r="L73" s="57"/>
      <c r="M73" s="57"/>
    </row>
    <row r="74" spans="1:13" ht="14.1" customHeight="1">
      <c r="A74" s="64">
        <v>43556</v>
      </c>
      <c r="B74" s="21" t="s">
        <v>409</v>
      </c>
      <c r="C74" s="103"/>
      <c r="D74" s="75" t="s">
        <v>164</v>
      </c>
      <c r="E74" s="75" t="s">
        <v>149</v>
      </c>
      <c r="F74" s="75" t="s">
        <v>151</v>
      </c>
      <c r="G74" s="76"/>
      <c r="H74" s="77"/>
      <c r="I74" s="67"/>
      <c r="J74" s="57">
        <f t="shared" si="3"/>
        <v>0</v>
      </c>
      <c r="K74" s="57"/>
      <c r="L74" s="57"/>
      <c r="M74" s="57"/>
    </row>
    <row r="75" spans="1:13" ht="14.1" customHeight="1">
      <c r="A75" s="64">
        <v>43556</v>
      </c>
      <c r="B75" s="21" t="s">
        <v>409</v>
      </c>
      <c r="C75" s="103"/>
      <c r="D75" s="21" t="s">
        <v>175</v>
      </c>
      <c r="E75" s="21" t="s">
        <v>176</v>
      </c>
      <c r="F75" s="33" t="s">
        <v>177</v>
      </c>
      <c r="G75" s="57"/>
      <c r="H75" s="54"/>
      <c r="I75" s="67"/>
      <c r="J75" s="57">
        <f t="shared" si="3"/>
        <v>0</v>
      </c>
      <c r="K75" s="57">
        <f>(J75+J76+J77+J78+J79)*0.03*N2</f>
        <v>0</v>
      </c>
      <c r="L75" s="57">
        <f>K75/0.03*0.25</f>
        <v>0</v>
      </c>
      <c r="M75" s="57">
        <f>L75-K75</f>
        <v>0</v>
      </c>
    </row>
    <row r="76" spans="1:13" ht="14.1" customHeight="1">
      <c r="A76" s="64">
        <v>43556</v>
      </c>
      <c r="B76" s="21" t="s">
        <v>409</v>
      </c>
      <c r="C76" s="103"/>
      <c r="D76" s="21" t="s">
        <v>175</v>
      </c>
      <c r="E76" s="21" t="s">
        <v>176</v>
      </c>
      <c r="F76" s="33" t="s">
        <v>178</v>
      </c>
      <c r="G76" s="57"/>
      <c r="H76" s="54"/>
      <c r="I76" s="67"/>
      <c r="J76" s="57">
        <f t="shared" si="3"/>
        <v>0</v>
      </c>
      <c r="K76" s="57"/>
      <c r="L76" s="57"/>
      <c r="M76" s="57"/>
    </row>
    <row r="77" spans="1:13" ht="14.1" customHeight="1">
      <c r="A77" s="64">
        <v>43556</v>
      </c>
      <c r="B77" s="21" t="s">
        <v>409</v>
      </c>
      <c r="C77" s="103"/>
      <c r="D77" s="21" t="s">
        <v>175</v>
      </c>
      <c r="E77" s="21" t="s">
        <v>176</v>
      </c>
      <c r="F77" s="33" t="s">
        <v>179</v>
      </c>
      <c r="G77" s="57"/>
      <c r="H77" s="54"/>
      <c r="I77" s="67"/>
      <c r="J77" s="57">
        <f t="shared" si="3"/>
        <v>0</v>
      </c>
      <c r="K77" s="57"/>
      <c r="L77" s="57"/>
      <c r="M77" s="57"/>
    </row>
    <row r="78" spans="1:13" ht="14.1" customHeight="1">
      <c r="A78" s="64"/>
      <c r="C78" s="103"/>
      <c r="D78" s="21" t="s">
        <v>180</v>
      </c>
      <c r="E78" s="21" t="s">
        <v>176</v>
      </c>
      <c r="F78" s="33" t="s">
        <v>177</v>
      </c>
      <c r="G78" s="57"/>
      <c r="H78" s="54"/>
      <c r="I78" s="67"/>
      <c r="J78" s="57">
        <f t="shared" si="3"/>
        <v>0</v>
      </c>
      <c r="K78" s="57"/>
      <c r="L78" s="57"/>
      <c r="M78" s="57"/>
    </row>
    <row r="79" spans="1:13" ht="14.1" customHeight="1">
      <c r="A79" s="64"/>
      <c r="C79" s="103"/>
      <c r="D79" s="21" t="s">
        <v>180</v>
      </c>
      <c r="E79" s="21" t="s">
        <v>176</v>
      </c>
      <c r="F79" s="33" t="s">
        <v>178</v>
      </c>
      <c r="G79" s="57"/>
      <c r="H79" s="54"/>
      <c r="I79" s="67"/>
      <c r="J79" s="57">
        <f t="shared" si="3"/>
        <v>0</v>
      </c>
      <c r="K79" s="57"/>
      <c r="L79" s="57"/>
      <c r="M79" s="57"/>
    </row>
    <row r="80" spans="1:13" ht="14.1" customHeight="1">
      <c r="A80" s="64"/>
      <c r="C80" s="103"/>
      <c r="D80" s="21" t="s">
        <v>88</v>
      </c>
      <c r="E80" s="21" t="s">
        <v>181</v>
      </c>
      <c r="F80" s="33" t="s">
        <v>182</v>
      </c>
      <c r="G80" s="57"/>
      <c r="H80" s="54"/>
      <c r="I80" s="67"/>
      <c r="J80" s="57">
        <f t="shared" si="3"/>
        <v>0</v>
      </c>
      <c r="K80" s="57"/>
      <c r="L80" s="57"/>
      <c r="M80" s="57"/>
    </row>
    <row r="81" spans="1:13" ht="14.1" customHeight="1">
      <c r="A81" s="64">
        <v>43556</v>
      </c>
      <c r="B81" s="21" t="s">
        <v>409</v>
      </c>
      <c r="C81" s="103"/>
      <c r="D81" s="21" t="s">
        <v>88</v>
      </c>
      <c r="E81" s="21" t="s">
        <v>181</v>
      </c>
      <c r="F81" s="33" t="s">
        <v>183</v>
      </c>
      <c r="G81" s="57"/>
      <c r="H81" s="54"/>
      <c r="I81" s="67"/>
      <c r="J81" s="57">
        <f t="shared" si="3"/>
        <v>0</v>
      </c>
      <c r="K81" s="57">
        <f>(J81+J82+J80)*0.05*N2</f>
        <v>0</v>
      </c>
      <c r="L81" s="57">
        <f>K81/0.05*0.25</f>
        <v>0</v>
      </c>
      <c r="M81" s="57">
        <f>L81-K81</f>
        <v>0</v>
      </c>
    </row>
    <row r="82" spans="1:13" ht="14.1" customHeight="1">
      <c r="A82" s="64"/>
      <c r="C82" s="103"/>
      <c r="D82" s="21" t="s">
        <v>154</v>
      </c>
      <c r="E82" s="21" t="s">
        <v>181</v>
      </c>
      <c r="F82" s="33" t="s">
        <v>183</v>
      </c>
      <c r="G82" s="57"/>
      <c r="H82" s="54"/>
      <c r="I82" s="67"/>
      <c r="J82" s="57">
        <f t="shared" si="3"/>
        <v>0</v>
      </c>
      <c r="K82" s="57"/>
      <c r="L82" s="57"/>
      <c r="M82" s="57"/>
    </row>
    <row r="83" spans="1:13" ht="14.1" customHeight="1">
      <c r="A83" s="64">
        <v>43556</v>
      </c>
      <c r="B83" s="21" t="s">
        <v>409</v>
      </c>
      <c r="C83" s="103"/>
      <c r="D83" s="21" t="s">
        <v>140</v>
      </c>
      <c r="E83" s="21" t="s">
        <v>141</v>
      </c>
      <c r="F83" s="33" t="s">
        <v>142</v>
      </c>
      <c r="G83" s="57"/>
      <c r="H83" s="54"/>
      <c r="I83" s="68"/>
      <c r="J83" s="57">
        <f t="shared" si="3"/>
        <v>0</v>
      </c>
      <c r="K83" s="57">
        <f>(J83+J84)*0.03*N2</f>
        <v>0</v>
      </c>
      <c r="L83" s="57">
        <f>K83/0.03*0.25</f>
        <v>0</v>
      </c>
      <c r="M83" s="57">
        <f>L83-K83</f>
        <v>0</v>
      </c>
    </row>
    <row r="84" spans="1:13" ht="14.1" customHeight="1">
      <c r="A84" s="64"/>
      <c r="C84" s="104"/>
      <c r="D84" s="21" t="s">
        <v>152</v>
      </c>
      <c r="E84" s="21" t="s">
        <v>141</v>
      </c>
      <c r="F84" s="33" t="s">
        <v>142</v>
      </c>
      <c r="G84" s="57"/>
      <c r="H84" s="54"/>
      <c r="I84" s="67"/>
      <c r="J84" s="57">
        <f t="shared" si="3"/>
        <v>0</v>
      </c>
      <c r="K84" s="57"/>
      <c r="L84" s="57"/>
      <c r="M84" s="57"/>
    </row>
    <row r="85" spans="1:13">
      <c r="A85" s="64">
        <v>43556</v>
      </c>
      <c r="B85" s="21" t="s">
        <v>409</v>
      </c>
      <c r="C85" s="105" t="s">
        <v>413</v>
      </c>
      <c r="D85" s="21" t="s">
        <v>200</v>
      </c>
      <c r="E85" s="21" t="s">
        <v>93</v>
      </c>
      <c r="F85" s="33" t="s">
        <v>94</v>
      </c>
      <c r="G85" s="57"/>
      <c r="H85" s="54"/>
      <c r="I85" s="67"/>
      <c r="J85" s="57">
        <f t="shared" si="3"/>
        <v>0</v>
      </c>
      <c r="K85" s="57">
        <f>(J85+J86)*0.25*N2</f>
        <v>0</v>
      </c>
      <c r="L85" s="57"/>
      <c r="M85" s="57"/>
    </row>
    <row r="86" spans="1:13">
      <c r="A86" s="64">
        <v>43556</v>
      </c>
      <c r="B86" s="21" t="s">
        <v>409</v>
      </c>
      <c r="C86" s="105"/>
      <c r="D86" s="21" t="s">
        <v>202</v>
      </c>
      <c r="E86" s="21" t="s">
        <v>93</v>
      </c>
      <c r="F86" s="33" t="s">
        <v>94</v>
      </c>
      <c r="G86" s="57"/>
      <c r="H86" s="54"/>
      <c r="I86" s="68"/>
      <c r="J86" s="57">
        <f t="shared" si="3"/>
        <v>0</v>
      </c>
      <c r="K86" s="57"/>
      <c r="L86" s="57"/>
      <c r="M86" s="57"/>
    </row>
    <row r="87" spans="1:13">
      <c r="A87" s="21">
        <v>42795</v>
      </c>
      <c r="B87" s="71"/>
      <c r="C87" s="106" t="s">
        <v>218</v>
      </c>
      <c r="D87" s="107"/>
      <c r="E87" s="21" t="s">
        <v>219</v>
      </c>
      <c r="F87" s="33" t="s">
        <v>219</v>
      </c>
      <c r="G87" s="57"/>
      <c r="H87" s="54"/>
      <c r="I87" s="68"/>
      <c r="J87" s="57">
        <f t="shared" ref="J87:J90" si="5">(G87*H87*0.98)-I87</f>
        <v>0</v>
      </c>
      <c r="K87" s="57">
        <f>(J3+J4+J8+J9+J10+J12+J14+J15+J16+J18+J20+J21+J22+J23+J25+J33+J37+J38+J39+J40+J47+J54+J55+J60+J62+J65+J72+J73+J74+J75+J76+J77+J81+J34+J56+J57+J27+J28+J44+J48+J52+J63+J49+J50+J51+J66+J70+J71+J83+J35+J42+J59+J67+J84+J19+J29+J31+J36+J43+J61+J64+J68+J78+J79+J80+J82)*0.01*N2+(J5+J6+J7+J17+J24+J26+J30+J32)*0.07*N2+(J41)*0.04*N2+(0)*0.08*N2</f>
        <v>0</v>
      </c>
      <c r="L87" s="57"/>
      <c r="M87" s="57"/>
    </row>
    <row r="88" spans="1:13">
      <c r="A88" s="21">
        <v>42795</v>
      </c>
      <c r="B88" s="72"/>
      <c r="C88" s="108"/>
      <c r="D88" s="109"/>
      <c r="E88" s="21" t="s">
        <v>220</v>
      </c>
      <c r="F88" s="33" t="s">
        <v>220</v>
      </c>
      <c r="G88" s="57"/>
      <c r="H88" s="54"/>
      <c r="I88" s="68"/>
      <c r="J88" s="57">
        <f t="shared" si="5"/>
        <v>0</v>
      </c>
      <c r="K88" s="57">
        <f>(J8+J9+J10+J18+J19+J20)*0.06*N2+(J47+J52+J53+J48)*0.03*N2+(J65+J63+J66)*0.07*N2</f>
        <v>0</v>
      </c>
      <c r="L88" s="57"/>
      <c r="M88" s="57"/>
    </row>
    <row r="89" spans="1:13">
      <c r="A89" s="21">
        <v>42795</v>
      </c>
      <c r="B89" s="72"/>
      <c r="C89" s="108"/>
      <c r="D89" s="109"/>
      <c r="E89" s="21" t="s">
        <v>221</v>
      </c>
      <c r="F89" s="33" t="s">
        <v>221</v>
      </c>
      <c r="G89" s="57"/>
      <c r="H89" s="54"/>
      <c r="I89" s="68"/>
      <c r="J89" s="57">
        <f t="shared" si="5"/>
        <v>0</v>
      </c>
      <c r="K89" s="57">
        <f>(J62+J61)*0.03*N2+(J3+J11+J12+J4+J21+J22+J23)*0.06*N2+(J73+J74+J70+J71+J64)*0.07*N2</f>
        <v>0</v>
      </c>
      <c r="L89" s="57"/>
      <c r="M89" s="57"/>
    </row>
    <row r="90" spans="1:13">
      <c r="A90" s="21">
        <v>42795</v>
      </c>
      <c r="B90" s="72"/>
      <c r="C90" s="108"/>
      <c r="D90" s="109"/>
      <c r="E90" s="21" t="s">
        <v>225</v>
      </c>
      <c r="F90" s="33" t="s">
        <v>225</v>
      </c>
      <c r="G90" s="57"/>
      <c r="H90" s="54"/>
      <c r="I90" s="68"/>
      <c r="J90" s="57">
        <f t="shared" si="5"/>
        <v>0</v>
      </c>
      <c r="K90" s="57">
        <f>(J75+J76+J77+J82)*0.07*N2+(J50+J42+J43)*0.03*N2</f>
        <v>0</v>
      </c>
      <c r="L90" s="57"/>
      <c r="M90" s="57"/>
    </row>
    <row r="91" spans="1:13">
      <c r="A91" s="21">
        <v>42795</v>
      </c>
      <c r="B91" s="72"/>
      <c r="C91" s="108"/>
      <c r="D91" s="109"/>
      <c r="E91" s="21" t="s">
        <v>223</v>
      </c>
      <c r="F91" s="33" t="s">
        <v>223</v>
      </c>
      <c r="G91" s="57"/>
      <c r="H91" s="54"/>
      <c r="I91" s="68"/>
      <c r="J91" s="57">
        <v>0</v>
      </c>
      <c r="K91" s="57">
        <f>(J27+J28+J29+J31)*0.06*N2</f>
        <v>0</v>
      </c>
      <c r="L91" s="57"/>
      <c r="M91" s="57"/>
    </row>
    <row r="92" spans="1:13">
      <c r="B92" s="72"/>
      <c r="C92" s="108"/>
      <c r="D92" s="109"/>
      <c r="E92" s="21" t="s">
        <v>224</v>
      </c>
      <c r="F92" s="33" t="s">
        <v>224</v>
      </c>
      <c r="G92" s="57"/>
      <c r="H92" s="54"/>
      <c r="I92" s="68"/>
      <c r="J92" s="57">
        <v>0</v>
      </c>
      <c r="K92" s="57">
        <f>(J49+J59+J60)*0.03*N2+(J33+J81+J34+J67+J78+J79+J80+J68)*0.07*N2+(0)*0.06*N2</f>
        <v>0</v>
      </c>
      <c r="L92" s="57"/>
      <c r="M92" s="57"/>
    </row>
    <row r="93" spans="1:13">
      <c r="B93" s="72"/>
      <c r="C93" s="108"/>
      <c r="D93" s="109"/>
      <c r="E93" s="21" t="s">
        <v>226</v>
      </c>
      <c r="F93" s="33" t="s">
        <v>226</v>
      </c>
      <c r="G93" s="57"/>
      <c r="H93" s="54"/>
      <c r="I93" s="68"/>
      <c r="J93" s="57">
        <v>0</v>
      </c>
      <c r="K93" s="57">
        <f>(J69+J83+J35+J36)*0.07*N2+(J39+J40+J44+J45)*0.03*N2+J25*0.06*N2</f>
        <v>0</v>
      </c>
      <c r="L93" s="57"/>
      <c r="M93" s="57"/>
    </row>
    <row r="94" spans="1:13">
      <c r="B94" s="73"/>
      <c r="C94" s="110"/>
      <c r="D94" s="111"/>
      <c r="E94" s="21" t="s">
        <v>222</v>
      </c>
      <c r="F94" s="33" t="s">
        <v>222</v>
      </c>
      <c r="G94" s="57"/>
      <c r="H94" s="54"/>
      <c r="I94" s="68"/>
      <c r="J94" s="57">
        <v>0</v>
      </c>
      <c r="K94" s="57">
        <f>(J54+J55+J37+J38+J56+J57)*0.03*N2+(J14+J15+J16)*0.06*N2+(J72)*0.07*N2</f>
        <v>0</v>
      </c>
      <c r="L94" s="57"/>
      <c r="M94" s="57"/>
    </row>
    <row r="95" spans="1:13" ht="14.25">
      <c r="A95" s="21">
        <v>42795</v>
      </c>
      <c r="F95" s="48" t="s">
        <v>227</v>
      </c>
      <c r="G95" s="49">
        <f>SUM(G3:G90)</f>
        <v>0</v>
      </c>
      <c r="H95" s="43"/>
      <c r="I95" s="50">
        <f>SUM(I3:I89)</f>
        <v>0</v>
      </c>
      <c r="J95" s="51">
        <f>SUM(J3:J92)</f>
        <v>0</v>
      </c>
      <c r="K95" s="36">
        <f>J95*N2</f>
        <v>0</v>
      </c>
      <c r="L95" s="57"/>
      <c r="M95" s="57"/>
    </row>
    <row r="96" spans="1:13">
      <c r="F96" s="48" t="s">
        <v>228</v>
      </c>
      <c r="G96" s="21"/>
      <c r="H96" s="21"/>
      <c r="I96" s="23"/>
      <c r="J96" s="21"/>
      <c r="K96" s="37">
        <f>K95*0.4</f>
        <v>0</v>
      </c>
      <c r="L96" s="57"/>
      <c r="M96" s="57"/>
    </row>
    <row r="97" spans="1:13">
      <c r="F97" s="48" t="s">
        <v>261</v>
      </c>
      <c r="G97" s="21"/>
      <c r="H97" s="21"/>
      <c r="I97" s="23"/>
      <c r="J97" s="21"/>
      <c r="K97" s="37">
        <f>K95*0.6</f>
        <v>0</v>
      </c>
      <c r="L97" s="57"/>
      <c r="M97" s="57"/>
    </row>
    <row r="98" spans="1:13">
      <c r="K98" s="21"/>
      <c r="M98" s="60"/>
    </row>
    <row r="99" spans="1:13">
      <c r="A99" s="21">
        <v>42795</v>
      </c>
      <c r="C99" s="21" t="s">
        <v>405</v>
      </c>
      <c r="E99" s="21" t="s">
        <v>230</v>
      </c>
      <c r="K99" s="21">
        <f>(J21+J22+J23)*0.05*N2+M24+M25+M26+M27+M3+M14+M18+M30+M5+M32+M17</f>
        <v>0</v>
      </c>
      <c r="M99" s="60"/>
    </row>
    <row r="100" spans="1:13">
      <c r="A100" s="21">
        <v>42795</v>
      </c>
      <c r="C100" s="21" t="s">
        <v>406</v>
      </c>
      <c r="E100" s="21" t="s">
        <v>230</v>
      </c>
      <c r="K100" s="21">
        <f>M65+M72+M75+M73+M81+M70+M63+M83</f>
        <v>0</v>
      </c>
      <c r="M100" s="60"/>
    </row>
    <row r="101" spans="1:13">
      <c r="A101" s="21">
        <v>42795</v>
      </c>
      <c r="C101" s="21" t="s">
        <v>407</v>
      </c>
      <c r="E101" s="21" t="s">
        <v>233</v>
      </c>
      <c r="K101" s="21">
        <f>M33+M35</f>
        <v>0</v>
      </c>
      <c r="M101" s="60"/>
    </row>
    <row r="102" spans="1:13">
      <c r="A102" s="21">
        <v>42795</v>
      </c>
      <c r="C102" s="21" t="s">
        <v>408</v>
      </c>
      <c r="E102" s="21" t="s">
        <v>230</v>
      </c>
      <c r="K102" s="21">
        <f>(J44+J45+J47+J48)*0.05*N2+M37+M54+M52+M46+M42+M39</f>
        <v>0</v>
      </c>
      <c r="M102" s="60"/>
    </row>
    <row r="103" spans="1:13">
      <c r="C103" s="21" t="s">
        <v>235</v>
      </c>
      <c r="E103" s="21" t="s">
        <v>230</v>
      </c>
      <c r="K103" s="21">
        <f>M60</f>
        <v>0</v>
      </c>
      <c r="M103" s="60"/>
    </row>
    <row r="104" spans="1:13">
      <c r="A104" s="21">
        <v>42795</v>
      </c>
      <c r="C104" s="21" t="s">
        <v>363</v>
      </c>
      <c r="K104" s="21">
        <v>0</v>
      </c>
      <c r="M104" s="60"/>
    </row>
    <row r="105" spans="1:13">
      <c r="A105" s="21">
        <v>42795</v>
      </c>
      <c r="C105" s="21" t="s">
        <v>262</v>
      </c>
      <c r="E105" s="21" t="s">
        <v>230</v>
      </c>
      <c r="K105" s="21">
        <f>J95*0.07*N2</f>
        <v>0</v>
      </c>
      <c r="M105" s="60"/>
    </row>
    <row r="106" spans="1:13">
      <c r="K106" s="21">
        <f>K99+K100+K101+K102</f>
        <v>0</v>
      </c>
      <c r="M106" s="60"/>
    </row>
    <row r="107" spans="1:13">
      <c r="K107" s="58">
        <f>K99+K100+K101+K102+K103</f>
        <v>0</v>
      </c>
      <c r="M107" s="60"/>
    </row>
  </sheetData>
  <mergeCells count="7">
    <mergeCell ref="C87:D94"/>
    <mergeCell ref="C3:C32"/>
    <mergeCell ref="C33:C36"/>
    <mergeCell ref="C37:C58"/>
    <mergeCell ref="C59:C62"/>
    <mergeCell ref="C63:C84"/>
    <mergeCell ref="C85:C86"/>
  </mergeCells>
  <phoneticPr fontId="37" type="noConversion"/>
  <conditionalFormatting sqref="E90">
    <cfRule type="containsText" dxfId="16" priority="2" operator="containsText" text="方泽斯">
      <formula>NOT(ISERROR(SEARCH("方泽斯",E90)))</formula>
    </cfRule>
  </conditionalFormatting>
  <conditionalFormatting sqref="E101">
    <cfRule type="containsText" dxfId="15" priority="1" operator="containsText" text="方泽斯">
      <formula>NOT(ISERROR(SEARCH("方泽斯",E101)))</formula>
    </cfRule>
  </conditionalFormatting>
  <pageMargins left="0" right="0" top="0" bottom="0" header="0.51" footer="0.51"/>
  <pageSetup paperSize="9" scale="67" orientation="portrait" verticalDpi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Y85"/>
  <sheetViews>
    <sheetView view="pageBreakPreview" topLeftCell="C52" zoomScaleNormal="100" workbookViewId="0">
      <selection activeCell="D62" sqref="D62"/>
    </sheetView>
  </sheetViews>
  <sheetFormatPr defaultRowHeight="13.5"/>
  <cols>
    <col min="1" max="1" width="10.875" style="21" hidden="1" customWidth="1"/>
    <col min="2" max="2" width="9.125" style="21" hidden="1" customWidth="1"/>
    <col min="3" max="3" width="10.875" style="21" customWidth="1"/>
    <col min="4" max="4" width="10.5" style="21" customWidth="1"/>
    <col min="5" max="5" width="9" style="21" customWidth="1"/>
    <col min="6" max="6" width="14.25" style="21" customWidth="1"/>
    <col min="7" max="7" width="13.5" style="59" customWidth="1"/>
    <col min="8" max="8" width="15.375" style="60" bestFit="1" customWidth="1"/>
    <col min="9" max="9" width="13.875" style="61" customWidth="1"/>
    <col min="10" max="10" width="13.625" style="59" customWidth="1"/>
    <col min="11" max="11" width="22.5" style="59" customWidth="1"/>
    <col min="12" max="12" width="10.875" style="59" customWidth="1"/>
    <col min="13" max="13" width="13.375" style="59" customWidth="1"/>
    <col min="14" max="14" width="9" style="21"/>
    <col min="15" max="15" width="15.75" style="21" customWidth="1"/>
    <col min="16" max="16384" width="9" style="21"/>
  </cols>
  <sheetData>
    <row r="1" spans="1:25">
      <c r="C1" s="21" t="s">
        <v>414</v>
      </c>
    </row>
    <row r="2" spans="1:25" s="22" customFormat="1" ht="14.25">
      <c r="A2" s="24"/>
      <c r="B2" s="24"/>
      <c r="C2" s="25" t="s">
        <v>1</v>
      </c>
      <c r="D2" s="25" t="s">
        <v>2</v>
      </c>
      <c r="E2" s="25"/>
      <c r="F2" s="26" t="s">
        <v>3</v>
      </c>
      <c r="G2" s="27" t="s">
        <v>4</v>
      </c>
      <c r="H2" s="28" t="s">
        <v>5</v>
      </c>
      <c r="I2" s="29" t="s">
        <v>6</v>
      </c>
      <c r="J2" s="29" t="s">
        <v>7</v>
      </c>
      <c r="K2" s="38" t="s">
        <v>8</v>
      </c>
      <c r="L2" s="39"/>
      <c r="M2" s="40" t="s">
        <v>9</v>
      </c>
      <c r="N2" s="41">
        <v>7.01</v>
      </c>
      <c r="O2" s="42"/>
      <c r="P2" s="43"/>
      <c r="Q2" s="44"/>
      <c r="R2" s="45"/>
      <c r="S2" s="45"/>
      <c r="W2" s="46"/>
      <c r="X2" s="46"/>
      <c r="Y2" s="46"/>
    </row>
    <row r="3" spans="1:25" ht="15" customHeight="1">
      <c r="A3" s="64">
        <v>43556</v>
      </c>
      <c r="B3" s="21" t="s">
        <v>414</v>
      </c>
      <c r="C3" s="102" t="s">
        <v>10</v>
      </c>
      <c r="D3" s="75" t="s">
        <v>32</v>
      </c>
      <c r="E3" s="75" t="s">
        <v>310</v>
      </c>
      <c r="F3" s="75" t="s">
        <v>311</v>
      </c>
      <c r="G3" s="76"/>
      <c r="H3" s="77"/>
      <c r="I3" s="67"/>
      <c r="J3" s="57">
        <f t="shared" ref="J3:J36" si="0">G3*H3*1-I3</f>
        <v>0</v>
      </c>
      <c r="K3" s="57">
        <f>(J3+J4+J5+J6)*0.25*N2</f>
        <v>0</v>
      </c>
      <c r="L3" s="57"/>
      <c r="M3" s="57"/>
    </row>
    <row r="4" spans="1:25" ht="15" customHeight="1">
      <c r="A4" s="64">
        <v>43556</v>
      </c>
      <c r="B4" s="21" t="s">
        <v>414</v>
      </c>
      <c r="C4" s="103"/>
      <c r="D4" s="75" t="s">
        <v>32</v>
      </c>
      <c r="E4" s="75" t="s">
        <v>310</v>
      </c>
      <c r="F4" s="75" t="s">
        <v>313</v>
      </c>
      <c r="G4" s="76"/>
      <c r="H4" s="77"/>
      <c r="I4" s="67"/>
      <c r="J4" s="57">
        <f t="shared" si="0"/>
        <v>0</v>
      </c>
      <c r="K4" s="57"/>
      <c r="L4" s="57"/>
      <c r="M4" s="57"/>
    </row>
    <row r="5" spans="1:25" ht="15" customHeight="1">
      <c r="A5" s="64">
        <v>43556</v>
      </c>
      <c r="B5" s="21" t="s">
        <v>414</v>
      </c>
      <c r="C5" s="103"/>
      <c r="D5" s="75" t="s">
        <v>38</v>
      </c>
      <c r="E5" s="75" t="s">
        <v>310</v>
      </c>
      <c r="F5" s="75" t="s">
        <v>311</v>
      </c>
      <c r="G5" s="76"/>
      <c r="H5" s="77"/>
      <c r="I5" s="68"/>
      <c r="J5" s="57">
        <f t="shared" si="0"/>
        <v>0</v>
      </c>
      <c r="K5" s="57"/>
      <c r="L5" s="57"/>
      <c r="M5" s="57"/>
    </row>
    <row r="6" spans="1:25" ht="15" customHeight="1">
      <c r="A6" s="64"/>
      <c r="C6" s="103"/>
      <c r="D6" s="75" t="s">
        <v>38</v>
      </c>
      <c r="E6" s="75" t="s">
        <v>310</v>
      </c>
      <c r="F6" s="75" t="s">
        <v>313</v>
      </c>
      <c r="G6" s="76"/>
      <c r="H6" s="77"/>
      <c r="I6" s="67"/>
      <c r="J6" s="57">
        <f t="shared" si="0"/>
        <v>0</v>
      </c>
      <c r="K6" s="57"/>
      <c r="L6" s="57"/>
      <c r="M6" s="57"/>
    </row>
    <row r="7" spans="1:25" ht="15" customHeight="1">
      <c r="A7" s="64">
        <v>43556</v>
      </c>
      <c r="B7" s="21" t="s">
        <v>414</v>
      </c>
      <c r="C7" s="103"/>
      <c r="D7" s="21" t="s">
        <v>45</v>
      </c>
      <c r="E7" s="21" t="s">
        <v>415</v>
      </c>
      <c r="F7" s="33" t="s">
        <v>416</v>
      </c>
      <c r="G7" s="57"/>
      <c r="H7" s="54"/>
      <c r="I7" s="67"/>
      <c r="J7" s="57">
        <f t="shared" si="0"/>
        <v>0</v>
      </c>
      <c r="K7" s="57">
        <f>J7*0.2*N2</f>
        <v>0</v>
      </c>
      <c r="L7" s="57"/>
      <c r="M7" s="57"/>
    </row>
    <row r="8" spans="1:25" ht="15" customHeight="1">
      <c r="A8" s="64">
        <v>43556</v>
      </c>
      <c r="B8" s="21" t="s">
        <v>414</v>
      </c>
      <c r="C8" s="103"/>
      <c r="D8" s="21" t="s">
        <v>77</v>
      </c>
      <c r="E8" s="21" t="s">
        <v>278</v>
      </c>
      <c r="F8" s="33" t="s">
        <v>302</v>
      </c>
      <c r="G8" s="57"/>
      <c r="H8" s="54"/>
      <c r="I8" s="67"/>
      <c r="J8" s="57">
        <f t="shared" si="0"/>
        <v>0</v>
      </c>
      <c r="K8" s="57">
        <f>(J8+J9+J10+J15)*0.2*N2</f>
        <v>0</v>
      </c>
      <c r="L8" s="57"/>
      <c r="M8" s="57"/>
    </row>
    <row r="9" spans="1:25" ht="15" customHeight="1">
      <c r="A9" s="64">
        <v>43556</v>
      </c>
      <c r="B9" s="21" t="s">
        <v>414</v>
      </c>
      <c r="C9" s="103"/>
      <c r="D9" s="21" t="s">
        <v>318</v>
      </c>
      <c r="E9" s="21" t="s">
        <v>278</v>
      </c>
      <c r="F9" s="33" t="s">
        <v>302</v>
      </c>
      <c r="G9" s="57"/>
      <c r="H9" s="54"/>
      <c r="I9" s="67"/>
      <c r="J9" s="57">
        <f t="shared" si="0"/>
        <v>0</v>
      </c>
      <c r="K9" s="57"/>
      <c r="L9" s="57"/>
      <c r="M9" s="57"/>
    </row>
    <row r="10" spans="1:25" ht="15" customHeight="1">
      <c r="A10" s="64">
        <v>43556</v>
      </c>
      <c r="B10" s="21" t="s">
        <v>414</v>
      </c>
      <c r="C10" s="103"/>
      <c r="D10" s="21" t="s">
        <v>70</v>
      </c>
      <c r="E10" s="21" t="s">
        <v>278</v>
      </c>
      <c r="F10" s="33" t="s">
        <v>302</v>
      </c>
      <c r="G10" s="57"/>
      <c r="H10" s="54"/>
      <c r="I10" s="67"/>
      <c r="J10" s="57">
        <f t="shared" si="0"/>
        <v>0</v>
      </c>
      <c r="K10" s="57"/>
      <c r="L10" s="57"/>
      <c r="M10" s="57"/>
    </row>
    <row r="11" spans="1:25" ht="15" customHeight="1">
      <c r="A11" s="64">
        <v>43556</v>
      </c>
      <c r="B11" s="21" t="s">
        <v>414</v>
      </c>
      <c r="C11" s="103"/>
      <c r="D11" s="21" t="s">
        <v>51</v>
      </c>
      <c r="E11" s="21" t="s">
        <v>238</v>
      </c>
      <c r="F11" s="33" t="s">
        <v>316</v>
      </c>
      <c r="G11" s="57"/>
      <c r="H11" s="54"/>
      <c r="I11" s="67"/>
      <c r="J11" s="57">
        <f t="shared" si="0"/>
        <v>0</v>
      </c>
      <c r="K11" s="57">
        <f>(J11+J12+J16)*0.05*N2</f>
        <v>0</v>
      </c>
      <c r="L11" s="57">
        <f>K11/0.05*0.25</f>
        <v>0</v>
      </c>
      <c r="M11" s="57">
        <f>L11-K11</f>
        <v>0</v>
      </c>
    </row>
    <row r="12" spans="1:25" ht="15" customHeight="1">
      <c r="A12" s="64"/>
      <c r="C12" s="103"/>
      <c r="D12" s="21" t="s">
        <v>31</v>
      </c>
      <c r="E12" s="21" t="s">
        <v>238</v>
      </c>
      <c r="F12" s="33" t="s">
        <v>239</v>
      </c>
      <c r="G12" s="57"/>
      <c r="H12" s="54"/>
      <c r="I12" s="67"/>
      <c r="J12" s="57">
        <f t="shared" si="0"/>
        <v>0</v>
      </c>
      <c r="K12" s="57"/>
      <c r="L12" s="57"/>
      <c r="M12" s="57"/>
    </row>
    <row r="13" spans="1:25" ht="15" customHeight="1">
      <c r="A13" s="64">
        <v>43556</v>
      </c>
      <c r="B13" s="21" t="s">
        <v>414</v>
      </c>
      <c r="C13" s="103"/>
      <c r="D13" s="21" t="s">
        <v>67</v>
      </c>
      <c r="E13" s="21" t="s">
        <v>68</v>
      </c>
      <c r="F13" s="33" t="s">
        <v>69</v>
      </c>
      <c r="G13" s="57"/>
      <c r="H13" s="54"/>
      <c r="I13" s="67"/>
      <c r="J13" s="57">
        <f t="shared" si="0"/>
        <v>0</v>
      </c>
      <c r="K13" s="57">
        <f>(J13+J14)*0.05*N2</f>
        <v>0</v>
      </c>
      <c r="L13" s="57">
        <f>K13/0.05*0.25</f>
        <v>0</v>
      </c>
      <c r="M13" s="57">
        <f>L13-K13</f>
        <v>0</v>
      </c>
    </row>
    <row r="14" spans="1:25" ht="15" customHeight="1">
      <c r="A14" s="64">
        <v>43556</v>
      </c>
      <c r="B14" s="21" t="s">
        <v>414</v>
      </c>
      <c r="C14" s="103"/>
      <c r="D14" s="21" t="s">
        <v>67</v>
      </c>
      <c r="E14" s="21" t="s">
        <v>68</v>
      </c>
      <c r="F14" s="33" t="s">
        <v>303</v>
      </c>
      <c r="G14" s="57"/>
      <c r="H14" s="54"/>
      <c r="I14" s="67"/>
      <c r="J14" s="57">
        <f t="shared" si="0"/>
        <v>0</v>
      </c>
      <c r="K14" s="57"/>
      <c r="L14" s="57"/>
      <c r="M14" s="57"/>
    </row>
    <row r="15" spans="1:25" ht="15" customHeight="1">
      <c r="A15" s="64">
        <v>43556</v>
      </c>
      <c r="B15" s="21" t="s">
        <v>414</v>
      </c>
      <c r="C15" s="103"/>
      <c r="D15" s="21" t="s">
        <v>272</v>
      </c>
      <c r="E15" s="21" t="s">
        <v>278</v>
      </c>
      <c r="F15" s="33" t="s">
        <v>302</v>
      </c>
      <c r="G15" s="57"/>
      <c r="H15" s="54"/>
      <c r="I15" s="67"/>
      <c r="J15" s="57">
        <f t="shared" si="0"/>
        <v>0</v>
      </c>
      <c r="K15" s="57"/>
      <c r="L15" s="57"/>
      <c r="M15" s="57"/>
    </row>
    <row r="16" spans="1:25" ht="15" customHeight="1">
      <c r="A16" s="64">
        <v>43556</v>
      </c>
      <c r="B16" s="21" t="s">
        <v>414</v>
      </c>
      <c r="C16" s="103"/>
      <c r="D16" s="21" t="s">
        <v>78</v>
      </c>
      <c r="E16" s="21" t="s">
        <v>238</v>
      </c>
      <c r="F16" s="33" t="s">
        <v>316</v>
      </c>
      <c r="G16" s="57"/>
      <c r="H16" s="54"/>
      <c r="I16" s="67"/>
      <c r="J16" s="57">
        <f t="shared" si="0"/>
        <v>0</v>
      </c>
      <c r="K16" s="57"/>
      <c r="L16" s="57"/>
      <c r="M16" s="57"/>
    </row>
    <row r="17" spans="1:13" ht="15" customHeight="1">
      <c r="A17" s="64">
        <v>43556</v>
      </c>
      <c r="B17" s="21" t="s">
        <v>414</v>
      </c>
      <c r="C17" s="103"/>
      <c r="D17" s="21" t="s">
        <v>72</v>
      </c>
      <c r="E17" s="21" t="s">
        <v>417</v>
      </c>
      <c r="F17" s="33" t="s">
        <v>418</v>
      </c>
      <c r="G17" s="57"/>
      <c r="H17" s="54"/>
      <c r="I17" s="67"/>
      <c r="J17" s="57">
        <f t="shared" si="0"/>
        <v>0</v>
      </c>
      <c r="K17" s="57">
        <f>(J17)*0.03*N2</f>
        <v>0</v>
      </c>
      <c r="L17" s="57"/>
      <c r="M17" s="57"/>
    </row>
    <row r="18" spans="1:13" ht="15" customHeight="1">
      <c r="A18" s="64">
        <v>43556</v>
      </c>
      <c r="B18" s="21" t="s">
        <v>414</v>
      </c>
      <c r="C18" s="102" t="s">
        <v>106</v>
      </c>
      <c r="D18" s="21" t="s">
        <v>103</v>
      </c>
      <c r="E18" s="21" t="s">
        <v>121</v>
      </c>
      <c r="F18" s="33" t="s">
        <v>122</v>
      </c>
      <c r="G18" s="57"/>
      <c r="H18" s="54"/>
      <c r="I18" s="67"/>
      <c r="J18" s="57">
        <f t="shared" si="0"/>
        <v>0</v>
      </c>
      <c r="K18" s="57">
        <f>(J18+J19+J20+J22+J21+J23)*0.05*N2</f>
        <v>0</v>
      </c>
      <c r="L18" s="57">
        <f>K18/0.05*0.25</f>
        <v>0</v>
      </c>
      <c r="M18" s="57">
        <f>L18-K18</f>
        <v>0</v>
      </c>
    </row>
    <row r="19" spans="1:13" ht="15" customHeight="1">
      <c r="A19" s="64">
        <v>43556</v>
      </c>
      <c r="B19" s="21" t="s">
        <v>414</v>
      </c>
      <c r="C19" s="103"/>
      <c r="D19" s="21" t="s">
        <v>120</v>
      </c>
      <c r="E19" s="21" t="s">
        <v>121</v>
      </c>
      <c r="F19" s="33" t="s">
        <v>122</v>
      </c>
      <c r="G19" s="57"/>
      <c r="H19" s="54"/>
      <c r="I19" s="67"/>
      <c r="J19" s="57">
        <f t="shared" si="0"/>
        <v>0</v>
      </c>
      <c r="K19" s="57"/>
      <c r="L19" s="57"/>
      <c r="M19" s="57"/>
    </row>
    <row r="20" spans="1:13" ht="15" customHeight="1">
      <c r="A20" s="64">
        <v>43556</v>
      </c>
      <c r="B20" s="21" t="s">
        <v>414</v>
      </c>
      <c r="C20" s="103"/>
      <c r="D20" s="21" t="s">
        <v>123</v>
      </c>
      <c r="E20" s="21" t="s">
        <v>121</v>
      </c>
      <c r="F20" s="33" t="s">
        <v>122</v>
      </c>
      <c r="G20" s="57"/>
      <c r="H20" s="54"/>
      <c r="I20" s="67"/>
      <c r="J20" s="57">
        <f t="shared" si="0"/>
        <v>0</v>
      </c>
      <c r="K20" s="57"/>
      <c r="L20" s="57"/>
      <c r="M20" s="57"/>
    </row>
    <row r="21" spans="1:13" ht="15" customHeight="1">
      <c r="A21" s="64">
        <v>43556</v>
      </c>
      <c r="B21" s="21" t="s">
        <v>414</v>
      </c>
      <c r="C21" s="103"/>
      <c r="D21" s="21" t="s">
        <v>123</v>
      </c>
      <c r="E21" s="21" t="s">
        <v>121</v>
      </c>
      <c r="F21" s="33" t="s">
        <v>124</v>
      </c>
      <c r="G21" s="57"/>
      <c r="H21" s="54"/>
      <c r="I21" s="67"/>
      <c r="J21" s="57">
        <f t="shared" si="0"/>
        <v>0</v>
      </c>
      <c r="K21" s="57"/>
      <c r="L21" s="57"/>
      <c r="M21" s="57"/>
    </row>
    <row r="22" spans="1:13" ht="15" customHeight="1">
      <c r="A22" s="64">
        <v>43556</v>
      </c>
      <c r="B22" s="21" t="s">
        <v>414</v>
      </c>
      <c r="C22" s="103"/>
      <c r="D22" s="21" t="s">
        <v>125</v>
      </c>
      <c r="E22" s="21" t="s">
        <v>121</v>
      </c>
      <c r="F22" s="33" t="s">
        <v>122</v>
      </c>
      <c r="G22" s="57"/>
      <c r="H22" s="54"/>
      <c r="I22" s="67"/>
      <c r="J22" s="57">
        <f t="shared" si="0"/>
        <v>0</v>
      </c>
      <c r="K22" s="57"/>
      <c r="L22" s="57"/>
      <c r="M22" s="57"/>
    </row>
    <row r="23" spans="1:13" ht="15" customHeight="1">
      <c r="A23" s="64">
        <v>43556</v>
      </c>
      <c r="B23" s="21" t="s">
        <v>414</v>
      </c>
      <c r="C23" s="103"/>
      <c r="D23" s="21" t="s">
        <v>125</v>
      </c>
      <c r="E23" s="21" t="s">
        <v>121</v>
      </c>
      <c r="F23" s="33" t="s">
        <v>122</v>
      </c>
      <c r="G23" s="57"/>
      <c r="H23" s="54"/>
      <c r="I23" s="67"/>
      <c r="J23" s="57">
        <f t="shared" si="0"/>
        <v>0</v>
      </c>
      <c r="K23" s="57"/>
      <c r="L23" s="57"/>
      <c r="M23" s="57"/>
    </row>
    <row r="24" spans="1:13" ht="15" customHeight="1">
      <c r="A24" s="64">
        <v>43556</v>
      </c>
      <c r="B24" s="21" t="s">
        <v>414</v>
      </c>
      <c r="C24" s="103"/>
      <c r="D24" s="21" t="s">
        <v>112</v>
      </c>
      <c r="E24" s="21" t="s">
        <v>113</v>
      </c>
      <c r="F24" s="33" t="s">
        <v>114</v>
      </c>
      <c r="G24" s="57"/>
      <c r="H24" s="54"/>
      <c r="I24" s="67"/>
      <c r="J24" s="57">
        <f t="shared" si="0"/>
        <v>0</v>
      </c>
      <c r="K24" s="57"/>
      <c r="L24" s="57">
        <f>K24/0.03*0.25</f>
        <v>0</v>
      </c>
      <c r="M24" s="57">
        <f t="shared" ref="M24:M28" si="1">L24-K24</f>
        <v>0</v>
      </c>
    </row>
    <row r="25" spans="1:13" ht="15" customHeight="1">
      <c r="A25" s="64">
        <v>43556</v>
      </c>
      <c r="B25" s="21" t="s">
        <v>414</v>
      </c>
      <c r="C25" s="103"/>
      <c r="D25" s="21" t="s">
        <v>112</v>
      </c>
      <c r="E25" s="21" t="s">
        <v>113</v>
      </c>
      <c r="F25" s="33" t="s">
        <v>115</v>
      </c>
      <c r="G25" s="57"/>
      <c r="H25" s="54"/>
      <c r="I25" s="67"/>
      <c r="J25" s="57">
        <f t="shared" si="0"/>
        <v>0</v>
      </c>
      <c r="K25" s="57"/>
      <c r="L25" s="57"/>
      <c r="M25" s="57"/>
    </row>
    <row r="26" spans="1:13" ht="15" customHeight="1">
      <c r="A26" s="64">
        <v>43556</v>
      </c>
      <c r="B26" s="21" t="s">
        <v>414</v>
      </c>
      <c r="C26" s="103"/>
      <c r="D26" s="21" t="s">
        <v>128</v>
      </c>
      <c r="E26" s="21" t="s">
        <v>129</v>
      </c>
      <c r="F26" s="33" t="s">
        <v>131</v>
      </c>
      <c r="G26" s="57"/>
      <c r="H26" s="54"/>
      <c r="I26" s="67"/>
      <c r="J26" s="57">
        <f t="shared" si="0"/>
        <v>0</v>
      </c>
      <c r="K26" s="57">
        <f>(J26+J27+J28+J29)*0.05*N2</f>
        <v>0</v>
      </c>
      <c r="L26" s="57">
        <f>K26/0.05*0.25</f>
        <v>0</v>
      </c>
      <c r="M26" s="57">
        <f t="shared" si="1"/>
        <v>0</v>
      </c>
    </row>
    <row r="27" spans="1:13" ht="15" customHeight="1">
      <c r="A27" s="64">
        <v>43556</v>
      </c>
      <c r="B27" s="21" t="s">
        <v>414</v>
      </c>
      <c r="C27" s="103"/>
      <c r="D27" s="21" t="s">
        <v>128</v>
      </c>
      <c r="E27" s="21" t="s">
        <v>129</v>
      </c>
      <c r="F27" s="33" t="s">
        <v>130</v>
      </c>
      <c r="G27" s="57"/>
      <c r="H27" s="54"/>
      <c r="I27" s="67"/>
      <c r="J27" s="57">
        <f t="shared" si="0"/>
        <v>0</v>
      </c>
      <c r="K27" s="57"/>
      <c r="L27" s="57"/>
      <c r="M27" s="57"/>
    </row>
    <row r="28" spans="1:13" ht="15" customHeight="1">
      <c r="A28" s="64">
        <v>43556</v>
      </c>
      <c r="B28" s="21" t="s">
        <v>414</v>
      </c>
      <c r="C28" s="103"/>
      <c r="D28" s="21" t="s">
        <v>133</v>
      </c>
      <c r="E28" s="21" t="s">
        <v>129</v>
      </c>
      <c r="F28" s="33" t="s">
        <v>131</v>
      </c>
      <c r="G28" s="57"/>
      <c r="H28" s="54"/>
      <c r="I28" s="67"/>
      <c r="J28" s="57">
        <f t="shared" si="0"/>
        <v>0</v>
      </c>
      <c r="K28" s="57"/>
      <c r="L28" s="57">
        <f>K28/0.03*0.25</f>
        <v>0</v>
      </c>
      <c r="M28" s="57">
        <f t="shared" si="1"/>
        <v>0</v>
      </c>
    </row>
    <row r="29" spans="1:13" ht="15" customHeight="1">
      <c r="A29" s="64">
        <v>43556</v>
      </c>
      <c r="B29" s="21" t="s">
        <v>414</v>
      </c>
      <c r="C29" s="103"/>
      <c r="D29" s="21" t="s">
        <v>133</v>
      </c>
      <c r="E29" s="21" t="s">
        <v>129</v>
      </c>
      <c r="F29" s="33" t="s">
        <v>130</v>
      </c>
      <c r="G29" s="57"/>
      <c r="H29" s="54"/>
      <c r="I29" s="68"/>
      <c r="J29" s="57">
        <f t="shared" si="0"/>
        <v>0</v>
      </c>
      <c r="K29" s="57"/>
      <c r="L29" s="57"/>
      <c r="M29" s="57"/>
    </row>
    <row r="30" spans="1:13" ht="15" customHeight="1">
      <c r="A30" s="64">
        <v>43556</v>
      </c>
      <c r="B30" s="21" t="s">
        <v>414</v>
      </c>
      <c r="C30" s="103"/>
      <c r="D30" s="21" t="s">
        <v>285</v>
      </c>
      <c r="E30" s="21" t="s">
        <v>108</v>
      </c>
      <c r="F30" s="33" t="s">
        <v>109</v>
      </c>
      <c r="G30" s="57"/>
      <c r="H30" s="54"/>
      <c r="I30" s="67"/>
      <c r="J30" s="57">
        <f t="shared" si="0"/>
        <v>0</v>
      </c>
      <c r="K30" s="57"/>
      <c r="L30" s="57"/>
      <c r="M30" s="57"/>
    </row>
    <row r="31" spans="1:13" ht="15" customHeight="1">
      <c r="A31" s="64">
        <v>43556</v>
      </c>
      <c r="B31" s="21" t="s">
        <v>414</v>
      </c>
      <c r="C31" s="103"/>
      <c r="D31" s="21" t="s">
        <v>133</v>
      </c>
      <c r="E31" s="21" t="s">
        <v>113</v>
      </c>
      <c r="F31" s="33" t="s">
        <v>248</v>
      </c>
      <c r="G31" s="57"/>
      <c r="H31" s="54"/>
      <c r="I31" s="67"/>
      <c r="J31" s="57">
        <f t="shared" si="0"/>
        <v>0</v>
      </c>
      <c r="K31" s="57"/>
      <c r="L31" s="57"/>
      <c r="M31" s="57"/>
    </row>
    <row r="32" spans="1:13" ht="15" customHeight="1">
      <c r="A32" s="64">
        <v>43556</v>
      </c>
      <c r="B32" s="21" t="s">
        <v>414</v>
      </c>
      <c r="C32" s="103"/>
      <c r="D32" s="21" t="s">
        <v>133</v>
      </c>
      <c r="E32" s="21" t="s">
        <v>113</v>
      </c>
      <c r="F32" s="33" t="s">
        <v>403</v>
      </c>
      <c r="G32" s="57"/>
      <c r="H32" s="54"/>
      <c r="I32" s="67"/>
      <c r="J32" s="57">
        <f t="shared" si="0"/>
        <v>0</v>
      </c>
      <c r="K32" s="57"/>
      <c r="L32" s="57"/>
      <c r="M32" s="57"/>
    </row>
    <row r="33" spans="1:13" ht="15" customHeight="1">
      <c r="A33" s="64"/>
      <c r="C33" s="103"/>
      <c r="D33" s="21" t="s">
        <v>107</v>
      </c>
      <c r="E33" s="21" t="s">
        <v>108</v>
      </c>
      <c r="F33" s="33" t="s">
        <v>110</v>
      </c>
      <c r="G33" s="57"/>
      <c r="H33" s="54"/>
      <c r="I33" s="67"/>
      <c r="J33" s="57">
        <f t="shared" si="0"/>
        <v>0</v>
      </c>
      <c r="K33" s="57"/>
      <c r="L33" s="57"/>
      <c r="M33" s="57"/>
    </row>
    <row r="34" spans="1:13">
      <c r="A34" s="64">
        <v>43556</v>
      </c>
      <c r="B34" s="21" t="s">
        <v>414</v>
      </c>
      <c r="C34" s="103"/>
      <c r="D34" s="21" t="s">
        <v>138</v>
      </c>
      <c r="E34" s="21" t="s">
        <v>108</v>
      </c>
      <c r="F34" s="33" t="s">
        <v>109</v>
      </c>
      <c r="G34" s="57"/>
      <c r="H34" s="54"/>
      <c r="I34" s="67"/>
      <c r="J34" s="57">
        <f t="shared" si="0"/>
        <v>0</v>
      </c>
      <c r="K34" s="57"/>
      <c r="L34" s="57"/>
      <c r="M34" s="57"/>
    </row>
    <row r="35" spans="1:13">
      <c r="A35" s="64">
        <v>43556</v>
      </c>
      <c r="B35" s="21" t="s">
        <v>414</v>
      </c>
      <c r="C35" s="103"/>
      <c r="D35" s="21" t="s">
        <v>138</v>
      </c>
      <c r="E35" s="21" t="s">
        <v>108</v>
      </c>
      <c r="F35" s="33" t="s">
        <v>110</v>
      </c>
      <c r="G35" s="57"/>
      <c r="H35" s="54"/>
      <c r="I35" s="67"/>
      <c r="J35" s="57">
        <f t="shared" si="0"/>
        <v>0</v>
      </c>
      <c r="K35" s="57">
        <f>(J35+J34+J33+J30)*0.03*N2</f>
        <v>0</v>
      </c>
      <c r="L35" s="57">
        <f>K35/0.03*0.25</f>
        <v>0</v>
      </c>
      <c r="M35" s="57">
        <f>L35-K35</f>
        <v>0</v>
      </c>
    </row>
    <row r="36" spans="1:13">
      <c r="A36" s="64">
        <v>43556</v>
      </c>
      <c r="B36" s="21" t="s">
        <v>414</v>
      </c>
      <c r="C36" s="103"/>
      <c r="D36" s="21" t="s">
        <v>116</v>
      </c>
      <c r="E36" s="21" t="s">
        <v>117</v>
      </c>
      <c r="F36" s="33" t="s">
        <v>118</v>
      </c>
      <c r="G36" s="57"/>
      <c r="H36" s="54"/>
      <c r="I36" s="67"/>
      <c r="J36" s="57">
        <f t="shared" si="0"/>
        <v>0</v>
      </c>
      <c r="K36" s="57"/>
      <c r="L36" s="57"/>
      <c r="M36" s="57"/>
    </row>
    <row r="37" spans="1:13">
      <c r="A37" s="64">
        <v>43556</v>
      </c>
      <c r="B37" s="21" t="s">
        <v>414</v>
      </c>
      <c r="C37" s="103"/>
      <c r="D37" s="21" t="s">
        <v>116</v>
      </c>
      <c r="E37" s="21" t="s">
        <v>117</v>
      </c>
      <c r="F37" s="33" t="s">
        <v>119</v>
      </c>
      <c r="G37" s="57"/>
      <c r="H37" s="54"/>
      <c r="I37" s="68"/>
      <c r="J37" s="57">
        <f t="shared" ref="J37:J41" si="2">G37*H37*1-I37</f>
        <v>0</v>
      </c>
      <c r="K37" s="57">
        <f>(J37+J36+J38+J39)*0.15*N2</f>
        <v>0</v>
      </c>
      <c r="L37" s="57"/>
      <c r="M37" s="57"/>
    </row>
    <row r="38" spans="1:13">
      <c r="A38" s="64">
        <v>43556</v>
      </c>
      <c r="B38" s="21" t="s">
        <v>414</v>
      </c>
      <c r="C38" s="103"/>
      <c r="D38" s="21" t="s">
        <v>127</v>
      </c>
      <c r="E38" s="21" t="s">
        <v>117</v>
      </c>
      <c r="F38" s="33" t="s">
        <v>118</v>
      </c>
      <c r="G38" s="57"/>
      <c r="H38" s="54"/>
      <c r="I38" s="67"/>
      <c r="J38" s="57">
        <f t="shared" si="2"/>
        <v>0</v>
      </c>
      <c r="K38" s="57"/>
      <c r="L38" s="57"/>
      <c r="M38" s="57"/>
    </row>
    <row r="39" spans="1:13">
      <c r="A39" s="64">
        <v>43556</v>
      </c>
      <c r="B39" s="21" t="s">
        <v>414</v>
      </c>
      <c r="C39" s="103"/>
      <c r="D39" s="21" t="s">
        <v>127</v>
      </c>
      <c r="E39" s="21" t="s">
        <v>117</v>
      </c>
      <c r="F39" s="33" t="s">
        <v>119</v>
      </c>
      <c r="G39" s="57"/>
      <c r="H39" s="54"/>
      <c r="I39" s="67"/>
      <c r="J39" s="57">
        <f t="shared" si="2"/>
        <v>0</v>
      </c>
      <c r="K39" s="57"/>
      <c r="L39" s="57"/>
      <c r="M39" s="57"/>
    </row>
    <row r="40" spans="1:13">
      <c r="A40" s="64">
        <v>43556</v>
      </c>
      <c r="B40" s="21" t="s">
        <v>414</v>
      </c>
      <c r="C40" s="103"/>
      <c r="D40" s="21" t="s">
        <v>137</v>
      </c>
      <c r="E40" s="21" t="s">
        <v>113</v>
      </c>
      <c r="F40" s="33" t="s">
        <v>114</v>
      </c>
      <c r="G40" s="57"/>
      <c r="H40" s="54"/>
      <c r="I40" s="67"/>
      <c r="J40" s="57">
        <f t="shared" si="2"/>
        <v>0</v>
      </c>
      <c r="K40" s="57"/>
      <c r="L40" s="57"/>
      <c r="M40" s="57"/>
    </row>
    <row r="41" spans="1:13">
      <c r="A41" s="64">
        <v>43556</v>
      </c>
      <c r="B41" s="21" t="s">
        <v>414</v>
      </c>
      <c r="C41" s="104"/>
      <c r="D41" s="21" t="s">
        <v>137</v>
      </c>
      <c r="E41" s="21" t="s">
        <v>113</v>
      </c>
      <c r="F41" s="33" t="s">
        <v>115</v>
      </c>
      <c r="G41" s="57"/>
      <c r="H41" s="54"/>
      <c r="I41" s="67"/>
      <c r="J41" s="57">
        <f t="shared" si="2"/>
        <v>0</v>
      </c>
      <c r="K41" s="57"/>
      <c r="L41" s="57"/>
      <c r="M41" s="57"/>
    </row>
    <row r="42" spans="1:13">
      <c r="A42" s="64">
        <v>43556</v>
      </c>
      <c r="B42" s="21" t="s">
        <v>414</v>
      </c>
      <c r="C42" s="102" t="s">
        <v>139</v>
      </c>
      <c r="D42" s="21" t="s">
        <v>146</v>
      </c>
      <c r="E42" s="21" t="s">
        <v>144</v>
      </c>
      <c r="F42" s="33" t="s">
        <v>145</v>
      </c>
      <c r="G42" s="57"/>
      <c r="H42" s="54"/>
      <c r="I42" s="67"/>
      <c r="J42" s="57">
        <f t="shared" ref="J42:J63" si="3">G42*H42*1-I42</f>
        <v>0</v>
      </c>
      <c r="K42" s="57">
        <f>(J42)*0.05*N2</f>
        <v>0</v>
      </c>
      <c r="L42" s="57">
        <f t="shared" ref="L42:L44" si="4">K42/0.05*0.25</f>
        <v>0</v>
      </c>
      <c r="M42" s="57">
        <f t="shared" ref="M42:M44" si="5">L42-K42</f>
        <v>0</v>
      </c>
    </row>
    <row r="43" spans="1:13">
      <c r="A43" s="64">
        <v>43556</v>
      </c>
      <c r="B43" s="21" t="s">
        <v>414</v>
      </c>
      <c r="C43" s="103"/>
      <c r="D43" s="21" t="s">
        <v>152</v>
      </c>
      <c r="E43" s="21" t="s">
        <v>141</v>
      </c>
      <c r="F43" s="33" t="s">
        <v>142</v>
      </c>
      <c r="G43" s="57"/>
      <c r="H43" s="54"/>
      <c r="I43" s="67"/>
      <c r="J43" s="57">
        <f t="shared" si="3"/>
        <v>0</v>
      </c>
      <c r="K43" s="57">
        <f>(J43)*0.03*N2</f>
        <v>0</v>
      </c>
      <c r="L43" s="57">
        <f>K43/0.03*0.25</f>
        <v>0</v>
      </c>
      <c r="M43" s="57">
        <f t="shared" si="5"/>
        <v>0</v>
      </c>
    </row>
    <row r="44" spans="1:13">
      <c r="A44" s="64">
        <v>43556</v>
      </c>
      <c r="B44" s="21" t="s">
        <v>414</v>
      </c>
      <c r="C44" s="103"/>
      <c r="D44" s="21" t="s">
        <v>154</v>
      </c>
      <c r="E44" s="21" t="s">
        <v>181</v>
      </c>
      <c r="F44" s="33" t="s">
        <v>183</v>
      </c>
      <c r="G44" s="57"/>
      <c r="H44" s="54"/>
      <c r="I44" s="67"/>
      <c r="J44" s="57">
        <f t="shared" si="3"/>
        <v>0</v>
      </c>
      <c r="K44" s="57">
        <f>(J44+J45)*0.05*N2</f>
        <v>0</v>
      </c>
      <c r="L44" s="57">
        <f t="shared" si="4"/>
        <v>0</v>
      </c>
      <c r="M44" s="57">
        <f t="shared" si="5"/>
        <v>0</v>
      </c>
    </row>
    <row r="45" spans="1:13">
      <c r="A45" s="64">
        <v>43556</v>
      </c>
      <c r="B45" s="21" t="s">
        <v>414</v>
      </c>
      <c r="C45" s="103"/>
      <c r="D45" s="21" t="s">
        <v>154</v>
      </c>
      <c r="E45" s="21" t="s">
        <v>181</v>
      </c>
      <c r="F45" s="33" t="s">
        <v>184</v>
      </c>
      <c r="G45" s="57"/>
      <c r="H45" s="54"/>
      <c r="I45" s="67"/>
      <c r="J45" s="57">
        <f t="shared" si="3"/>
        <v>0</v>
      </c>
      <c r="K45" s="57"/>
      <c r="L45" s="57"/>
      <c r="M45" s="57"/>
    </row>
    <row r="46" spans="1:13">
      <c r="A46" s="64">
        <v>43556</v>
      </c>
      <c r="B46" s="21" t="s">
        <v>414</v>
      </c>
      <c r="C46" s="103"/>
      <c r="D46" s="75" t="s">
        <v>148</v>
      </c>
      <c r="E46" s="75" t="s">
        <v>149</v>
      </c>
      <c r="F46" s="75" t="s">
        <v>150</v>
      </c>
      <c r="G46" s="76"/>
      <c r="H46" s="77"/>
      <c r="I46" s="67"/>
      <c r="J46" s="57">
        <f t="shared" si="3"/>
        <v>0</v>
      </c>
      <c r="K46" s="57">
        <f>(J46)*0.25*N2</f>
        <v>0</v>
      </c>
      <c r="L46" s="57"/>
      <c r="M46" s="57"/>
    </row>
    <row r="47" spans="1:13">
      <c r="A47" s="64">
        <v>43556</v>
      </c>
      <c r="B47" s="21" t="s">
        <v>414</v>
      </c>
      <c r="C47" s="103"/>
      <c r="D47" s="21" t="s">
        <v>175</v>
      </c>
      <c r="E47" s="21" t="s">
        <v>419</v>
      </c>
      <c r="F47" s="33" t="s">
        <v>420</v>
      </c>
      <c r="G47" s="57"/>
      <c r="H47" s="54"/>
      <c r="I47" s="67"/>
      <c r="J47" s="57">
        <f t="shared" si="3"/>
        <v>0</v>
      </c>
      <c r="K47" s="57">
        <f>J47*0.25*N2</f>
        <v>0</v>
      </c>
      <c r="L47" s="57"/>
      <c r="M47" s="57"/>
    </row>
    <row r="48" spans="1:13">
      <c r="A48" s="64">
        <v>43556</v>
      </c>
      <c r="B48" s="21" t="s">
        <v>414</v>
      </c>
      <c r="C48" s="103"/>
      <c r="D48" s="21" t="s">
        <v>169</v>
      </c>
      <c r="E48" s="21" t="s">
        <v>170</v>
      </c>
      <c r="F48" s="33" t="s">
        <v>171</v>
      </c>
      <c r="G48" s="57"/>
      <c r="H48" s="54"/>
      <c r="I48" s="67"/>
      <c r="J48" s="57">
        <f t="shared" si="3"/>
        <v>0</v>
      </c>
      <c r="K48" s="57">
        <f>(J48+J49+J50)*0.04*N2</f>
        <v>0</v>
      </c>
      <c r="L48" s="57">
        <f>K48/0.04*0.25</f>
        <v>0</v>
      </c>
      <c r="M48" s="57">
        <f t="shared" ref="M48:M53" si="6">L48-K48</f>
        <v>0</v>
      </c>
    </row>
    <row r="49" spans="1:14">
      <c r="A49" s="64"/>
      <c r="C49" s="103"/>
      <c r="D49" s="21" t="s">
        <v>169</v>
      </c>
      <c r="E49" s="21" t="s">
        <v>170</v>
      </c>
      <c r="F49" s="33" t="s">
        <v>172</v>
      </c>
      <c r="G49" s="57"/>
      <c r="H49" s="54"/>
      <c r="I49" s="67"/>
      <c r="J49" s="57">
        <f t="shared" si="3"/>
        <v>0</v>
      </c>
      <c r="K49" s="57"/>
      <c r="L49" s="57"/>
      <c r="M49" s="57"/>
    </row>
    <row r="50" spans="1:14">
      <c r="A50" s="64"/>
      <c r="C50" s="103"/>
      <c r="D50" s="21" t="s">
        <v>174</v>
      </c>
      <c r="E50" s="21" t="s">
        <v>170</v>
      </c>
      <c r="F50" s="33" t="s">
        <v>171</v>
      </c>
      <c r="G50" s="57"/>
      <c r="H50" s="54"/>
      <c r="I50" s="67"/>
      <c r="J50" s="57">
        <f t="shared" si="3"/>
        <v>0</v>
      </c>
      <c r="K50" s="57"/>
      <c r="L50" s="57"/>
      <c r="M50" s="57"/>
    </row>
    <row r="51" spans="1:14">
      <c r="A51" s="64">
        <v>43556</v>
      </c>
      <c r="B51" s="21" t="s">
        <v>414</v>
      </c>
      <c r="C51" s="103"/>
      <c r="D51" s="21" t="s">
        <v>160</v>
      </c>
      <c r="E51" s="21" t="s">
        <v>161</v>
      </c>
      <c r="F51" s="33" t="s">
        <v>290</v>
      </c>
      <c r="G51" s="57"/>
      <c r="H51" s="54"/>
      <c r="I51" s="67"/>
      <c r="J51" s="57">
        <f t="shared" si="3"/>
        <v>0</v>
      </c>
      <c r="K51" s="57">
        <f>(J51+J52)*0.04*N2</f>
        <v>0</v>
      </c>
      <c r="L51" s="57">
        <f>K51/0.04*0.25</f>
        <v>0</v>
      </c>
      <c r="M51" s="57">
        <f t="shared" si="6"/>
        <v>0</v>
      </c>
    </row>
    <row r="52" spans="1:14">
      <c r="A52" s="64">
        <v>43556</v>
      </c>
      <c r="B52" s="21" t="s">
        <v>414</v>
      </c>
      <c r="C52" s="103"/>
      <c r="D52" s="21" t="s">
        <v>160</v>
      </c>
      <c r="E52" s="21" t="s">
        <v>161</v>
      </c>
      <c r="F52" s="33" t="s">
        <v>162</v>
      </c>
      <c r="G52" s="57"/>
      <c r="H52" s="54"/>
      <c r="I52" s="67"/>
      <c r="J52" s="57">
        <f t="shared" si="3"/>
        <v>0</v>
      </c>
      <c r="K52" s="57"/>
      <c r="L52" s="57"/>
      <c r="M52" s="57"/>
    </row>
    <row r="53" spans="1:14">
      <c r="A53" s="64">
        <v>43556</v>
      </c>
      <c r="B53" s="21" t="s">
        <v>414</v>
      </c>
      <c r="C53" s="103"/>
      <c r="D53" s="21" t="s">
        <v>88</v>
      </c>
      <c r="E53" s="21" t="s">
        <v>181</v>
      </c>
      <c r="F53" s="33" t="s">
        <v>183</v>
      </c>
      <c r="G53" s="57"/>
      <c r="H53" s="54"/>
      <c r="I53" s="68"/>
      <c r="J53" s="57">
        <f t="shared" si="3"/>
        <v>0</v>
      </c>
      <c r="K53" s="57">
        <f>(J53+J54+J55)*0.05*N2</f>
        <v>0</v>
      </c>
      <c r="L53" s="57">
        <f>K53/0.05*0.25</f>
        <v>0</v>
      </c>
      <c r="M53" s="57">
        <f t="shared" si="6"/>
        <v>0</v>
      </c>
    </row>
    <row r="54" spans="1:14">
      <c r="A54" s="64">
        <v>43556</v>
      </c>
      <c r="B54" s="21" t="s">
        <v>414</v>
      </c>
      <c r="C54" s="103"/>
      <c r="D54" s="21" t="s">
        <v>154</v>
      </c>
      <c r="E54" s="21" t="s">
        <v>181</v>
      </c>
      <c r="F54" s="33" t="s">
        <v>182</v>
      </c>
      <c r="G54" s="57"/>
      <c r="H54" s="54"/>
      <c r="I54" s="67"/>
      <c r="J54" s="57">
        <f t="shared" si="3"/>
        <v>0</v>
      </c>
      <c r="K54" s="57"/>
      <c r="L54" s="57"/>
      <c r="M54" s="57"/>
    </row>
    <row r="55" spans="1:14">
      <c r="A55" s="64">
        <v>43556</v>
      </c>
      <c r="B55" s="21" t="s">
        <v>414</v>
      </c>
      <c r="C55" s="103"/>
      <c r="D55" s="21" t="s">
        <v>154</v>
      </c>
      <c r="E55" s="21" t="s">
        <v>181</v>
      </c>
      <c r="F55" s="33" t="s">
        <v>183</v>
      </c>
      <c r="G55" s="57"/>
      <c r="H55" s="54"/>
      <c r="I55" s="67"/>
      <c r="J55" s="57">
        <f t="shared" si="3"/>
        <v>0</v>
      </c>
      <c r="K55" s="57"/>
      <c r="L55" s="57"/>
      <c r="M55" s="57"/>
    </row>
    <row r="56" spans="1:14">
      <c r="A56" s="64">
        <v>43556</v>
      </c>
      <c r="B56" s="21" t="s">
        <v>414</v>
      </c>
      <c r="C56" s="103"/>
      <c r="D56" s="21" t="s">
        <v>164</v>
      </c>
      <c r="E56" s="21" t="s">
        <v>378</v>
      </c>
      <c r="F56" s="33" t="s">
        <v>421</v>
      </c>
      <c r="G56" s="57"/>
      <c r="H56" s="54"/>
      <c r="I56" s="67"/>
      <c r="J56" s="57">
        <f t="shared" si="3"/>
        <v>0</v>
      </c>
      <c r="K56" s="57">
        <f>(J56)*0.03*N2</f>
        <v>0</v>
      </c>
      <c r="L56" s="57">
        <f>K56/0.03*0.25</f>
        <v>0</v>
      </c>
      <c r="M56" s="57">
        <f>L56-K56</f>
        <v>0</v>
      </c>
    </row>
    <row r="57" spans="1:14">
      <c r="A57" s="64">
        <v>43556</v>
      </c>
      <c r="B57" s="21" t="s">
        <v>414</v>
      </c>
      <c r="C57" s="102" t="s">
        <v>83</v>
      </c>
      <c r="D57" s="21" t="s">
        <v>321</v>
      </c>
      <c r="E57" s="21" t="s">
        <v>93</v>
      </c>
      <c r="F57" s="33" t="s">
        <v>94</v>
      </c>
      <c r="G57" s="57"/>
      <c r="H57" s="54"/>
      <c r="I57" s="67"/>
      <c r="J57" s="57">
        <f t="shared" si="3"/>
        <v>0</v>
      </c>
      <c r="K57" s="57">
        <f>(J57)*0.2*N2</f>
        <v>0</v>
      </c>
      <c r="L57" s="57"/>
      <c r="M57" s="57"/>
    </row>
    <row r="58" spans="1:14">
      <c r="A58" s="64">
        <v>43556</v>
      </c>
      <c r="B58" s="21" t="s">
        <v>414</v>
      </c>
      <c r="C58" s="104"/>
      <c r="D58" s="75" t="s">
        <v>320</v>
      </c>
      <c r="E58" s="75" t="s">
        <v>422</v>
      </c>
      <c r="F58" s="75" t="s">
        <v>423</v>
      </c>
      <c r="G58" s="76"/>
      <c r="H58" s="77"/>
      <c r="I58" s="67"/>
      <c r="J58" s="57">
        <f t="shared" si="3"/>
        <v>0</v>
      </c>
      <c r="K58" s="57"/>
      <c r="L58" s="57"/>
      <c r="M58" s="57"/>
    </row>
    <row r="59" spans="1:14">
      <c r="A59" s="64">
        <v>43556</v>
      </c>
      <c r="B59" s="21" t="s">
        <v>414</v>
      </c>
      <c r="C59" s="21" t="s">
        <v>199</v>
      </c>
      <c r="D59" s="21" t="s">
        <v>202</v>
      </c>
      <c r="E59" s="21" t="s">
        <v>93</v>
      </c>
      <c r="F59" s="33" t="s">
        <v>94</v>
      </c>
      <c r="G59" s="57"/>
      <c r="H59" s="54"/>
      <c r="I59" s="68"/>
      <c r="J59" s="57">
        <f t="shared" si="3"/>
        <v>0</v>
      </c>
      <c r="K59" s="57">
        <f>J59*0.25*N2</f>
        <v>0</v>
      </c>
      <c r="L59" s="57"/>
      <c r="M59" s="57"/>
    </row>
    <row r="60" spans="1:14">
      <c r="A60" s="64"/>
      <c r="C60" s="102" t="s">
        <v>235</v>
      </c>
      <c r="D60" s="21" t="s">
        <v>186</v>
      </c>
      <c r="E60" s="21" t="s">
        <v>349</v>
      </c>
      <c r="F60" s="33" t="s">
        <v>350</v>
      </c>
      <c r="G60" s="57"/>
      <c r="H60" s="54"/>
      <c r="I60" s="68"/>
      <c r="J60" s="57">
        <f t="shared" si="3"/>
        <v>0</v>
      </c>
      <c r="K60" s="57"/>
      <c r="L60" s="57"/>
      <c r="M60" s="57"/>
    </row>
    <row r="61" spans="1:14">
      <c r="A61" s="64">
        <v>43556</v>
      </c>
      <c r="B61" s="21" t="s">
        <v>414</v>
      </c>
      <c r="C61" s="103"/>
      <c r="D61" s="21" t="s">
        <v>186</v>
      </c>
      <c r="E61" s="21" t="s">
        <v>349</v>
      </c>
      <c r="F61" s="33" t="s">
        <v>351</v>
      </c>
      <c r="G61" s="57"/>
      <c r="H61" s="54"/>
      <c r="I61" s="68"/>
      <c r="J61" s="57">
        <f t="shared" si="3"/>
        <v>0</v>
      </c>
      <c r="K61" s="57">
        <f>(J61+J63+J60+J62)*0.05*N2</f>
        <v>0</v>
      </c>
      <c r="L61" s="57">
        <f>K61/0.05*0.25</f>
        <v>0</v>
      </c>
      <c r="M61" s="57">
        <f>L61-K61</f>
        <v>0</v>
      </c>
    </row>
    <row r="62" spans="1:14">
      <c r="A62" s="64"/>
      <c r="C62" s="103"/>
      <c r="D62" s="21" t="s">
        <v>189</v>
      </c>
      <c r="E62" s="21" t="s">
        <v>349</v>
      </c>
      <c r="F62" s="33" t="s">
        <v>350</v>
      </c>
      <c r="G62" s="57"/>
      <c r="H62" s="54"/>
      <c r="I62" s="68"/>
      <c r="J62" s="57">
        <f t="shared" si="3"/>
        <v>0</v>
      </c>
      <c r="K62" s="57"/>
      <c r="L62" s="57"/>
      <c r="M62" s="57"/>
    </row>
    <row r="63" spans="1:14">
      <c r="A63" s="64">
        <v>43556</v>
      </c>
      <c r="B63" s="21" t="s">
        <v>414</v>
      </c>
      <c r="C63" s="104"/>
      <c r="D63" s="21" t="s">
        <v>189</v>
      </c>
      <c r="E63" s="21" t="s">
        <v>349</v>
      </c>
      <c r="F63" s="33" t="s">
        <v>351</v>
      </c>
      <c r="G63" s="57"/>
      <c r="H63" s="54"/>
      <c r="I63" s="68"/>
      <c r="J63" s="57">
        <f t="shared" si="3"/>
        <v>0</v>
      </c>
      <c r="K63" s="57"/>
      <c r="L63" s="57"/>
      <c r="M63" s="57"/>
    </row>
    <row r="64" spans="1:14">
      <c r="A64" s="64">
        <v>43556</v>
      </c>
      <c r="B64" s="21" t="s">
        <v>414</v>
      </c>
      <c r="C64" s="102" t="s">
        <v>204</v>
      </c>
      <c r="D64" s="21" t="s">
        <v>209</v>
      </c>
      <c r="E64" s="21" t="s">
        <v>144</v>
      </c>
      <c r="F64" s="33" t="s">
        <v>210</v>
      </c>
      <c r="G64" s="74"/>
      <c r="H64" s="54"/>
      <c r="I64" s="68"/>
      <c r="J64" s="57">
        <f>G64*H64*0.98-I64</f>
        <v>0</v>
      </c>
      <c r="K64" s="57">
        <f>(J64+J65)*0.25*N2</f>
        <v>0</v>
      </c>
      <c r="L64" s="83"/>
      <c r="M64" s="83"/>
      <c r="N64" s="83"/>
    </row>
    <row r="65" spans="1:14">
      <c r="A65" s="64"/>
      <c r="C65" s="103"/>
      <c r="D65" s="21" t="s">
        <v>209</v>
      </c>
      <c r="E65" s="21" t="s">
        <v>144</v>
      </c>
      <c r="F65" s="33" t="s">
        <v>211</v>
      </c>
      <c r="G65" s="74"/>
      <c r="H65" s="54"/>
      <c r="I65" s="68"/>
      <c r="J65" s="57">
        <f>G65*H65*0.98-I65</f>
        <v>0</v>
      </c>
      <c r="K65" s="57"/>
      <c r="L65" s="83"/>
      <c r="M65" s="83"/>
      <c r="N65" s="83"/>
    </row>
    <row r="66" spans="1:14">
      <c r="A66" s="21">
        <v>42795</v>
      </c>
      <c r="C66" s="105" t="s">
        <v>218</v>
      </c>
      <c r="D66" s="105"/>
      <c r="E66" s="21" t="s">
        <v>219</v>
      </c>
      <c r="F66" s="33" t="s">
        <v>219</v>
      </c>
      <c r="G66" s="57"/>
      <c r="H66" s="54"/>
      <c r="I66" s="68"/>
      <c r="J66" s="57">
        <f t="shared" ref="J66:J69" si="7">(G66*H66*0.98)-I66</f>
        <v>0</v>
      </c>
      <c r="K66" s="57">
        <f>(J3+J4+J5+J6+J7+J8+J11+J13+J14+J15+J16+J19+J20+J21+J22+J23+J24+J25+J26+J27+J28+J29+J31+J32+J33+J36+J37+J38+J39+J40+J41+J42+J43+J44+J45+J46+J47+J48+J49+J50+J51+J52+J53+J54+J55+J56+J57+J58+J60+J61+J62+J63)*0.01*N2+(J10+J12+J17)*0.07*N2+(J18+J30+J34+J35)*0.04*N2+(0)*0.08*N2</f>
        <v>0</v>
      </c>
      <c r="L66" s="57"/>
      <c r="M66" s="57"/>
    </row>
    <row r="67" spans="1:14">
      <c r="A67" s="21">
        <v>42795</v>
      </c>
      <c r="C67" s="105"/>
      <c r="D67" s="105"/>
      <c r="E67" s="21" t="s">
        <v>220</v>
      </c>
      <c r="F67" s="33" t="s">
        <v>220</v>
      </c>
      <c r="G67" s="57"/>
      <c r="H67" s="54"/>
      <c r="I67" s="68"/>
      <c r="J67" s="57">
        <f t="shared" si="7"/>
        <v>0</v>
      </c>
      <c r="K67" s="57">
        <f>(J3+J4+J11)*0.06*N2+(J36+J37+J40+J41)*0.03*N2+(J48+J49)*0.07*N2</f>
        <v>0</v>
      </c>
      <c r="L67" s="57"/>
      <c r="M67" s="57"/>
    </row>
    <row r="68" spans="1:14">
      <c r="A68" s="21">
        <v>42795</v>
      </c>
      <c r="C68" s="105"/>
      <c r="D68" s="105"/>
      <c r="E68" s="21" t="s">
        <v>221</v>
      </c>
      <c r="F68" s="33" t="s">
        <v>221</v>
      </c>
      <c r="G68" s="57"/>
      <c r="H68" s="54"/>
      <c r="I68" s="68"/>
      <c r="J68" s="57">
        <f t="shared" si="7"/>
        <v>0</v>
      </c>
      <c r="K68" s="57">
        <f>(J5+J6+J16)*0.06*N2+(J42+J46+J56)*0.07*N2+(J63)*0.03*N2</f>
        <v>0</v>
      </c>
      <c r="L68" s="57"/>
      <c r="M68" s="57"/>
    </row>
    <row r="69" spans="1:14">
      <c r="A69" s="21">
        <v>42795</v>
      </c>
      <c r="C69" s="105"/>
      <c r="D69" s="105"/>
      <c r="E69" s="21" t="s">
        <v>225</v>
      </c>
      <c r="F69" s="33" t="s">
        <v>225</v>
      </c>
      <c r="G69" s="57"/>
      <c r="H69" s="54"/>
      <c r="I69" s="68"/>
      <c r="J69" s="57">
        <f t="shared" si="7"/>
        <v>0</v>
      </c>
      <c r="K69" s="57">
        <f>(J7)*0.06*N2+(J22+J23+J24+J25+J28+J29+J31+J32)*0.03*N2+(J44+J45+J47+J54+J55)*0.07*N2</f>
        <v>0</v>
      </c>
      <c r="L69" s="57"/>
      <c r="M69" s="57"/>
    </row>
    <row r="70" spans="1:14">
      <c r="A70" s="21">
        <v>42795</v>
      </c>
      <c r="C70" s="105"/>
      <c r="D70" s="105"/>
      <c r="E70" s="21" t="s">
        <v>223</v>
      </c>
      <c r="F70" s="33" t="s">
        <v>223</v>
      </c>
      <c r="G70" s="57"/>
      <c r="H70" s="54"/>
      <c r="I70" s="68"/>
      <c r="J70" s="57">
        <v>0</v>
      </c>
      <c r="K70" s="57">
        <f>(J13+J14)*0.06*N2</f>
        <v>0</v>
      </c>
      <c r="L70" s="57"/>
      <c r="M70" s="57"/>
    </row>
    <row r="71" spans="1:14">
      <c r="C71" s="105"/>
      <c r="D71" s="105"/>
      <c r="E71" s="21" t="s">
        <v>224</v>
      </c>
      <c r="F71" s="33" t="s">
        <v>224</v>
      </c>
      <c r="G71" s="57"/>
      <c r="H71" s="54"/>
      <c r="I71" s="68"/>
      <c r="J71" s="57">
        <v>0</v>
      </c>
      <c r="K71" s="57">
        <f>(0)*0.06*N2+(J20+J21+J60+J61)*0.03*N2+(J50+J53)*0.07*N2</f>
        <v>0</v>
      </c>
      <c r="L71" s="57"/>
      <c r="M71" s="57"/>
    </row>
    <row r="72" spans="1:14">
      <c r="C72" s="105"/>
      <c r="D72" s="105"/>
      <c r="E72" s="21" t="s">
        <v>222</v>
      </c>
      <c r="F72" s="33" t="s">
        <v>222</v>
      </c>
      <c r="G72" s="57"/>
      <c r="H72" s="54"/>
      <c r="I72" s="68"/>
      <c r="J72" s="57">
        <v>0</v>
      </c>
      <c r="K72" s="57">
        <f>(J15)*0.06*N2+(J18+J19+J26+J27)*0.03*N2+(J51+J52+J58)*0.07*N2</f>
        <v>0</v>
      </c>
      <c r="L72" s="57"/>
      <c r="M72" s="57"/>
    </row>
    <row r="73" spans="1:14">
      <c r="E73" s="21" t="s">
        <v>226</v>
      </c>
      <c r="F73" s="33" t="s">
        <v>226</v>
      </c>
      <c r="G73" s="57"/>
      <c r="H73" s="54"/>
      <c r="I73" s="68"/>
      <c r="J73" s="57">
        <v>0</v>
      </c>
      <c r="K73" s="57">
        <f>(J8)*0.06*N2+(J33+J38+J39)*0.03*N2+(J43+J57)*0.07*N2</f>
        <v>0</v>
      </c>
      <c r="L73" s="57"/>
      <c r="M73" s="57"/>
    </row>
    <row r="74" spans="1:14">
      <c r="A74" s="21">
        <v>42795</v>
      </c>
      <c r="F74" s="58" t="s">
        <v>227</v>
      </c>
      <c r="G74" s="65">
        <f>SUM(G3:G69)</f>
        <v>0</v>
      </c>
      <c r="H74" s="66"/>
      <c r="I74" s="69">
        <f>SUM(I3:I68)</f>
        <v>0</v>
      </c>
      <c r="J74" s="65">
        <f>SUM(J3:J72)</f>
        <v>0</v>
      </c>
      <c r="K74" s="65">
        <f>J74*N2</f>
        <v>0</v>
      </c>
      <c r="L74" s="57"/>
      <c r="M74" s="57"/>
    </row>
    <row r="75" spans="1:14">
      <c r="F75" s="58" t="s">
        <v>228</v>
      </c>
      <c r="G75" s="65"/>
      <c r="H75" s="66"/>
      <c r="I75" s="69"/>
      <c r="J75" s="65"/>
      <c r="K75" s="65">
        <f>K74*0.4</f>
        <v>0</v>
      </c>
      <c r="L75" s="57"/>
      <c r="M75" s="57"/>
    </row>
    <row r="76" spans="1:14">
      <c r="F76" s="58" t="s">
        <v>261</v>
      </c>
      <c r="G76" s="65"/>
      <c r="H76" s="66"/>
      <c r="I76" s="69"/>
      <c r="J76" s="65"/>
      <c r="K76" s="65">
        <f>K74*0.6</f>
        <v>0</v>
      </c>
      <c r="L76" s="57"/>
      <c r="M76" s="57"/>
    </row>
    <row r="77" spans="1:14">
      <c r="F77" s="33"/>
      <c r="G77" s="57"/>
      <c r="H77" s="54"/>
      <c r="I77" s="68"/>
      <c r="J77" s="57"/>
      <c r="K77" s="57"/>
      <c r="L77" s="57"/>
      <c r="M77" s="57"/>
    </row>
    <row r="78" spans="1:14">
      <c r="A78" s="21">
        <v>42795</v>
      </c>
      <c r="C78" s="21" t="s">
        <v>424</v>
      </c>
      <c r="E78" s="21" t="s">
        <v>230</v>
      </c>
      <c r="F78" s="33"/>
      <c r="G78" s="57"/>
      <c r="H78" s="54"/>
      <c r="I78" s="68"/>
      <c r="J78" s="57"/>
      <c r="K78" s="57">
        <f>(J8+J9+J15)*0.05*N2+M3+M13+M11</f>
        <v>0</v>
      </c>
      <c r="L78" s="57"/>
      <c r="M78" s="57"/>
    </row>
    <row r="79" spans="1:14">
      <c r="A79" s="21">
        <v>42795</v>
      </c>
      <c r="C79" s="21" t="s">
        <v>425</v>
      </c>
      <c r="E79" s="21" t="s">
        <v>230</v>
      </c>
      <c r="F79" s="33"/>
      <c r="G79" s="57"/>
      <c r="H79" s="54"/>
      <c r="I79" s="68"/>
      <c r="J79" s="57"/>
      <c r="K79" s="57">
        <f>M42+M43+M44+M51+M56+M53+M48</f>
        <v>0</v>
      </c>
      <c r="L79" s="57"/>
      <c r="M79" s="57"/>
    </row>
    <row r="80" spans="1:14">
      <c r="A80" s="21">
        <v>42795</v>
      </c>
      <c r="C80" s="21" t="s">
        <v>426</v>
      </c>
      <c r="E80" s="21" t="s">
        <v>233</v>
      </c>
      <c r="F80" s="33"/>
      <c r="G80" s="57"/>
      <c r="H80" s="54"/>
      <c r="I80" s="68"/>
      <c r="J80" s="57"/>
      <c r="K80" s="57">
        <f>(J57)*0.05*N2</f>
        <v>0</v>
      </c>
      <c r="L80" s="57"/>
      <c r="M80" s="57"/>
    </row>
    <row r="81" spans="1:13">
      <c r="A81" s="21">
        <v>42795</v>
      </c>
      <c r="C81" s="21" t="s">
        <v>427</v>
      </c>
      <c r="E81" s="21" t="s">
        <v>230</v>
      </c>
      <c r="F81" s="33"/>
      <c r="G81" s="57"/>
      <c r="H81" s="54"/>
      <c r="I81" s="68"/>
      <c r="J81" s="57"/>
      <c r="K81" s="57">
        <f>(J36+J37+J38+J39)*0.05*N2+M24+M18+M35+M28+M26</f>
        <v>0</v>
      </c>
      <c r="L81" s="57"/>
      <c r="M81" s="57"/>
    </row>
    <row r="82" spans="1:13">
      <c r="C82" s="21" t="s">
        <v>235</v>
      </c>
      <c r="E82" s="21" t="s">
        <v>230</v>
      </c>
      <c r="F82" s="33"/>
      <c r="G82" s="57"/>
      <c r="H82" s="54"/>
      <c r="I82" s="68"/>
      <c r="J82" s="57"/>
      <c r="K82" s="57">
        <f>M61</f>
        <v>0</v>
      </c>
      <c r="L82" s="57"/>
      <c r="M82" s="57"/>
    </row>
    <row r="83" spans="1:13">
      <c r="A83" s="21">
        <v>42795</v>
      </c>
      <c r="C83" s="21" t="s">
        <v>363</v>
      </c>
      <c r="F83" s="33"/>
      <c r="G83" s="57"/>
      <c r="H83" s="54"/>
      <c r="I83" s="68"/>
      <c r="J83" s="57"/>
      <c r="K83" s="57">
        <f>J74*0.07*N2</f>
        <v>0</v>
      </c>
      <c r="L83" s="57"/>
      <c r="M83" s="57"/>
    </row>
    <row r="84" spans="1:13">
      <c r="A84" s="21">
        <v>42795</v>
      </c>
      <c r="C84" s="21" t="s">
        <v>262</v>
      </c>
      <c r="E84" s="21" t="s">
        <v>230</v>
      </c>
      <c r="F84" s="33"/>
      <c r="G84" s="57"/>
      <c r="H84" s="54"/>
      <c r="I84" s="68"/>
      <c r="J84" s="57"/>
      <c r="K84" s="57">
        <f>J74*0.07*N2</f>
        <v>0</v>
      </c>
      <c r="L84" s="57"/>
      <c r="M84" s="57"/>
    </row>
    <row r="85" spans="1:13">
      <c r="F85" s="33"/>
      <c r="G85" s="57"/>
      <c r="H85" s="54"/>
      <c r="I85" s="68"/>
      <c r="J85" s="57"/>
      <c r="K85" s="65">
        <f>K78+K79+K80+K81+K82</f>
        <v>0</v>
      </c>
      <c r="L85" s="57"/>
      <c r="M85" s="57"/>
    </row>
  </sheetData>
  <mergeCells count="7">
    <mergeCell ref="C66:D72"/>
    <mergeCell ref="C3:C17"/>
    <mergeCell ref="C18:C41"/>
    <mergeCell ref="C42:C56"/>
    <mergeCell ref="C57:C58"/>
    <mergeCell ref="C60:C63"/>
    <mergeCell ref="C64:C65"/>
  </mergeCells>
  <phoneticPr fontId="37" type="noConversion"/>
  <conditionalFormatting sqref="E64">
    <cfRule type="containsText" dxfId="14" priority="3" operator="containsText" text="方泽斯">
      <formula>NOT(ISERROR(SEARCH("方泽斯",E64)))</formula>
    </cfRule>
  </conditionalFormatting>
  <conditionalFormatting sqref="E65">
    <cfRule type="containsText" dxfId="13" priority="1" operator="containsText" text="方泽斯">
      <formula>NOT(ISERROR(SEARCH("方泽斯",E65)))</formula>
    </cfRule>
  </conditionalFormatting>
  <conditionalFormatting sqref="E69">
    <cfRule type="containsText" dxfId="12" priority="4" operator="containsText" text="方泽斯">
      <formula>NOT(ISERROR(SEARCH("方泽斯",E69)))</formula>
    </cfRule>
  </conditionalFormatting>
  <conditionalFormatting sqref="E80">
    <cfRule type="containsText" dxfId="11" priority="2" operator="containsText" text="方泽斯">
      <formula>NOT(ISERROR(SEARCH("方泽斯",E80)))</formula>
    </cfRule>
  </conditionalFormatting>
  <pageMargins left="0.75" right="0.75" top="1" bottom="1" header="0.51" footer="0.51"/>
  <pageSetup paperSize="9" scale="7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Y136"/>
  <sheetViews>
    <sheetView zoomScaleSheetLayoutView="100" workbookViewId="0">
      <pane ySplit="2" topLeftCell="A3" activePane="bottomLeft" state="frozen"/>
      <selection pane="bottomLeft" activeCell="D47" sqref="D47:D52"/>
    </sheetView>
  </sheetViews>
  <sheetFormatPr defaultRowHeight="13.5"/>
  <cols>
    <col min="1" max="2" width="10.875" style="21" hidden="1" customWidth="1"/>
    <col min="3" max="3" width="7.625" style="21" customWidth="1"/>
    <col min="4" max="4" width="9" style="21"/>
    <col min="5" max="5" width="9" style="21" customWidth="1"/>
    <col min="6" max="6" width="14" style="21" customWidth="1"/>
    <col min="7" max="7" width="13.5" style="59" customWidth="1"/>
    <col min="8" max="8" width="14.125" style="60" bestFit="1" customWidth="1"/>
    <col min="9" max="9" width="16.625" style="61" customWidth="1"/>
    <col min="10" max="10" width="13.625" style="59" customWidth="1"/>
    <col min="11" max="11" width="16.125" style="59" customWidth="1"/>
    <col min="12" max="12" width="14.375" style="59" customWidth="1"/>
    <col min="13" max="13" width="10.5" style="59" customWidth="1"/>
    <col min="14" max="14" width="10.625" style="21" customWidth="1"/>
    <col min="15" max="15" width="15.75" style="21" customWidth="1"/>
    <col min="16" max="16384" width="9" style="21"/>
  </cols>
  <sheetData>
    <row r="1" spans="1:25">
      <c r="C1" s="21" t="s">
        <v>428</v>
      </c>
    </row>
    <row r="2" spans="1:25" s="22" customFormat="1" ht="21" customHeight="1">
      <c r="A2" s="24"/>
      <c r="B2" s="24"/>
      <c r="C2" s="25" t="s">
        <v>1</v>
      </c>
      <c r="D2" s="25" t="s">
        <v>2</v>
      </c>
      <c r="E2" s="25"/>
      <c r="F2" s="26" t="s">
        <v>3</v>
      </c>
      <c r="G2" s="27" t="s">
        <v>4</v>
      </c>
      <c r="H2" s="28" t="s">
        <v>5</v>
      </c>
      <c r="I2" s="29" t="s">
        <v>6</v>
      </c>
      <c r="J2" s="29" t="s">
        <v>7</v>
      </c>
      <c r="K2" s="38" t="s">
        <v>8</v>
      </c>
      <c r="L2" s="39"/>
      <c r="M2" s="40" t="s">
        <v>9</v>
      </c>
      <c r="N2" s="41">
        <v>7.01</v>
      </c>
      <c r="O2" s="42"/>
      <c r="P2" s="43"/>
      <c r="Q2" s="44"/>
      <c r="R2" s="45"/>
      <c r="S2" s="45"/>
      <c r="W2" s="46"/>
      <c r="X2" s="46"/>
      <c r="Y2" s="46"/>
    </row>
    <row r="3" spans="1:25" ht="15" customHeight="1">
      <c r="A3" s="64">
        <v>43556</v>
      </c>
      <c r="B3" s="21" t="s">
        <v>428</v>
      </c>
      <c r="C3" s="102" t="s">
        <v>10</v>
      </c>
      <c r="D3" s="21" t="s">
        <v>38</v>
      </c>
      <c r="E3" s="21" t="s">
        <v>33</v>
      </c>
      <c r="F3" s="33" t="s">
        <v>34</v>
      </c>
      <c r="G3" s="57"/>
      <c r="H3" s="54"/>
      <c r="I3" s="67"/>
      <c r="J3" s="57">
        <f t="shared" ref="J3:J63" si="0">G3*H3*1-I3</f>
        <v>0</v>
      </c>
      <c r="K3" s="57">
        <f>(J3+J4+J6+J5)*0.2*N2</f>
        <v>0</v>
      </c>
      <c r="L3" s="57"/>
      <c r="M3" s="57"/>
      <c r="N3" s="21" t="s">
        <v>37</v>
      </c>
    </row>
    <row r="4" spans="1:25" ht="15" customHeight="1">
      <c r="A4" s="64">
        <v>43556</v>
      </c>
      <c r="B4" s="21" t="s">
        <v>428</v>
      </c>
      <c r="C4" s="103"/>
      <c r="D4" s="21" t="s">
        <v>38</v>
      </c>
      <c r="E4" s="21" t="s">
        <v>33</v>
      </c>
      <c r="F4" s="33" t="s">
        <v>35</v>
      </c>
      <c r="G4" s="57"/>
      <c r="H4" s="54"/>
      <c r="I4" s="67"/>
      <c r="J4" s="57">
        <f t="shared" si="0"/>
        <v>0</v>
      </c>
      <c r="K4" s="57"/>
      <c r="L4" s="57"/>
      <c r="M4" s="57"/>
    </row>
    <row r="5" spans="1:25" ht="15" customHeight="1">
      <c r="A5" s="64">
        <v>43556</v>
      </c>
      <c r="B5" s="21" t="s">
        <v>428</v>
      </c>
      <c r="C5" s="103"/>
      <c r="D5" s="21" t="s">
        <v>32</v>
      </c>
      <c r="E5" s="21" t="s">
        <v>33</v>
      </c>
      <c r="F5" s="33" t="s">
        <v>35</v>
      </c>
      <c r="G5" s="57"/>
      <c r="H5" s="54"/>
      <c r="I5" s="67"/>
      <c r="J5" s="57">
        <f t="shared" si="0"/>
        <v>0</v>
      </c>
      <c r="K5" s="57"/>
      <c r="L5" s="57"/>
      <c r="M5" s="57"/>
    </row>
    <row r="6" spans="1:25" ht="15" customHeight="1">
      <c r="A6" s="64">
        <v>43556</v>
      </c>
      <c r="B6" s="21" t="s">
        <v>428</v>
      </c>
      <c r="C6" s="103"/>
      <c r="D6" s="21" t="s">
        <v>32</v>
      </c>
      <c r="E6" s="21" t="s">
        <v>33</v>
      </c>
      <c r="F6" s="33" t="s">
        <v>36</v>
      </c>
      <c r="G6" s="57"/>
      <c r="H6" s="54"/>
      <c r="I6" s="67"/>
      <c r="J6" s="57">
        <f t="shared" si="0"/>
        <v>0</v>
      </c>
      <c r="K6" s="57"/>
      <c r="L6" s="57"/>
      <c r="M6" s="57"/>
    </row>
    <row r="7" spans="1:25" ht="15" customHeight="1">
      <c r="A7" s="64">
        <v>43556</v>
      </c>
      <c r="B7" s="21" t="s">
        <v>428</v>
      </c>
      <c r="C7" s="103"/>
      <c r="D7" s="21" t="s">
        <v>39</v>
      </c>
      <c r="E7" s="21" t="s">
        <v>40</v>
      </c>
      <c r="F7" s="33" t="s">
        <v>41</v>
      </c>
      <c r="G7" s="57"/>
      <c r="H7" s="54"/>
      <c r="I7" s="67"/>
      <c r="J7" s="57">
        <f t="shared" si="0"/>
        <v>0</v>
      </c>
      <c r="K7" s="57">
        <f>(J7+J8+J10+J9+J11)*0.05*N2</f>
        <v>0</v>
      </c>
      <c r="L7" s="57">
        <f>K7/0.05*0.25</f>
        <v>0</v>
      </c>
      <c r="M7" s="57">
        <f>L7-K7</f>
        <v>0</v>
      </c>
    </row>
    <row r="8" spans="1:25" ht="15" customHeight="1">
      <c r="A8" s="64">
        <v>43556</v>
      </c>
      <c r="B8" s="21" t="s">
        <v>428</v>
      </c>
      <c r="C8" s="103"/>
      <c r="D8" s="21" t="s">
        <v>39</v>
      </c>
      <c r="E8" s="21" t="s">
        <v>40</v>
      </c>
      <c r="F8" s="33" t="s">
        <v>42</v>
      </c>
      <c r="G8" s="57"/>
      <c r="H8" s="54"/>
      <c r="I8" s="67"/>
      <c r="J8" s="57">
        <f t="shared" si="0"/>
        <v>0</v>
      </c>
      <c r="K8" s="57"/>
      <c r="L8" s="57"/>
      <c r="M8" s="57"/>
    </row>
    <row r="9" spans="1:25" ht="15" customHeight="1">
      <c r="A9" s="64">
        <v>43556</v>
      </c>
      <c r="B9" s="21" t="s">
        <v>428</v>
      </c>
      <c r="C9" s="103"/>
      <c r="D9" s="21" t="s">
        <v>39</v>
      </c>
      <c r="E9" s="21" t="s">
        <v>40</v>
      </c>
      <c r="F9" s="33" t="s">
        <v>43</v>
      </c>
      <c r="G9" s="57"/>
      <c r="H9" s="54"/>
      <c r="I9" s="67"/>
      <c r="J9" s="57">
        <f t="shared" si="0"/>
        <v>0</v>
      </c>
      <c r="K9" s="57"/>
      <c r="L9" s="57"/>
      <c r="M9" s="57"/>
    </row>
    <row r="10" spans="1:25" ht="15" customHeight="1">
      <c r="A10" s="64">
        <v>43556</v>
      </c>
      <c r="B10" s="21" t="s">
        <v>428</v>
      </c>
      <c r="C10" s="103"/>
      <c r="D10" s="21" t="s">
        <v>44</v>
      </c>
      <c r="E10" s="21" t="s">
        <v>40</v>
      </c>
      <c r="F10" s="33" t="s">
        <v>41</v>
      </c>
      <c r="G10" s="57"/>
      <c r="H10" s="54"/>
      <c r="I10" s="67"/>
      <c r="J10" s="57">
        <f t="shared" si="0"/>
        <v>0</v>
      </c>
      <c r="K10" s="57"/>
      <c r="L10" s="57"/>
      <c r="M10" s="57"/>
    </row>
    <row r="11" spans="1:25" ht="15" customHeight="1">
      <c r="A11" s="64">
        <v>43556</v>
      </c>
      <c r="B11" s="21" t="s">
        <v>428</v>
      </c>
      <c r="C11" s="103"/>
      <c r="D11" s="21" t="s">
        <v>73</v>
      </c>
      <c r="E11" s="21" t="s">
        <v>40</v>
      </c>
      <c r="F11" s="33" t="s">
        <v>41</v>
      </c>
      <c r="G11" s="57"/>
      <c r="H11" s="54"/>
      <c r="I11" s="68"/>
      <c r="J11" s="57">
        <f t="shared" si="0"/>
        <v>0</v>
      </c>
      <c r="K11" s="57"/>
      <c r="L11" s="57"/>
      <c r="M11" s="57"/>
    </row>
    <row r="12" spans="1:25" ht="15" customHeight="1">
      <c r="A12" s="64">
        <v>43556</v>
      </c>
      <c r="B12" s="21" t="s">
        <v>428</v>
      </c>
      <c r="C12" s="103"/>
      <c r="D12" s="21" t="s">
        <v>11</v>
      </c>
      <c r="E12" s="21" t="s">
        <v>12</v>
      </c>
      <c r="F12" s="33" t="s">
        <v>13</v>
      </c>
      <c r="G12" s="57"/>
      <c r="H12" s="54"/>
      <c r="I12" s="67"/>
      <c r="J12" s="57">
        <f t="shared" si="0"/>
        <v>0</v>
      </c>
      <c r="K12" s="57">
        <f>(J12)*0.025*N2</f>
        <v>0</v>
      </c>
      <c r="L12" s="57">
        <f>K12/0.025*0.25</f>
        <v>0</v>
      </c>
      <c r="M12" s="57">
        <f t="shared" ref="M12:M17" si="1">L12-K12</f>
        <v>0</v>
      </c>
    </row>
    <row r="13" spans="1:25" ht="15" customHeight="1">
      <c r="A13" s="64">
        <v>43556</v>
      </c>
      <c r="B13" s="21" t="s">
        <v>428</v>
      </c>
      <c r="C13" s="103"/>
      <c r="D13" s="21" t="s">
        <v>77</v>
      </c>
      <c r="E13" s="21" t="s">
        <v>12</v>
      </c>
      <c r="F13" s="33" t="s">
        <v>13</v>
      </c>
      <c r="G13" s="57"/>
      <c r="H13" s="54"/>
      <c r="I13" s="67"/>
      <c r="J13" s="57">
        <f t="shared" si="0"/>
        <v>0</v>
      </c>
      <c r="K13" s="57"/>
      <c r="L13" s="57"/>
      <c r="M13" s="57"/>
    </row>
    <row r="14" spans="1:25" ht="15" customHeight="1">
      <c r="A14" s="64">
        <v>43556</v>
      </c>
      <c r="B14" s="21" t="s">
        <v>428</v>
      </c>
      <c r="C14" s="103"/>
      <c r="D14" s="21" t="s">
        <v>78</v>
      </c>
      <c r="E14" s="21" t="s">
        <v>12</v>
      </c>
      <c r="F14" s="33" t="s">
        <v>14</v>
      </c>
      <c r="G14" s="57"/>
      <c r="H14" s="54"/>
      <c r="I14" s="67"/>
      <c r="J14" s="57">
        <f t="shared" si="0"/>
        <v>0</v>
      </c>
      <c r="K14" s="57">
        <f>(J13+J14+J15)*0.05*N2</f>
        <v>0</v>
      </c>
      <c r="L14" s="57">
        <f t="shared" ref="L14:L19" si="2">K14/0.05*0.25</f>
        <v>0</v>
      </c>
      <c r="M14" s="57">
        <f t="shared" si="1"/>
        <v>0</v>
      </c>
    </row>
    <row r="15" spans="1:25" ht="15" customHeight="1">
      <c r="A15" s="64">
        <v>43556</v>
      </c>
      <c r="B15" s="21" t="s">
        <v>428</v>
      </c>
      <c r="C15" s="103"/>
      <c r="D15" s="21" t="s">
        <v>78</v>
      </c>
      <c r="E15" s="21" t="s">
        <v>12</v>
      </c>
      <c r="F15" s="33" t="s">
        <v>15</v>
      </c>
      <c r="G15" s="57"/>
      <c r="H15" s="54"/>
      <c r="I15" s="67"/>
      <c r="J15" s="57">
        <f t="shared" si="0"/>
        <v>0</v>
      </c>
      <c r="K15" s="57"/>
      <c r="L15" s="57"/>
      <c r="M15" s="57"/>
    </row>
    <row r="16" spans="1:25" ht="15" customHeight="1">
      <c r="A16" s="64">
        <v>43556</v>
      </c>
      <c r="B16" s="21" t="s">
        <v>428</v>
      </c>
      <c r="C16" s="103"/>
      <c r="D16" s="21" t="s">
        <v>66</v>
      </c>
      <c r="E16" s="21" t="s">
        <v>63</v>
      </c>
      <c r="F16" s="33" t="s">
        <v>64</v>
      </c>
      <c r="G16" s="57"/>
      <c r="H16" s="54"/>
      <c r="I16" s="67"/>
      <c r="J16" s="57">
        <f t="shared" si="0"/>
        <v>0</v>
      </c>
      <c r="K16" s="57"/>
      <c r="L16" s="57"/>
      <c r="M16" s="57"/>
    </row>
    <row r="17" spans="1:13" ht="15" customHeight="1">
      <c r="A17" s="64">
        <v>43556</v>
      </c>
      <c r="B17" s="21" t="s">
        <v>428</v>
      </c>
      <c r="C17" s="103"/>
      <c r="D17" s="21" t="s">
        <v>62</v>
      </c>
      <c r="E17" s="21" t="s">
        <v>63</v>
      </c>
      <c r="F17" s="33" t="s">
        <v>64</v>
      </c>
      <c r="G17" s="57"/>
      <c r="H17" s="54"/>
      <c r="I17" s="68"/>
      <c r="J17" s="57">
        <f t="shared" si="0"/>
        <v>0</v>
      </c>
      <c r="K17" s="57">
        <f>(J17+J16)*0.05*N2</f>
        <v>0</v>
      </c>
      <c r="L17" s="57">
        <f t="shared" si="2"/>
        <v>0</v>
      </c>
      <c r="M17" s="57">
        <f t="shared" si="1"/>
        <v>0</v>
      </c>
    </row>
    <row r="18" spans="1:13" ht="15" customHeight="1">
      <c r="A18" s="64">
        <v>43556</v>
      </c>
      <c r="B18" s="21" t="s">
        <v>428</v>
      </c>
      <c r="C18" s="103"/>
      <c r="D18" s="21" t="s">
        <v>61</v>
      </c>
      <c r="E18" s="21" t="s">
        <v>57</v>
      </c>
      <c r="F18" s="33" t="s">
        <v>58</v>
      </c>
      <c r="G18" s="57"/>
      <c r="H18" s="54"/>
      <c r="I18" s="67"/>
      <c r="J18" s="57">
        <f t="shared" si="0"/>
        <v>0</v>
      </c>
      <c r="K18" s="57"/>
      <c r="L18" s="57"/>
      <c r="M18" s="57"/>
    </row>
    <row r="19" spans="1:13" ht="15" customHeight="1">
      <c r="A19" s="64">
        <v>43556</v>
      </c>
      <c r="B19" s="21" t="s">
        <v>428</v>
      </c>
      <c r="C19" s="103"/>
      <c r="D19" s="21" t="s">
        <v>30</v>
      </c>
      <c r="E19" s="21" t="s">
        <v>20</v>
      </c>
      <c r="F19" s="33" t="s">
        <v>21</v>
      </c>
      <c r="G19" s="57"/>
      <c r="H19" s="54"/>
      <c r="I19" s="67"/>
      <c r="J19" s="57">
        <f t="shared" si="0"/>
        <v>0</v>
      </c>
      <c r="K19" s="57">
        <f>(J19+J20+J21+J23+J22)*0.05*N2</f>
        <v>0</v>
      </c>
      <c r="L19" s="57">
        <f t="shared" si="2"/>
        <v>0</v>
      </c>
      <c r="M19" s="57">
        <f>L19-K19</f>
        <v>0</v>
      </c>
    </row>
    <row r="20" spans="1:13" ht="15" customHeight="1">
      <c r="A20" s="64">
        <v>43556</v>
      </c>
      <c r="B20" s="21" t="s">
        <v>428</v>
      </c>
      <c r="C20" s="103"/>
      <c r="D20" s="21" t="s">
        <v>30</v>
      </c>
      <c r="E20" s="21" t="s">
        <v>20</v>
      </c>
      <c r="F20" s="33" t="s">
        <v>23</v>
      </c>
      <c r="G20" s="57"/>
      <c r="H20" s="54"/>
      <c r="I20" s="67"/>
      <c r="J20" s="57">
        <f t="shared" si="0"/>
        <v>0</v>
      </c>
      <c r="K20" s="57"/>
      <c r="L20" s="57"/>
      <c r="M20" s="57"/>
    </row>
    <row r="21" spans="1:13" ht="15" customHeight="1">
      <c r="A21" s="64">
        <v>43556</v>
      </c>
      <c r="B21" s="21" t="s">
        <v>428</v>
      </c>
      <c r="C21" s="103"/>
      <c r="D21" s="21" t="s">
        <v>31</v>
      </c>
      <c r="E21" s="21" t="s">
        <v>20</v>
      </c>
      <c r="F21" s="33" t="s">
        <v>21</v>
      </c>
      <c r="G21" s="57"/>
      <c r="H21" s="54"/>
      <c r="I21" s="67"/>
      <c r="J21" s="57">
        <f t="shared" si="0"/>
        <v>0</v>
      </c>
      <c r="K21" s="57"/>
      <c r="L21" s="57"/>
      <c r="M21" s="57"/>
    </row>
    <row r="22" spans="1:13" ht="15" customHeight="1">
      <c r="A22" s="64">
        <v>43556</v>
      </c>
      <c r="B22" s="21" t="s">
        <v>428</v>
      </c>
      <c r="C22" s="103"/>
      <c r="D22" s="21" t="s">
        <v>31</v>
      </c>
      <c r="E22" s="21" t="s">
        <v>20</v>
      </c>
      <c r="F22" s="33" t="s">
        <v>22</v>
      </c>
      <c r="G22" s="57"/>
      <c r="H22" s="54"/>
      <c r="I22" s="68"/>
      <c r="J22" s="57">
        <f t="shared" si="0"/>
        <v>0</v>
      </c>
      <c r="K22" s="57"/>
      <c r="L22" s="57"/>
      <c r="M22" s="57"/>
    </row>
    <row r="23" spans="1:13" ht="15" customHeight="1">
      <c r="A23" s="64">
        <v>43556</v>
      </c>
      <c r="B23" s="21" t="s">
        <v>428</v>
      </c>
      <c r="C23" s="103"/>
      <c r="D23" s="21" t="s">
        <v>31</v>
      </c>
      <c r="E23" s="21" t="s">
        <v>20</v>
      </c>
      <c r="F23" s="33" t="s">
        <v>23</v>
      </c>
      <c r="G23" s="57"/>
      <c r="H23" s="54"/>
      <c r="I23" s="67"/>
      <c r="J23" s="57">
        <f t="shared" si="0"/>
        <v>0</v>
      </c>
      <c r="K23" s="57"/>
      <c r="L23" s="57"/>
      <c r="M23" s="57"/>
    </row>
    <row r="24" spans="1:13" ht="15" customHeight="1">
      <c r="A24" s="64">
        <v>43556</v>
      </c>
      <c r="B24" s="21" t="s">
        <v>428</v>
      </c>
      <c r="C24" s="103"/>
      <c r="D24" s="21" t="s">
        <v>19</v>
      </c>
      <c r="E24" s="21" t="s">
        <v>20</v>
      </c>
      <c r="F24" s="33" t="s">
        <v>21</v>
      </c>
      <c r="G24" s="57"/>
      <c r="H24" s="54"/>
      <c r="I24" s="67"/>
      <c r="J24" s="57">
        <f t="shared" si="0"/>
        <v>0</v>
      </c>
      <c r="K24" s="57">
        <f>(J24+J25)*0.015*N2</f>
        <v>0</v>
      </c>
      <c r="L24" s="57">
        <f>K24/0.015*0.25</f>
        <v>0</v>
      </c>
      <c r="M24" s="57">
        <f>L24-K24</f>
        <v>0</v>
      </c>
    </row>
    <row r="25" spans="1:13" ht="15" customHeight="1">
      <c r="A25" s="64">
        <v>43556</v>
      </c>
      <c r="B25" s="21" t="s">
        <v>428</v>
      </c>
      <c r="C25" s="103"/>
      <c r="D25" s="21" t="s">
        <v>19</v>
      </c>
      <c r="E25" s="21" t="s">
        <v>20</v>
      </c>
      <c r="F25" s="33" t="s">
        <v>22</v>
      </c>
      <c r="G25" s="57"/>
      <c r="H25" s="54"/>
      <c r="I25" s="67"/>
      <c r="J25" s="57">
        <f t="shared" si="0"/>
        <v>0</v>
      </c>
      <c r="K25" s="57"/>
      <c r="L25" s="57"/>
      <c r="M25" s="57"/>
    </row>
    <row r="26" spans="1:13" ht="15" customHeight="1">
      <c r="A26" s="64">
        <v>43556</v>
      </c>
      <c r="B26" s="21" t="s">
        <v>428</v>
      </c>
      <c r="C26" s="103"/>
      <c r="D26" s="21" t="s">
        <v>51</v>
      </c>
      <c r="E26" s="21" t="s">
        <v>52</v>
      </c>
      <c r="F26" s="33" t="s">
        <v>53</v>
      </c>
      <c r="G26" s="57"/>
      <c r="H26" s="54"/>
      <c r="I26" s="67"/>
      <c r="J26" s="57">
        <f t="shared" si="0"/>
        <v>0</v>
      </c>
      <c r="K26" s="57">
        <f>(J26+J27)*0.05*N2</f>
        <v>0</v>
      </c>
      <c r="L26" s="57">
        <f>K26/0.05*0.25</f>
        <v>0</v>
      </c>
      <c r="M26" s="57">
        <f>L26-K26</f>
        <v>0</v>
      </c>
    </row>
    <row r="27" spans="1:13" ht="15" customHeight="1">
      <c r="A27" s="64">
        <v>43556</v>
      </c>
      <c r="B27" s="21" t="s">
        <v>428</v>
      </c>
      <c r="C27" s="103"/>
      <c r="D27" s="21" t="s">
        <v>51</v>
      </c>
      <c r="E27" s="21" t="s">
        <v>52</v>
      </c>
      <c r="F27" s="33" t="s">
        <v>54</v>
      </c>
      <c r="G27" s="57"/>
      <c r="H27" s="54"/>
      <c r="I27" s="67"/>
      <c r="J27" s="57">
        <f t="shared" si="0"/>
        <v>0</v>
      </c>
      <c r="K27" s="57"/>
      <c r="L27" s="57"/>
      <c r="M27" s="57"/>
    </row>
    <row r="28" spans="1:13" ht="15" customHeight="1">
      <c r="A28" s="64">
        <v>43556</v>
      </c>
      <c r="B28" s="21" t="s">
        <v>428</v>
      </c>
      <c r="C28" s="103"/>
      <c r="D28" s="21" t="s">
        <v>60</v>
      </c>
      <c r="E28" s="21" t="s">
        <v>57</v>
      </c>
      <c r="F28" s="33" t="s">
        <v>58</v>
      </c>
      <c r="G28" s="57"/>
      <c r="H28" s="54"/>
      <c r="I28" s="67"/>
      <c r="J28" s="57">
        <f t="shared" si="0"/>
        <v>0</v>
      </c>
      <c r="K28" s="57">
        <f>(J28+J32+J18)*0.05*N2</f>
        <v>0</v>
      </c>
      <c r="L28" s="57">
        <f>K28/0.05*0.25</f>
        <v>0</v>
      </c>
      <c r="M28" s="57">
        <f>L28-K28</f>
        <v>0</v>
      </c>
    </row>
    <row r="29" spans="1:13" ht="15" customHeight="1">
      <c r="A29" s="64">
        <v>43556</v>
      </c>
      <c r="B29" s="21" t="s">
        <v>428</v>
      </c>
      <c r="C29" s="103"/>
      <c r="D29" s="21" t="s">
        <v>50</v>
      </c>
      <c r="E29" s="21" t="s">
        <v>46</v>
      </c>
      <c r="F29" s="33" t="s">
        <v>47</v>
      </c>
      <c r="G29" s="57"/>
      <c r="H29" s="54"/>
      <c r="I29" s="67"/>
      <c r="J29" s="57">
        <f t="shared" si="0"/>
        <v>0</v>
      </c>
      <c r="K29" s="57"/>
      <c r="L29" s="57"/>
      <c r="M29" s="57"/>
    </row>
    <row r="30" spans="1:13" ht="15" customHeight="1">
      <c r="A30" s="64">
        <v>43556</v>
      </c>
      <c r="B30" s="21" t="s">
        <v>428</v>
      </c>
      <c r="C30" s="103"/>
      <c r="D30" s="21" t="s">
        <v>50</v>
      </c>
      <c r="E30" s="21" t="s">
        <v>46</v>
      </c>
      <c r="F30" s="33" t="s">
        <v>49</v>
      </c>
      <c r="G30" s="57"/>
      <c r="H30" s="54"/>
      <c r="I30" s="68"/>
      <c r="J30" s="57">
        <f t="shared" si="0"/>
        <v>0</v>
      </c>
      <c r="K30" s="57"/>
      <c r="L30" s="57"/>
      <c r="M30" s="57"/>
    </row>
    <row r="31" spans="1:13" ht="15" customHeight="1">
      <c r="A31" s="64">
        <v>43556</v>
      </c>
      <c r="B31" s="21" t="s">
        <v>428</v>
      </c>
      <c r="C31" s="103"/>
      <c r="D31" s="21" t="s">
        <v>45</v>
      </c>
      <c r="E31" s="21" t="s">
        <v>46</v>
      </c>
      <c r="F31" s="33" t="s">
        <v>47</v>
      </c>
      <c r="G31" s="57"/>
      <c r="H31" s="54"/>
      <c r="I31" s="67"/>
      <c r="J31" s="57">
        <f t="shared" si="0"/>
        <v>0</v>
      </c>
      <c r="K31" s="57">
        <f>(J29+J30+J31)*0.03*N2</f>
        <v>0</v>
      </c>
      <c r="L31" s="57">
        <f>K31/0.03*0.25</f>
        <v>0</v>
      </c>
      <c r="M31" s="57">
        <f>L31-K31</f>
        <v>0</v>
      </c>
    </row>
    <row r="32" spans="1:13" ht="15" customHeight="1">
      <c r="A32" s="64">
        <v>43556</v>
      </c>
      <c r="B32" s="21" t="s">
        <v>428</v>
      </c>
      <c r="C32" s="103"/>
      <c r="D32" s="21" t="s">
        <v>56</v>
      </c>
      <c r="E32" s="21" t="s">
        <v>57</v>
      </c>
      <c r="F32" s="33" t="s">
        <v>58</v>
      </c>
      <c r="G32" s="57"/>
      <c r="H32" s="54"/>
      <c r="I32" s="67"/>
      <c r="J32" s="57">
        <f t="shared" si="0"/>
        <v>0</v>
      </c>
      <c r="K32" s="57"/>
      <c r="L32" s="57"/>
      <c r="M32" s="57"/>
    </row>
    <row r="33" spans="1:13" ht="15" customHeight="1">
      <c r="A33" s="64">
        <v>43556</v>
      </c>
      <c r="B33" s="21" t="s">
        <v>428</v>
      </c>
      <c r="C33" s="103"/>
      <c r="D33" s="21" t="s">
        <v>72</v>
      </c>
      <c r="E33" s="21" t="s">
        <v>17</v>
      </c>
      <c r="F33" s="33" t="s">
        <v>18</v>
      </c>
      <c r="G33" s="57"/>
      <c r="H33" s="54"/>
      <c r="I33" s="67"/>
      <c r="J33" s="57">
        <f t="shared" si="0"/>
        <v>0</v>
      </c>
      <c r="K33" s="57">
        <f>(J33+J34+J36+J35)*0.05*N2</f>
        <v>0</v>
      </c>
      <c r="L33" s="57">
        <f>K33/0.05*0.25</f>
        <v>0</v>
      </c>
      <c r="M33" s="57">
        <f>L33-K33</f>
        <v>0</v>
      </c>
    </row>
    <row r="34" spans="1:13" ht="15" customHeight="1">
      <c r="A34" s="64">
        <v>43556</v>
      </c>
      <c r="B34" s="21" t="s">
        <v>428</v>
      </c>
      <c r="C34" s="103"/>
      <c r="D34" s="21" t="s">
        <v>29</v>
      </c>
      <c r="E34" s="21" t="s">
        <v>17</v>
      </c>
      <c r="F34" s="33" t="s">
        <v>18</v>
      </c>
      <c r="G34" s="57"/>
      <c r="H34" s="54"/>
      <c r="I34" s="67"/>
      <c r="J34" s="57">
        <f t="shared" si="0"/>
        <v>0</v>
      </c>
      <c r="K34" s="57"/>
      <c r="L34" s="57"/>
      <c r="M34" s="57"/>
    </row>
    <row r="35" spans="1:13" ht="15" customHeight="1">
      <c r="A35" s="64"/>
      <c r="C35" s="103"/>
      <c r="D35" s="21" t="s">
        <v>73</v>
      </c>
      <c r="E35" s="21" t="s">
        <v>17</v>
      </c>
      <c r="F35" s="33" t="s">
        <v>18</v>
      </c>
      <c r="G35" s="57"/>
      <c r="H35" s="54"/>
      <c r="I35" s="67"/>
      <c r="J35" s="57">
        <f t="shared" si="0"/>
        <v>0</v>
      </c>
      <c r="K35" s="57"/>
      <c r="L35" s="57"/>
      <c r="M35" s="57"/>
    </row>
    <row r="36" spans="1:13" ht="15" customHeight="1">
      <c r="A36" s="64">
        <v>43556</v>
      </c>
      <c r="B36" s="21" t="s">
        <v>428</v>
      </c>
      <c r="C36" s="103"/>
      <c r="D36" s="21" t="s">
        <v>73</v>
      </c>
      <c r="E36" s="21" t="s">
        <v>17</v>
      </c>
      <c r="F36" s="33" t="s">
        <v>74</v>
      </c>
      <c r="G36" s="57"/>
      <c r="H36" s="54"/>
      <c r="I36" s="67"/>
      <c r="J36" s="57">
        <f t="shared" si="0"/>
        <v>0</v>
      </c>
      <c r="K36" s="57"/>
      <c r="L36" s="57"/>
      <c r="M36" s="57"/>
    </row>
    <row r="37" spans="1:13" ht="15" customHeight="1">
      <c r="A37" s="64"/>
      <c r="C37" s="104"/>
      <c r="D37" s="75" t="s">
        <v>79</v>
      </c>
      <c r="E37" s="75" t="s">
        <v>80</v>
      </c>
      <c r="F37" s="75" t="s">
        <v>81</v>
      </c>
      <c r="G37" s="76"/>
      <c r="H37" s="77"/>
      <c r="I37" s="67"/>
      <c r="J37" s="57">
        <f t="shared" si="0"/>
        <v>0</v>
      </c>
      <c r="K37" s="57">
        <f>(J37)*0.25*N2</f>
        <v>0</v>
      </c>
      <c r="L37" s="57"/>
      <c r="M37" s="57"/>
    </row>
    <row r="38" spans="1:13" ht="15" customHeight="1">
      <c r="A38" s="64">
        <v>43556</v>
      </c>
      <c r="B38" s="21" t="s">
        <v>428</v>
      </c>
      <c r="C38" s="105" t="s">
        <v>83</v>
      </c>
      <c r="D38" s="21" t="s">
        <v>105</v>
      </c>
      <c r="E38" s="21" t="s">
        <v>99</v>
      </c>
      <c r="F38" s="33" t="s">
        <v>100</v>
      </c>
      <c r="G38" s="57"/>
      <c r="H38" s="54"/>
      <c r="I38" s="67"/>
      <c r="J38" s="57">
        <f t="shared" si="0"/>
        <v>0</v>
      </c>
      <c r="K38" s="57">
        <f>(J39+J38+J44+J45)*0.03*N2</f>
        <v>0</v>
      </c>
      <c r="L38" s="57">
        <f>K38/0.03*0.25</f>
        <v>0</v>
      </c>
      <c r="M38" s="57">
        <f>L38-K38</f>
        <v>0</v>
      </c>
    </row>
    <row r="39" spans="1:13">
      <c r="A39" s="64">
        <v>43556</v>
      </c>
      <c r="B39" s="21" t="s">
        <v>428</v>
      </c>
      <c r="C39" s="105"/>
      <c r="D39" s="21" t="s">
        <v>105</v>
      </c>
      <c r="E39" s="21" t="s">
        <v>99</v>
      </c>
      <c r="F39" s="33" t="s">
        <v>101</v>
      </c>
      <c r="G39" s="57"/>
      <c r="H39" s="54"/>
      <c r="I39" s="67"/>
      <c r="J39" s="57">
        <f t="shared" si="0"/>
        <v>0</v>
      </c>
      <c r="K39" s="57"/>
      <c r="L39" s="57">
        <f>K39/0.05*0.25</f>
        <v>0</v>
      </c>
      <c r="M39" s="57">
        <f>L39-K39</f>
        <v>0</v>
      </c>
    </row>
    <row r="40" spans="1:13">
      <c r="A40" s="64">
        <v>43556</v>
      </c>
      <c r="B40" s="21" t="s">
        <v>428</v>
      </c>
      <c r="C40" s="105"/>
      <c r="D40" s="21" t="s">
        <v>88</v>
      </c>
      <c r="E40" s="21" t="s">
        <v>89</v>
      </c>
      <c r="F40" s="33" t="s">
        <v>90</v>
      </c>
      <c r="G40" s="57"/>
      <c r="H40" s="54"/>
      <c r="I40" s="67"/>
      <c r="J40" s="57">
        <f t="shared" si="0"/>
        <v>0</v>
      </c>
      <c r="K40" s="57"/>
      <c r="L40" s="57"/>
      <c r="M40" s="57"/>
    </row>
    <row r="41" spans="1:13">
      <c r="A41" s="64">
        <v>43556</v>
      </c>
      <c r="B41" s="21" t="s">
        <v>428</v>
      </c>
      <c r="C41" s="105"/>
      <c r="D41" s="21" t="s">
        <v>88</v>
      </c>
      <c r="E41" s="21" t="s">
        <v>89</v>
      </c>
      <c r="F41" s="33" t="s">
        <v>90</v>
      </c>
      <c r="G41" s="57"/>
      <c r="H41" s="54"/>
      <c r="I41" s="67"/>
      <c r="J41" s="57">
        <f t="shared" si="0"/>
        <v>0</v>
      </c>
      <c r="K41" s="57"/>
      <c r="L41" s="57"/>
      <c r="M41" s="57"/>
    </row>
    <row r="42" spans="1:13">
      <c r="A42" s="64">
        <v>43556</v>
      </c>
      <c r="B42" s="21" t="s">
        <v>428</v>
      </c>
      <c r="C42" s="105"/>
      <c r="D42" s="21" t="s">
        <v>103</v>
      </c>
      <c r="E42" s="21" t="s">
        <v>93</v>
      </c>
      <c r="F42" s="33" t="s">
        <v>94</v>
      </c>
      <c r="G42" s="74"/>
      <c r="H42" s="54"/>
      <c r="I42" s="67"/>
      <c r="J42" s="57">
        <f t="shared" si="0"/>
        <v>0</v>
      </c>
      <c r="K42" s="57">
        <f>(J42+J43+J46+J47+J48+J53+J54+J55+J56)*0.2*N2</f>
        <v>0</v>
      </c>
      <c r="L42" s="57"/>
      <c r="M42" s="57"/>
    </row>
    <row r="43" spans="1:13">
      <c r="A43" s="64">
        <v>43556</v>
      </c>
      <c r="B43" s="21" t="s">
        <v>428</v>
      </c>
      <c r="C43" s="105"/>
      <c r="D43" s="21" t="s">
        <v>103</v>
      </c>
      <c r="E43" s="21" t="s">
        <v>93</v>
      </c>
      <c r="F43" s="33" t="s">
        <v>97</v>
      </c>
      <c r="G43" s="57"/>
      <c r="H43" s="54"/>
      <c r="I43" s="67"/>
      <c r="J43" s="57">
        <f t="shared" si="0"/>
        <v>0</v>
      </c>
      <c r="K43" s="57"/>
      <c r="L43" s="57"/>
      <c r="M43" s="57"/>
    </row>
    <row r="44" spans="1:13">
      <c r="A44" s="64">
        <v>43556</v>
      </c>
      <c r="B44" s="21" t="s">
        <v>428</v>
      </c>
      <c r="C44" s="105"/>
      <c r="D44" s="21" t="s">
        <v>98</v>
      </c>
      <c r="E44" s="21" t="s">
        <v>99</v>
      </c>
      <c r="F44" s="33" t="s">
        <v>100</v>
      </c>
      <c r="G44" s="57"/>
      <c r="H44" s="54"/>
      <c r="I44" s="68"/>
      <c r="J44" s="57">
        <f t="shared" si="0"/>
        <v>0</v>
      </c>
      <c r="K44" s="57"/>
      <c r="L44" s="57">
        <f>K44/0.03*0.25</f>
        <v>0</v>
      </c>
      <c r="M44" s="57">
        <f>L44-K44</f>
        <v>0</v>
      </c>
    </row>
    <row r="45" spans="1:13">
      <c r="A45" s="64">
        <v>43556</v>
      </c>
      <c r="B45" s="21" t="s">
        <v>428</v>
      </c>
      <c r="C45" s="105"/>
      <c r="D45" s="21" t="s">
        <v>98</v>
      </c>
      <c r="E45" s="21" t="s">
        <v>99</v>
      </c>
      <c r="F45" s="33" t="s">
        <v>101</v>
      </c>
      <c r="G45" s="57"/>
      <c r="H45" s="54"/>
      <c r="I45" s="67"/>
      <c r="J45" s="57">
        <f t="shared" si="0"/>
        <v>0</v>
      </c>
      <c r="K45" s="57"/>
      <c r="L45" s="57"/>
      <c r="M45" s="57"/>
    </row>
    <row r="46" spans="1:13">
      <c r="A46" s="64">
        <v>43556</v>
      </c>
      <c r="B46" s="21" t="s">
        <v>428</v>
      </c>
      <c r="C46" s="105"/>
      <c r="D46" s="21" t="s">
        <v>102</v>
      </c>
      <c r="E46" s="21" t="s">
        <v>93</v>
      </c>
      <c r="F46" s="33" t="s">
        <v>94</v>
      </c>
      <c r="G46" s="74"/>
      <c r="H46" s="54"/>
      <c r="I46" s="68"/>
      <c r="J46" s="57">
        <f t="shared" si="0"/>
        <v>0</v>
      </c>
      <c r="K46" s="57"/>
      <c r="L46" s="57"/>
      <c r="M46" s="57"/>
    </row>
    <row r="47" spans="1:13">
      <c r="A47" s="64">
        <v>43556</v>
      </c>
      <c r="B47" s="21" t="s">
        <v>428</v>
      </c>
      <c r="C47" s="105"/>
      <c r="D47" s="21" t="s">
        <v>102</v>
      </c>
      <c r="E47" s="21" t="s">
        <v>93</v>
      </c>
      <c r="F47" s="33" t="s">
        <v>97</v>
      </c>
      <c r="G47" s="74"/>
      <c r="H47" s="54"/>
      <c r="I47" s="67"/>
      <c r="J47" s="57">
        <f t="shared" si="0"/>
        <v>0</v>
      </c>
      <c r="K47" s="57"/>
      <c r="L47" s="57"/>
      <c r="M47" s="57"/>
    </row>
    <row r="48" spans="1:13">
      <c r="A48" s="64"/>
      <c r="C48" s="105"/>
      <c r="D48" s="21" t="s">
        <v>19</v>
      </c>
      <c r="E48" s="21" t="s">
        <v>93</v>
      </c>
      <c r="F48" s="33" t="s">
        <v>94</v>
      </c>
      <c r="G48" s="74"/>
      <c r="H48" s="54"/>
      <c r="I48" s="67"/>
      <c r="J48" s="57">
        <f t="shared" si="0"/>
        <v>0</v>
      </c>
      <c r="K48" s="57"/>
      <c r="L48" s="57"/>
      <c r="M48" s="57"/>
    </row>
    <row r="49" spans="1:13">
      <c r="A49" s="64">
        <v>43556</v>
      </c>
      <c r="B49" s="21" t="s">
        <v>428</v>
      </c>
      <c r="C49" s="105"/>
      <c r="D49" s="21" t="s">
        <v>324</v>
      </c>
      <c r="E49" s="21" t="s">
        <v>85</v>
      </c>
      <c r="F49" s="33" t="s">
        <v>86</v>
      </c>
      <c r="G49" s="57"/>
      <c r="H49" s="54"/>
      <c r="I49" s="67"/>
      <c r="J49" s="57">
        <f t="shared" si="0"/>
        <v>0</v>
      </c>
      <c r="K49" s="57"/>
      <c r="L49" s="57"/>
      <c r="M49" s="57"/>
    </row>
    <row r="50" spans="1:13">
      <c r="A50" s="64">
        <v>43556</v>
      </c>
      <c r="B50" s="21" t="s">
        <v>428</v>
      </c>
      <c r="C50" s="105"/>
      <c r="D50" s="21" t="s">
        <v>324</v>
      </c>
      <c r="E50" s="21" t="s">
        <v>85</v>
      </c>
      <c r="F50" s="33" t="s">
        <v>87</v>
      </c>
      <c r="G50" s="57"/>
      <c r="H50" s="54"/>
      <c r="I50" s="67"/>
      <c r="J50" s="57">
        <f t="shared" si="0"/>
        <v>0</v>
      </c>
      <c r="K50" s="57"/>
      <c r="L50" s="57"/>
      <c r="M50" s="57"/>
    </row>
    <row r="51" spans="1:13">
      <c r="A51" s="64">
        <v>43556</v>
      </c>
      <c r="B51" s="21" t="s">
        <v>428</v>
      </c>
      <c r="C51" s="105"/>
      <c r="D51" s="21" t="s">
        <v>84</v>
      </c>
      <c r="E51" s="21" t="s">
        <v>85</v>
      </c>
      <c r="F51" s="33" t="s">
        <v>86</v>
      </c>
      <c r="G51" s="57"/>
      <c r="H51" s="54"/>
      <c r="I51" s="68"/>
      <c r="J51" s="57">
        <f t="shared" si="0"/>
        <v>0</v>
      </c>
      <c r="K51" s="57"/>
      <c r="L51" s="57"/>
      <c r="M51" s="57"/>
    </row>
    <row r="52" spans="1:13">
      <c r="A52" s="64">
        <v>43556</v>
      </c>
      <c r="B52" s="21" t="s">
        <v>428</v>
      </c>
      <c r="C52" s="105"/>
      <c r="D52" s="21" t="s">
        <v>84</v>
      </c>
      <c r="E52" s="21" t="s">
        <v>85</v>
      </c>
      <c r="F52" s="33" t="s">
        <v>87</v>
      </c>
      <c r="G52" s="57"/>
      <c r="H52" s="54"/>
      <c r="I52" s="67"/>
      <c r="J52" s="57">
        <f t="shared" si="0"/>
        <v>0</v>
      </c>
      <c r="K52" s="57"/>
      <c r="L52" s="57"/>
      <c r="M52" s="57"/>
    </row>
    <row r="53" spans="1:13">
      <c r="A53" s="64">
        <v>43556</v>
      </c>
      <c r="B53" s="21" t="s">
        <v>428</v>
      </c>
      <c r="C53" s="105"/>
      <c r="D53" s="21" t="s">
        <v>92</v>
      </c>
      <c r="E53" s="21" t="s">
        <v>93</v>
      </c>
      <c r="F53" s="33" t="s">
        <v>94</v>
      </c>
      <c r="G53" s="57"/>
      <c r="H53" s="54"/>
      <c r="I53" s="67"/>
      <c r="J53" s="57">
        <f t="shared" si="0"/>
        <v>0</v>
      </c>
      <c r="K53" s="57"/>
      <c r="L53" s="57"/>
      <c r="M53" s="57"/>
    </row>
    <row r="54" spans="1:13">
      <c r="A54" s="64">
        <v>43556</v>
      </c>
      <c r="B54" s="21" t="s">
        <v>428</v>
      </c>
      <c r="C54" s="105"/>
      <c r="D54" s="21" t="s">
        <v>92</v>
      </c>
      <c r="E54" s="21" t="s">
        <v>93</v>
      </c>
      <c r="F54" s="33" t="s">
        <v>97</v>
      </c>
      <c r="G54" s="57"/>
      <c r="H54" s="54"/>
      <c r="I54" s="67"/>
      <c r="J54" s="57">
        <f t="shared" si="0"/>
        <v>0</v>
      </c>
      <c r="K54" s="57"/>
      <c r="L54" s="57"/>
      <c r="M54" s="57"/>
    </row>
    <row r="55" spans="1:13">
      <c r="A55" s="64">
        <v>43556</v>
      </c>
      <c r="B55" s="21" t="s">
        <v>428</v>
      </c>
      <c r="C55" s="105"/>
      <c r="D55" s="21" t="s">
        <v>96</v>
      </c>
      <c r="E55" s="21" t="s">
        <v>93</v>
      </c>
      <c r="F55" s="33" t="s">
        <v>94</v>
      </c>
      <c r="G55" s="57"/>
      <c r="H55" s="54"/>
      <c r="I55" s="67"/>
      <c r="J55" s="57">
        <f t="shared" si="0"/>
        <v>0</v>
      </c>
      <c r="K55" s="57"/>
      <c r="L55" s="57"/>
      <c r="M55" s="57"/>
    </row>
    <row r="56" spans="1:13">
      <c r="A56" s="64">
        <v>43556</v>
      </c>
      <c r="B56" s="21" t="s">
        <v>428</v>
      </c>
      <c r="C56" s="105"/>
      <c r="D56" s="21" t="s">
        <v>96</v>
      </c>
      <c r="E56" s="21" t="s">
        <v>93</v>
      </c>
      <c r="F56" s="33" t="s">
        <v>97</v>
      </c>
      <c r="G56" s="57"/>
      <c r="H56" s="54"/>
      <c r="I56" s="67"/>
      <c r="J56" s="57">
        <f t="shared" si="0"/>
        <v>0</v>
      </c>
      <c r="K56" s="57"/>
      <c r="L56" s="57"/>
      <c r="M56" s="57"/>
    </row>
    <row r="57" spans="1:13">
      <c r="A57" s="64">
        <v>43556</v>
      </c>
      <c r="B57" s="21" t="s">
        <v>428</v>
      </c>
      <c r="C57" s="105"/>
      <c r="D57" s="21" t="s">
        <v>95</v>
      </c>
      <c r="E57" s="21" t="s">
        <v>85</v>
      </c>
      <c r="F57" s="33" t="s">
        <v>86</v>
      </c>
      <c r="G57" s="57"/>
      <c r="H57" s="54"/>
      <c r="I57" s="67"/>
      <c r="J57" s="57">
        <f t="shared" si="0"/>
        <v>0</v>
      </c>
      <c r="K57" s="57">
        <f>(J57+J51+J52+J58+J49+J50)*0.03*N2</f>
        <v>0</v>
      </c>
      <c r="L57" s="57">
        <f>K57/0.03*0.25</f>
        <v>0</v>
      </c>
      <c r="M57" s="57">
        <f>L57-K57</f>
        <v>0</v>
      </c>
    </row>
    <row r="58" spans="1:13">
      <c r="A58" s="64"/>
      <c r="C58" s="105"/>
      <c r="D58" s="21" t="s">
        <v>95</v>
      </c>
      <c r="E58" s="21" t="s">
        <v>85</v>
      </c>
      <c r="F58" s="33" t="s">
        <v>87</v>
      </c>
      <c r="G58" s="57"/>
      <c r="H58" s="54"/>
      <c r="I58" s="67"/>
      <c r="J58" s="57">
        <f t="shared" si="0"/>
        <v>0</v>
      </c>
      <c r="K58" s="57"/>
      <c r="L58" s="57"/>
      <c r="M58" s="57"/>
    </row>
    <row r="59" spans="1:13">
      <c r="A59" s="64">
        <v>43556</v>
      </c>
      <c r="B59" s="21" t="s">
        <v>428</v>
      </c>
      <c r="C59" s="102" t="s">
        <v>243</v>
      </c>
      <c r="D59" s="21" t="s">
        <v>112</v>
      </c>
      <c r="E59" s="21" t="s">
        <v>113</v>
      </c>
      <c r="F59" s="33" t="s">
        <v>114</v>
      </c>
      <c r="G59" s="57"/>
      <c r="H59" s="54"/>
      <c r="I59" s="67"/>
      <c r="J59" s="57">
        <f t="shared" si="0"/>
        <v>0</v>
      </c>
      <c r="K59" s="57"/>
      <c r="L59" s="57"/>
      <c r="M59" s="57"/>
    </row>
    <row r="60" spans="1:13">
      <c r="A60" s="64"/>
      <c r="C60" s="103"/>
      <c r="D60" s="21" t="s">
        <v>112</v>
      </c>
      <c r="E60" s="21" t="s">
        <v>113</v>
      </c>
      <c r="F60" s="33" t="s">
        <v>115</v>
      </c>
      <c r="G60" s="57"/>
      <c r="H60" s="54"/>
      <c r="I60" s="67"/>
      <c r="J60" s="57">
        <f t="shared" si="0"/>
        <v>0</v>
      </c>
      <c r="K60" s="57"/>
      <c r="L60" s="57"/>
      <c r="M60" s="57"/>
    </row>
    <row r="61" spans="1:13">
      <c r="A61" s="64">
        <v>43556</v>
      </c>
      <c r="B61" s="21" t="s">
        <v>428</v>
      </c>
      <c r="C61" s="103"/>
      <c r="D61" s="21" t="s">
        <v>137</v>
      </c>
      <c r="E61" s="21" t="s">
        <v>113</v>
      </c>
      <c r="F61" s="33" t="s">
        <v>114</v>
      </c>
      <c r="G61" s="57"/>
      <c r="H61" s="54"/>
      <c r="I61" s="68"/>
      <c r="J61" s="57">
        <f t="shared" si="0"/>
        <v>0</v>
      </c>
      <c r="K61" s="57"/>
      <c r="L61" s="57">
        <f>K61/0.03*0.25</f>
        <v>0</v>
      </c>
      <c r="M61" s="57">
        <f t="shared" ref="M61:M65" si="3">L61-K61</f>
        <v>0</v>
      </c>
    </row>
    <row r="62" spans="1:13">
      <c r="A62" s="64">
        <v>43556</v>
      </c>
      <c r="B62" s="21" t="s">
        <v>428</v>
      </c>
      <c r="C62" s="103"/>
      <c r="D62" s="21" t="s">
        <v>137</v>
      </c>
      <c r="E62" s="21" t="s">
        <v>113</v>
      </c>
      <c r="F62" s="33" t="s">
        <v>115</v>
      </c>
      <c r="G62" s="57"/>
      <c r="H62" s="54"/>
      <c r="I62" s="67"/>
      <c r="J62" s="57">
        <f t="shared" si="0"/>
        <v>0</v>
      </c>
      <c r="K62" s="57"/>
      <c r="L62" s="57"/>
      <c r="M62" s="57"/>
    </row>
    <row r="63" spans="1:13">
      <c r="A63" s="64"/>
      <c r="C63" s="103"/>
      <c r="D63" s="21" t="s">
        <v>126</v>
      </c>
      <c r="E63" s="21" t="s">
        <v>113</v>
      </c>
      <c r="F63" s="33" t="s">
        <v>114</v>
      </c>
      <c r="G63" s="57"/>
      <c r="H63" s="54"/>
      <c r="I63" s="67"/>
      <c r="J63" s="57">
        <f t="shared" si="0"/>
        <v>0</v>
      </c>
      <c r="K63" s="57"/>
      <c r="L63" s="57"/>
      <c r="M63" s="57"/>
    </row>
    <row r="64" spans="1:13">
      <c r="A64" s="64"/>
      <c r="C64" s="103"/>
      <c r="D64" s="21" t="s">
        <v>133</v>
      </c>
      <c r="E64" s="21" t="s">
        <v>429</v>
      </c>
      <c r="F64" s="33" t="s">
        <v>430</v>
      </c>
      <c r="G64" s="57"/>
      <c r="H64" s="54"/>
      <c r="I64" s="67"/>
      <c r="J64" s="57">
        <f t="shared" ref="J64:J115" si="4">G64*H64*1-I64</f>
        <v>0</v>
      </c>
      <c r="K64" s="57">
        <f>(J64)*0.03*N2</f>
        <v>0</v>
      </c>
      <c r="L64" s="57">
        <f>K64/0.03*0.25</f>
        <v>0</v>
      </c>
      <c r="M64" s="57">
        <f t="shared" si="3"/>
        <v>0</v>
      </c>
    </row>
    <row r="65" spans="1:13">
      <c r="A65" s="64">
        <v>43556</v>
      </c>
      <c r="B65" s="21" t="s">
        <v>428</v>
      </c>
      <c r="C65" s="103"/>
      <c r="D65" s="21" t="s">
        <v>120</v>
      </c>
      <c r="E65" s="21" t="s">
        <v>121</v>
      </c>
      <c r="F65" s="33" t="s">
        <v>122</v>
      </c>
      <c r="G65" s="57"/>
      <c r="H65" s="54"/>
      <c r="I65" s="67"/>
      <c r="J65" s="57">
        <f t="shared" si="4"/>
        <v>0</v>
      </c>
      <c r="K65" s="57">
        <f>(J65+J67+J68+J69+J66)*0.05*N2</f>
        <v>0</v>
      </c>
      <c r="L65" s="57">
        <f>K65/0.05*0.25</f>
        <v>0</v>
      </c>
      <c r="M65" s="57">
        <f t="shared" si="3"/>
        <v>0</v>
      </c>
    </row>
    <row r="66" spans="1:13">
      <c r="A66" s="64"/>
      <c r="C66" s="103"/>
      <c r="D66" s="21" t="s">
        <v>120</v>
      </c>
      <c r="E66" s="21" t="s">
        <v>121</v>
      </c>
      <c r="F66" s="33" t="s">
        <v>124</v>
      </c>
      <c r="G66" s="57"/>
      <c r="H66" s="54"/>
      <c r="I66" s="67"/>
      <c r="J66" s="57">
        <f t="shared" si="4"/>
        <v>0</v>
      </c>
      <c r="K66" s="57"/>
      <c r="L66" s="57"/>
      <c r="M66" s="57"/>
    </row>
    <row r="67" spans="1:13">
      <c r="A67" s="64">
        <v>43556</v>
      </c>
      <c r="B67" s="21" t="s">
        <v>428</v>
      </c>
      <c r="C67" s="103"/>
      <c r="D67" s="21" t="s">
        <v>123</v>
      </c>
      <c r="E67" s="21" t="s">
        <v>121</v>
      </c>
      <c r="F67" s="33" t="s">
        <v>122</v>
      </c>
      <c r="G67" s="57"/>
      <c r="H67" s="54"/>
      <c r="I67" s="67"/>
      <c r="J67" s="57">
        <f t="shared" si="4"/>
        <v>0</v>
      </c>
      <c r="K67" s="57"/>
      <c r="L67" s="57"/>
      <c r="M67" s="57"/>
    </row>
    <row r="68" spans="1:13">
      <c r="A68" s="64">
        <v>43556</v>
      </c>
      <c r="B68" s="21" t="s">
        <v>428</v>
      </c>
      <c r="C68" s="103"/>
      <c r="D68" s="21" t="s">
        <v>125</v>
      </c>
      <c r="E68" s="21" t="s">
        <v>121</v>
      </c>
      <c r="F68" s="33" t="s">
        <v>122</v>
      </c>
      <c r="G68" s="57"/>
      <c r="H68" s="54"/>
      <c r="I68" s="68"/>
      <c r="J68" s="57">
        <f t="shared" si="4"/>
        <v>0</v>
      </c>
      <c r="K68" s="57"/>
      <c r="L68" s="57"/>
      <c r="M68" s="57"/>
    </row>
    <row r="69" spans="1:13">
      <c r="A69" s="64"/>
      <c r="C69" s="103"/>
      <c r="D69" s="21" t="s">
        <v>125</v>
      </c>
      <c r="E69" s="21" t="s">
        <v>121</v>
      </c>
      <c r="F69" s="33" t="s">
        <v>124</v>
      </c>
      <c r="G69" s="57"/>
      <c r="H69" s="54"/>
      <c r="I69" s="67"/>
      <c r="J69" s="57">
        <f t="shared" si="4"/>
        <v>0</v>
      </c>
      <c r="K69" s="57"/>
      <c r="L69" s="57"/>
      <c r="M69" s="57"/>
    </row>
    <row r="70" spans="1:13">
      <c r="A70" s="64">
        <v>43556</v>
      </c>
      <c r="B70" s="21" t="s">
        <v>428</v>
      </c>
      <c r="C70" s="103"/>
      <c r="D70" s="21" t="s">
        <v>128</v>
      </c>
      <c r="E70" s="21" t="s">
        <v>129</v>
      </c>
      <c r="F70" s="33" t="s">
        <v>130</v>
      </c>
      <c r="G70" s="57"/>
      <c r="H70" s="54"/>
      <c r="I70" s="67"/>
      <c r="J70" s="57">
        <f t="shared" si="4"/>
        <v>0</v>
      </c>
      <c r="K70" s="57">
        <f>(J70)*0.05*N2</f>
        <v>0</v>
      </c>
      <c r="L70" s="57">
        <f>K70/0.05*0.25</f>
        <v>0</v>
      </c>
      <c r="M70" s="57">
        <f>L70-K70</f>
        <v>0</v>
      </c>
    </row>
    <row r="71" spans="1:13">
      <c r="A71" s="64"/>
      <c r="C71" s="103"/>
      <c r="D71" s="21" t="s">
        <v>107</v>
      </c>
      <c r="E71" s="21" t="s">
        <v>108</v>
      </c>
      <c r="F71" s="33" t="s">
        <v>109</v>
      </c>
      <c r="G71" s="57"/>
      <c r="H71" s="54"/>
      <c r="I71" s="68"/>
      <c r="J71" s="57">
        <f t="shared" si="4"/>
        <v>0</v>
      </c>
      <c r="K71" s="57">
        <f>(J71+J73+J74+J75+J72)*0.03*N2</f>
        <v>0</v>
      </c>
      <c r="L71" s="57">
        <f>K71/0.03*0.25</f>
        <v>0</v>
      </c>
      <c r="M71" s="57">
        <f>L71-K71</f>
        <v>0</v>
      </c>
    </row>
    <row r="72" spans="1:13">
      <c r="A72" s="64"/>
      <c r="C72" s="103"/>
      <c r="D72" s="21" t="s">
        <v>107</v>
      </c>
      <c r="E72" s="21" t="s">
        <v>108</v>
      </c>
      <c r="F72" s="33" t="s">
        <v>110</v>
      </c>
      <c r="G72" s="57"/>
      <c r="H72" s="54"/>
      <c r="I72" s="67"/>
      <c r="J72" s="57">
        <f t="shared" si="4"/>
        <v>0</v>
      </c>
      <c r="K72" s="57"/>
      <c r="L72" s="57"/>
      <c r="M72" s="57"/>
    </row>
    <row r="73" spans="1:13">
      <c r="A73" s="64">
        <v>43556</v>
      </c>
      <c r="B73" s="21" t="s">
        <v>428</v>
      </c>
      <c r="C73" s="103"/>
      <c r="D73" s="21" t="s">
        <v>111</v>
      </c>
      <c r="E73" s="21" t="s">
        <v>108</v>
      </c>
      <c r="F73" s="33" t="s">
        <v>109</v>
      </c>
      <c r="G73" s="57"/>
      <c r="H73" s="54"/>
      <c r="I73" s="67"/>
      <c r="J73" s="57">
        <f t="shared" si="4"/>
        <v>0</v>
      </c>
      <c r="K73" s="57"/>
      <c r="L73" s="57"/>
      <c r="M73" s="57"/>
    </row>
    <row r="74" spans="1:13">
      <c r="A74" s="64"/>
      <c r="C74" s="103"/>
      <c r="D74" s="21" t="s">
        <v>111</v>
      </c>
      <c r="E74" s="21" t="s">
        <v>108</v>
      </c>
      <c r="F74" s="33" t="s">
        <v>110</v>
      </c>
      <c r="G74" s="57"/>
      <c r="H74" s="54"/>
      <c r="I74" s="67"/>
      <c r="J74" s="57">
        <f t="shared" si="4"/>
        <v>0</v>
      </c>
      <c r="K74" s="57"/>
      <c r="L74" s="57"/>
      <c r="M74" s="57"/>
    </row>
    <row r="75" spans="1:13">
      <c r="A75" s="64"/>
      <c r="C75" s="103"/>
      <c r="D75" s="21" t="s">
        <v>138</v>
      </c>
      <c r="E75" s="21" t="s">
        <v>108</v>
      </c>
      <c r="F75" s="33" t="s">
        <v>109</v>
      </c>
      <c r="G75" s="57"/>
      <c r="H75" s="54"/>
      <c r="I75" s="67"/>
      <c r="J75" s="57">
        <f t="shared" si="4"/>
        <v>0</v>
      </c>
      <c r="K75" s="57"/>
      <c r="L75" s="57"/>
      <c r="M75" s="57"/>
    </row>
    <row r="76" spans="1:13">
      <c r="A76" s="64">
        <v>43556</v>
      </c>
      <c r="B76" s="21" t="s">
        <v>428</v>
      </c>
      <c r="C76" s="105" t="s">
        <v>397</v>
      </c>
      <c r="D76" s="21" t="s">
        <v>140</v>
      </c>
      <c r="E76" s="21" t="s">
        <v>141</v>
      </c>
      <c r="F76" s="33" t="s">
        <v>153</v>
      </c>
      <c r="G76" s="57"/>
      <c r="H76" s="54"/>
      <c r="I76" s="68"/>
      <c r="J76" s="57">
        <f t="shared" si="4"/>
        <v>0</v>
      </c>
      <c r="K76" s="57">
        <f>(J76+J90+J91+J92)*0.03*N2</f>
        <v>0</v>
      </c>
      <c r="L76" s="57">
        <f>K76/0.03*0.25</f>
        <v>0</v>
      </c>
      <c r="M76" s="57">
        <f>L76-K76</f>
        <v>0</v>
      </c>
    </row>
    <row r="77" spans="1:13">
      <c r="A77" s="64"/>
      <c r="C77" s="105"/>
      <c r="D77" s="21" t="s">
        <v>140</v>
      </c>
      <c r="E77" s="21" t="s">
        <v>144</v>
      </c>
      <c r="F77" s="33" t="s">
        <v>145</v>
      </c>
      <c r="G77" s="57"/>
      <c r="H77" s="54"/>
      <c r="I77" s="67"/>
      <c r="J77" s="57">
        <f t="shared" si="4"/>
        <v>0</v>
      </c>
      <c r="K77" s="57"/>
      <c r="L77" s="57">
        <f>K77/0.05*0.25</f>
        <v>0</v>
      </c>
      <c r="M77" s="57">
        <f>L77-K77</f>
        <v>0</v>
      </c>
    </row>
    <row r="78" spans="1:13">
      <c r="A78" s="64">
        <v>43556</v>
      </c>
      <c r="B78" s="21" t="s">
        <v>428</v>
      </c>
      <c r="C78" s="105"/>
      <c r="D78" s="21" t="s">
        <v>146</v>
      </c>
      <c r="E78" s="21" t="s">
        <v>144</v>
      </c>
      <c r="F78" s="33" t="s">
        <v>145</v>
      </c>
      <c r="G78" s="57"/>
      <c r="H78" s="54"/>
      <c r="I78" s="67"/>
      <c r="J78" s="57">
        <f t="shared" si="4"/>
        <v>0</v>
      </c>
      <c r="K78" s="57"/>
      <c r="L78" s="57"/>
      <c r="M78" s="57"/>
    </row>
    <row r="79" spans="1:13">
      <c r="A79" s="64">
        <v>43556</v>
      </c>
      <c r="B79" s="21" t="s">
        <v>428</v>
      </c>
      <c r="C79" s="105"/>
      <c r="D79" s="21" t="s">
        <v>169</v>
      </c>
      <c r="E79" s="21" t="s">
        <v>170</v>
      </c>
      <c r="F79" s="33" t="s">
        <v>172</v>
      </c>
      <c r="G79" s="57"/>
      <c r="H79" s="54"/>
      <c r="I79" s="67"/>
      <c r="J79" s="57">
        <f t="shared" si="4"/>
        <v>0</v>
      </c>
      <c r="K79" s="57">
        <f>(J79+J80+J81)*0.04*N2</f>
        <v>0</v>
      </c>
      <c r="L79" s="57">
        <f>K79/0.04*0.25</f>
        <v>0</v>
      </c>
      <c r="M79" s="57">
        <f>L79-K79</f>
        <v>0</v>
      </c>
    </row>
    <row r="80" spans="1:13">
      <c r="A80" s="64"/>
      <c r="C80" s="105"/>
      <c r="D80" s="21" t="s">
        <v>169</v>
      </c>
      <c r="E80" s="21" t="s">
        <v>170</v>
      </c>
      <c r="F80" s="33" t="s">
        <v>173</v>
      </c>
      <c r="G80" s="57"/>
      <c r="H80" s="54"/>
      <c r="I80" s="67"/>
      <c r="J80" s="57">
        <f t="shared" si="4"/>
        <v>0</v>
      </c>
      <c r="K80" s="57"/>
      <c r="L80" s="57"/>
      <c r="M80" s="57"/>
    </row>
    <row r="81" spans="1:13">
      <c r="A81" s="64"/>
      <c r="C81" s="105"/>
      <c r="D81" s="21" t="s">
        <v>174</v>
      </c>
      <c r="E81" s="21" t="s">
        <v>170</v>
      </c>
      <c r="F81" s="33" t="s">
        <v>172</v>
      </c>
      <c r="G81" s="57"/>
      <c r="H81" s="54"/>
      <c r="I81" s="67"/>
      <c r="J81" s="57">
        <f t="shared" si="4"/>
        <v>0</v>
      </c>
      <c r="K81" s="57"/>
      <c r="L81" s="57"/>
      <c r="M81" s="57"/>
    </row>
    <row r="82" spans="1:13">
      <c r="A82" s="64">
        <v>43556</v>
      </c>
      <c r="B82" s="21" t="s">
        <v>428</v>
      </c>
      <c r="C82" s="105"/>
      <c r="D82" s="21" t="s">
        <v>166</v>
      </c>
      <c r="E82" s="21" t="s">
        <v>144</v>
      </c>
      <c r="F82" s="33" t="s">
        <v>145</v>
      </c>
      <c r="G82" s="57"/>
      <c r="H82" s="54"/>
      <c r="I82" s="67"/>
      <c r="J82" s="57">
        <f t="shared" si="4"/>
        <v>0</v>
      </c>
      <c r="K82" s="57">
        <f>(J82+J83+J85+J77+J78)*0.05*N2</f>
        <v>0</v>
      </c>
      <c r="L82" s="57">
        <f>K82/0.05*0.25</f>
        <v>0</v>
      </c>
      <c r="M82" s="57">
        <f t="shared" ref="M82:M86" si="5">L82-K82</f>
        <v>0</v>
      </c>
    </row>
    <row r="83" spans="1:13">
      <c r="A83" s="64">
        <v>43556</v>
      </c>
      <c r="B83" s="21" t="s">
        <v>428</v>
      </c>
      <c r="C83" s="105"/>
      <c r="D83" s="21" t="s">
        <v>166</v>
      </c>
      <c r="E83" s="21" t="s">
        <v>144</v>
      </c>
      <c r="F83" s="33" t="s">
        <v>147</v>
      </c>
      <c r="G83" s="57"/>
      <c r="H83" s="54"/>
      <c r="I83" s="67"/>
      <c r="J83" s="57">
        <f t="shared" si="4"/>
        <v>0</v>
      </c>
      <c r="K83" s="57"/>
      <c r="L83" s="57"/>
      <c r="M83" s="57"/>
    </row>
    <row r="84" spans="1:13">
      <c r="A84" s="64">
        <v>43556</v>
      </c>
      <c r="B84" s="21" t="s">
        <v>428</v>
      </c>
      <c r="C84" s="105"/>
      <c r="D84" s="21" t="s">
        <v>169</v>
      </c>
      <c r="E84" s="21" t="s">
        <v>181</v>
      </c>
      <c r="F84" s="33" t="s">
        <v>183</v>
      </c>
      <c r="G84" s="57"/>
      <c r="H84" s="54"/>
      <c r="I84" s="67"/>
      <c r="J84" s="57">
        <f t="shared" si="4"/>
        <v>0</v>
      </c>
      <c r="K84" s="57">
        <f>(J84+J102+J103+J104+J105+J101)*0.05*N2</f>
        <v>0</v>
      </c>
      <c r="L84" s="57">
        <f>K84/0.05*0.25</f>
        <v>0</v>
      </c>
      <c r="M84" s="57">
        <f t="shared" si="5"/>
        <v>0</v>
      </c>
    </row>
    <row r="85" spans="1:13">
      <c r="A85" s="64"/>
      <c r="C85" s="105"/>
      <c r="D85" s="21" t="s">
        <v>165</v>
      </c>
      <c r="E85" s="21" t="s">
        <v>144</v>
      </c>
      <c r="F85" s="33" t="s">
        <v>145</v>
      </c>
      <c r="G85" s="57"/>
      <c r="H85" s="54"/>
      <c r="I85" s="67"/>
      <c r="J85" s="57">
        <f t="shared" si="4"/>
        <v>0</v>
      </c>
      <c r="K85" s="57"/>
      <c r="L85" s="57"/>
      <c r="M85" s="57"/>
    </row>
    <row r="86" spans="1:13">
      <c r="A86" s="64">
        <v>43556</v>
      </c>
      <c r="B86" s="21" t="s">
        <v>428</v>
      </c>
      <c r="C86" s="105"/>
      <c r="D86" s="75" t="s">
        <v>158</v>
      </c>
      <c r="E86" s="75" t="s">
        <v>149</v>
      </c>
      <c r="F86" s="75" t="s">
        <v>150</v>
      </c>
      <c r="G86" s="76"/>
      <c r="H86" s="77"/>
      <c r="I86" s="68"/>
      <c r="J86" s="57">
        <f t="shared" si="4"/>
        <v>0</v>
      </c>
      <c r="K86" s="57"/>
      <c r="L86" s="57">
        <f>K86/0.05*0.25</f>
        <v>0</v>
      </c>
      <c r="M86" s="57">
        <f t="shared" si="5"/>
        <v>0</v>
      </c>
    </row>
    <row r="87" spans="1:13">
      <c r="A87" s="64">
        <v>43556</v>
      </c>
      <c r="B87" s="21" t="s">
        <v>428</v>
      </c>
      <c r="C87" s="105"/>
      <c r="D87" s="75" t="s">
        <v>158</v>
      </c>
      <c r="E87" s="75" t="s">
        <v>149</v>
      </c>
      <c r="F87" s="75" t="s">
        <v>151</v>
      </c>
      <c r="G87" s="76"/>
      <c r="H87" s="77"/>
      <c r="I87" s="67"/>
      <c r="J87" s="57">
        <f t="shared" si="4"/>
        <v>0</v>
      </c>
      <c r="K87" s="57"/>
      <c r="L87" s="57"/>
      <c r="M87" s="57"/>
    </row>
    <row r="88" spans="1:13">
      <c r="A88" s="64">
        <v>43556</v>
      </c>
      <c r="B88" s="21" t="s">
        <v>428</v>
      </c>
      <c r="C88" s="105"/>
      <c r="D88" s="75" t="s">
        <v>148</v>
      </c>
      <c r="E88" s="75" t="s">
        <v>149</v>
      </c>
      <c r="F88" s="75" t="s">
        <v>150</v>
      </c>
      <c r="G88" s="76"/>
      <c r="H88" s="77"/>
      <c r="I88" s="67"/>
      <c r="J88" s="57">
        <f t="shared" si="4"/>
        <v>0</v>
      </c>
      <c r="K88" s="57">
        <f>(J88+J89+J93+J94+J86+J87)*0.25*N2</f>
        <v>0</v>
      </c>
      <c r="L88" s="57"/>
      <c r="M88" s="57"/>
    </row>
    <row r="89" spans="1:13">
      <c r="A89" s="64"/>
      <c r="C89" s="105"/>
      <c r="D89" s="75" t="s">
        <v>148</v>
      </c>
      <c r="E89" s="75" t="s">
        <v>149</v>
      </c>
      <c r="F89" s="75" t="s">
        <v>151</v>
      </c>
      <c r="G89" s="76"/>
      <c r="H89" s="77"/>
      <c r="I89" s="67"/>
      <c r="J89" s="57">
        <f t="shared" si="4"/>
        <v>0</v>
      </c>
      <c r="K89" s="57"/>
      <c r="L89" s="57"/>
      <c r="M89" s="57"/>
    </row>
    <row r="90" spans="1:13">
      <c r="A90" s="64">
        <v>43556</v>
      </c>
      <c r="B90" s="21" t="s">
        <v>428</v>
      </c>
      <c r="C90" s="105"/>
      <c r="D90" s="21" t="s">
        <v>152</v>
      </c>
      <c r="E90" s="21" t="s">
        <v>141</v>
      </c>
      <c r="F90" s="33" t="s">
        <v>153</v>
      </c>
      <c r="G90" s="57"/>
      <c r="H90" s="54"/>
      <c r="I90" s="67"/>
      <c r="J90" s="57">
        <f t="shared" si="4"/>
        <v>0</v>
      </c>
      <c r="K90" s="57"/>
      <c r="L90" s="57"/>
      <c r="M90" s="57"/>
    </row>
    <row r="91" spans="1:13">
      <c r="A91" s="64">
        <v>43556</v>
      </c>
      <c r="B91" s="21" t="s">
        <v>428</v>
      </c>
      <c r="C91" s="105"/>
      <c r="D91" s="21" t="s">
        <v>152</v>
      </c>
      <c r="E91" s="21" t="s">
        <v>141</v>
      </c>
      <c r="F91" s="33" t="s">
        <v>142</v>
      </c>
      <c r="G91" s="57"/>
      <c r="H91" s="54"/>
      <c r="I91" s="67"/>
      <c r="J91" s="57">
        <f t="shared" si="4"/>
        <v>0</v>
      </c>
      <c r="K91" s="57"/>
      <c r="L91" s="57">
        <f>K91/0.05*0.25</f>
        <v>0</v>
      </c>
      <c r="M91" s="57">
        <f>L91-K91</f>
        <v>0</v>
      </c>
    </row>
    <row r="92" spans="1:13">
      <c r="A92" s="64">
        <v>43556</v>
      </c>
      <c r="B92" s="21" t="s">
        <v>428</v>
      </c>
      <c r="C92" s="105"/>
      <c r="D92" s="21" t="s">
        <v>152</v>
      </c>
      <c r="E92" s="21" t="s">
        <v>141</v>
      </c>
      <c r="F92" s="33" t="s">
        <v>143</v>
      </c>
      <c r="G92" s="57"/>
      <c r="H92" s="54"/>
      <c r="I92" s="67"/>
      <c r="J92" s="57">
        <f t="shared" si="4"/>
        <v>0</v>
      </c>
      <c r="K92" s="57"/>
      <c r="L92" s="57"/>
      <c r="M92" s="57"/>
    </row>
    <row r="93" spans="1:13">
      <c r="A93" s="64">
        <v>43556</v>
      </c>
      <c r="B93" s="21" t="s">
        <v>428</v>
      </c>
      <c r="C93" s="105"/>
      <c r="D93" s="75" t="s">
        <v>164</v>
      </c>
      <c r="E93" s="75" t="s">
        <v>149</v>
      </c>
      <c r="F93" s="75" t="s">
        <v>150</v>
      </c>
      <c r="G93" s="76"/>
      <c r="H93" s="77"/>
      <c r="I93" s="67"/>
      <c r="J93" s="57">
        <f t="shared" si="4"/>
        <v>0</v>
      </c>
      <c r="K93" s="57"/>
      <c r="L93" s="57"/>
      <c r="M93" s="57"/>
    </row>
    <row r="94" spans="1:13">
      <c r="A94" s="64">
        <v>43556</v>
      </c>
      <c r="B94" s="21" t="s">
        <v>428</v>
      </c>
      <c r="C94" s="105"/>
      <c r="D94" s="75" t="s">
        <v>164</v>
      </c>
      <c r="E94" s="75" t="s">
        <v>149</v>
      </c>
      <c r="F94" s="75" t="s">
        <v>150</v>
      </c>
      <c r="G94" s="76"/>
      <c r="H94" s="77"/>
      <c r="I94" s="67"/>
      <c r="J94" s="57">
        <f t="shared" si="4"/>
        <v>0</v>
      </c>
      <c r="K94" s="57"/>
      <c r="L94" s="57"/>
      <c r="M94" s="57"/>
    </row>
    <row r="95" spans="1:13">
      <c r="A95" s="64">
        <v>43556</v>
      </c>
      <c r="B95" s="21" t="s">
        <v>428</v>
      </c>
      <c r="C95" s="105"/>
      <c r="D95" s="21" t="s">
        <v>175</v>
      </c>
      <c r="E95" s="21" t="s">
        <v>176</v>
      </c>
      <c r="F95" s="33" t="s">
        <v>177</v>
      </c>
      <c r="G95" s="57"/>
      <c r="H95" s="54"/>
      <c r="I95" s="67"/>
      <c r="J95" s="57">
        <f t="shared" si="4"/>
        <v>0</v>
      </c>
      <c r="K95" s="57"/>
      <c r="L95" s="57"/>
      <c r="M95" s="57"/>
    </row>
    <row r="96" spans="1:13">
      <c r="A96" s="64">
        <v>43556</v>
      </c>
      <c r="B96" s="21" t="s">
        <v>428</v>
      </c>
      <c r="C96" s="105"/>
      <c r="D96" s="21" t="s">
        <v>175</v>
      </c>
      <c r="E96" s="21" t="s">
        <v>176</v>
      </c>
      <c r="F96" s="33" t="s">
        <v>178</v>
      </c>
      <c r="G96" s="57"/>
      <c r="H96" s="54"/>
      <c r="I96" s="67"/>
      <c r="J96" s="57">
        <f t="shared" si="4"/>
        <v>0</v>
      </c>
      <c r="K96" s="57"/>
      <c r="L96" s="57">
        <f>K96/0.05*0.25</f>
        <v>0</v>
      </c>
      <c r="M96" s="57">
        <f>L96-K96</f>
        <v>0</v>
      </c>
    </row>
    <row r="97" spans="1:14">
      <c r="A97" s="64">
        <v>43556</v>
      </c>
      <c r="B97" s="21" t="s">
        <v>428</v>
      </c>
      <c r="C97" s="105"/>
      <c r="D97" s="21" t="s">
        <v>175</v>
      </c>
      <c r="E97" s="21" t="s">
        <v>176</v>
      </c>
      <c r="F97" s="33" t="s">
        <v>179</v>
      </c>
      <c r="G97" s="57"/>
      <c r="H97" s="54"/>
      <c r="I97" s="67"/>
      <c r="J97" s="57">
        <f t="shared" si="4"/>
        <v>0</v>
      </c>
      <c r="K97" s="57"/>
      <c r="L97" s="57"/>
      <c r="M97" s="57"/>
    </row>
    <row r="98" spans="1:14">
      <c r="A98" s="64"/>
      <c r="C98" s="105"/>
      <c r="D98" s="21" t="s">
        <v>342</v>
      </c>
      <c r="E98" s="21" t="s">
        <v>141</v>
      </c>
      <c r="F98" s="33" t="s">
        <v>153</v>
      </c>
      <c r="G98" s="57"/>
      <c r="H98" s="54"/>
      <c r="I98" s="67"/>
      <c r="J98" s="57">
        <f t="shared" si="4"/>
        <v>0</v>
      </c>
      <c r="K98" s="57"/>
      <c r="L98" s="57"/>
      <c r="M98" s="57"/>
    </row>
    <row r="99" spans="1:14">
      <c r="A99" s="64">
        <v>43556</v>
      </c>
      <c r="B99" s="21" t="s">
        <v>428</v>
      </c>
      <c r="C99" s="105"/>
      <c r="D99" s="21" t="s">
        <v>180</v>
      </c>
      <c r="E99" s="21" t="s">
        <v>176</v>
      </c>
      <c r="F99" s="33" t="s">
        <v>178</v>
      </c>
      <c r="G99" s="57"/>
      <c r="H99" s="54"/>
      <c r="I99" s="67"/>
      <c r="J99" s="57">
        <f t="shared" si="4"/>
        <v>0</v>
      </c>
      <c r="K99" s="57">
        <f>(J99+J100+J95+J96+J97)*0.03*N2</f>
        <v>0</v>
      </c>
      <c r="L99" s="57">
        <f>K99/0.03*0.25</f>
        <v>0</v>
      </c>
      <c r="M99" s="57">
        <f>L99-K99</f>
        <v>0</v>
      </c>
    </row>
    <row r="100" spans="1:14">
      <c r="A100" s="64">
        <v>43556</v>
      </c>
      <c r="B100" s="21" t="s">
        <v>428</v>
      </c>
      <c r="C100" s="105"/>
      <c r="D100" s="21" t="s">
        <v>180</v>
      </c>
      <c r="E100" s="21" t="s">
        <v>176</v>
      </c>
      <c r="F100" s="33" t="s">
        <v>179</v>
      </c>
      <c r="G100" s="57"/>
      <c r="H100" s="54"/>
      <c r="I100" s="68"/>
      <c r="J100" s="57">
        <f t="shared" si="4"/>
        <v>0</v>
      </c>
      <c r="K100" s="57"/>
      <c r="L100" s="57"/>
      <c r="M100" s="57"/>
    </row>
    <row r="101" spans="1:14">
      <c r="A101" s="64"/>
      <c r="C101" s="105"/>
      <c r="D101" s="21" t="s">
        <v>88</v>
      </c>
      <c r="E101" s="21" t="s">
        <v>181</v>
      </c>
      <c r="F101" s="33" t="s">
        <v>182</v>
      </c>
      <c r="G101" s="57"/>
      <c r="H101" s="54"/>
      <c r="I101" s="67"/>
      <c r="J101" s="57">
        <f t="shared" si="4"/>
        <v>0</v>
      </c>
      <c r="K101" s="57"/>
      <c r="L101" s="57"/>
      <c r="M101" s="57"/>
    </row>
    <row r="102" spans="1:14">
      <c r="A102" s="64">
        <v>43556</v>
      </c>
      <c r="B102" s="21" t="s">
        <v>428</v>
      </c>
      <c r="C102" s="105"/>
      <c r="D102" s="21" t="s">
        <v>88</v>
      </c>
      <c r="E102" s="21" t="s">
        <v>181</v>
      </c>
      <c r="F102" s="33" t="s">
        <v>183</v>
      </c>
      <c r="G102" s="57"/>
      <c r="H102" s="54"/>
      <c r="I102" s="67"/>
      <c r="J102" s="57">
        <f t="shared" si="4"/>
        <v>0</v>
      </c>
      <c r="K102" s="57"/>
      <c r="L102" s="57"/>
      <c r="M102" s="57"/>
    </row>
    <row r="103" spans="1:14">
      <c r="A103" s="64">
        <v>43556</v>
      </c>
      <c r="B103" s="21" t="s">
        <v>428</v>
      </c>
      <c r="C103" s="105"/>
      <c r="D103" s="21" t="s">
        <v>88</v>
      </c>
      <c r="E103" s="21" t="s">
        <v>181</v>
      </c>
      <c r="F103" s="33" t="s">
        <v>184</v>
      </c>
      <c r="G103" s="57"/>
      <c r="H103" s="54"/>
      <c r="I103" s="68"/>
      <c r="J103" s="57">
        <f t="shared" si="4"/>
        <v>0</v>
      </c>
      <c r="K103" s="57"/>
      <c r="L103" s="57"/>
      <c r="M103" s="57"/>
    </row>
    <row r="104" spans="1:14">
      <c r="A104" s="64">
        <v>43556</v>
      </c>
      <c r="B104" s="21" t="s">
        <v>428</v>
      </c>
      <c r="C104" s="105"/>
      <c r="D104" s="21" t="s">
        <v>154</v>
      </c>
      <c r="E104" s="21" t="s">
        <v>181</v>
      </c>
      <c r="F104" s="33" t="s">
        <v>183</v>
      </c>
      <c r="G104" s="57"/>
      <c r="H104" s="54"/>
      <c r="I104" s="67"/>
      <c r="J104" s="57">
        <f t="shared" si="4"/>
        <v>0</v>
      </c>
      <c r="K104" s="57"/>
      <c r="L104" s="57"/>
      <c r="M104" s="57"/>
    </row>
    <row r="105" spans="1:14">
      <c r="A105" s="64">
        <v>43556</v>
      </c>
      <c r="B105" s="21" t="s">
        <v>428</v>
      </c>
      <c r="C105" s="105"/>
      <c r="D105" s="21" t="s">
        <v>154</v>
      </c>
      <c r="E105" s="21" t="s">
        <v>181</v>
      </c>
      <c r="F105" s="33" t="s">
        <v>184</v>
      </c>
      <c r="G105" s="57"/>
      <c r="H105" s="54"/>
      <c r="I105" s="67"/>
      <c r="J105" s="57">
        <f t="shared" si="4"/>
        <v>0</v>
      </c>
      <c r="K105" s="57"/>
      <c r="L105" s="57"/>
      <c r="M105" s="57"/>
    </row>
    <row r="106" spans="1:14">
      <c r="A106" s="64">
        <v>43556</v>
      </c>
      <c r="B106" s="21" t="s">
        <v>428</v>
      </c>
      <c r="C106" s="105"/>
      <c r="D106" s="21" t="s">
        <v>160</v>
      </c>
      <c r="E106" s="21" t="s">
        <v>161</v>
      </c>
      <c r="F106" s="33" t="s">
        <v>162</v>
      </c>
      <c r="G106" s="57"/>
      <c r="H106" s="54"/>
      <c r="I106" s="67"/>
      <c r="J106" s="57">
        <f t="shared" si="4"/>
        <v>0</v>
      </c>
      <c r="K106" s="57">
        <f>(J106)*0.04*N2</f>
        <v>0</v>
      </c>
      <c r="L106" s="57">
        <f>K106/0.04*0.25</f>
        <v>0</v>
      </c>
      <c r="M106" s="57">
        <f t="shared" ref="M106:M109" si="6">L106-K106</f>
        <v>0</v>
      </c>
    </row>
    <row r="107" spans="1:14">
      <c r="A107" s="64"/>
      <c r="C107" s="105" t="s">
        <v>235</v>
      </c>
      <c r="D107" s="21" t="s">
        <v>189</v>
      </c>
      <c r="E107" s="21" t="s">
        <v>191</v>
      </c>
      <c r="F107" s="33" t="s">
        <v>192</v>
      </c>
      <c r="G107" s="57"/>
      <c r="H107" s="54"/>
      <c r="I107" s="67"/>
      <c r="J107" s="57">
        <f t="shared" si="4"/>
        <v>0</v>
      </c>
      <c r="K107" s="57"/>
      <c r="L107" s="57"/>
      <c r="M107" s="57"/>
    </row>
    <row r="108" spans="1:14">
      <c r="A108" s="64">
        <v>43556</v>
      </c>
      <c r="B108" s="21" t="s">
        <v>428</v>
      </c>
      <c r="C108" s="105"/>
      <c r="D108" s="21" t="s">
        <v>189</v>
      </c>
      <c r="E108" s="21" t="s">
        <v>191</v>
      </c>
      <c r="F108" s="33" t="s">
        <v>193</v>
      </c>
      <c r="G108" s="57"/>
      <c r="H108" s="54"/>
      <c r="I108" s="68"/>
      <c r="J108" s="57">
        <f t="shared" si="4"/>
        <v>0</v>
      </c>
      <c r="K108" s="57">
        <f>(J108+J107)*0.05*N2</f>
        <v>0</v>
      </c>
      <c r="L108" s="57">
        <f t="shared" ref="L108:L112" si="7">K108/0.05*0.25</f>
        <v>0</v>
      </c>
      <c r="M108" s="57">
        <f t="shared" si="6"/>
        <v>0</v>
      </c>
      <c r="N108" s="21">
        <f>M108*0.05</f>
        <v>0</v>
      </c>
    </row>
    <row r="109" spans="1:14">
      <c r="A109" s="64">
        <v>43556</v>
      </c>
      <c r="B109" s="21" t="s">
        <v>428</v>
      </c>
      <c r="C109" s="105"/>
      <c r="D109" s="21" t="s">
        <v>186</v>
      </c>
      <c r="E109" s="21" t="s">
        <v>187</v>
      </c>
      <c r="F109" s="33" t="s">
        <v>188</v>
      </c>
      <c r="G109" s="57"/>
      <c r="H109" s="54"/>
      <c r="I109" s="68"/>
      <c r="J109" s="57">
        <f t="shared" si="4"/>
        <v>0</v>
      </c>
      <c r="K109" s="57">
        <f>(J109)*0.05*N2</f>
        <v>0</v>
      </c>
      <c r="L109" s="57">
        <f t="shared" si="7"/>
        <v>0</v>
      </c>
      <c r="M109" s="57">
        <f t="shared" si="6"/>
        <v>0</v>
      </c>
    </row>
    <row r="110" spans="1:14">
      <c r="A110" s="64">
        <v>43556</v>
      </c>
      <c r="B110" s="21" t="s">
        <v>428</v>
      </c>
      <c r="C110" s="105"/>
      <c r="D110" s="80" t="s">
        <v>197</v>
      </c>
      <c r="E110" s="21" t="s">
        <v>349</v>
      </c>
      <c r="F110" s="33" t="s">
        <v>351</v>
      </c>
      <c r="G110" s="57"/>
      <c r="H110" s="54"/>
      <c r="I110" s="67"/>
      <c r="J110" s="57">
        <f t="shared" si="4"/>
        <v>0</v>
      </c>
      <c r="K110" s="57"/>
      <c r="L110" s="57"/>
      <c r="M110" s="57"/>
    </row>
    <row r="111" spans="1:14">
      <c r="A111" s="64"/>
      <c r="C111" s="105"/>
      <c r="D111" s="21" t="s">
        <v>186</v>
      </c>
      <c r="E111" s="21" t="s">
        <v>349</v>
      </c>
      <c r="F111" s="33" t="s">
        <v>350</v>
      </c>
      <c r="G111" s="57"/>
      <c r="H111" s="54"/>
      <c r="I111" s="67"/>
      <c r="J111" s="57">
        <f t="shared" si="4"/>
        <v>0</v>
      </c>
      <c r="K111" s="57"/>
      <c r="L111" s="57"/>
      <c r="M111" s="57"/>
    </row>
    <row r="112" spans="1:14">
      <c r="A112" s="64">
        <v>43556</v>
      </c>
      <c r="B112" s="21" t="s">
        <v>428</v>
      </c>
      <c r="C112" s="105"/>
      <c r="D112" s="21" t="s">
        <v>186</v>
      </c>
      <c r="E112" s="21" t="s">
        <v>349</v>
      </c>
      <c r="F112" s="33" t="s">
        <v>351</v>
      </c>
      <c r="G112" s="57"/>
      <c r="H112" s="54"/>
      <c r="I112" s="68"/>
      <c r="J112" s="57">
        <f t="shared" si="4"/>
        <v>0</v>
      </c>
      <c r="K112" s="57">
        <f>(J112+J110+J111)*0.05*N2</f>
        <v>0</v>
      </c>
      <c r="L112" s="57">
        <f t="shared" si="7"/>
        <v>0</v>
      </c>
      <c r="M112" s="57">
        <f>L112-K112</f>
        <v>0</v>
      </c>
    </row>
    <row r="113" spans="1:13">
      <c r="A113" s="64"/>
      <c r="C113" s="105" t="s">
        <v>413</v>
      </c>
      <c r="D113" s="21" t="s">
        <v>201</v>
      </c>
      <c r="E113" s="21" t="s">
        <v>93</v>
      </c>
      <c r="F113" s="33" t="s">
        <v>94</v>
      </c>
      <c r="G113" s="57"/>
      <c r="H113" s="54"/>
      <c r="I113" s="67"/>
      <c r="J113" s="57">
        <f t="shared" si="4"/>
        <v>0</v>
      </c>
      <c r="K113" s="57"/>
      <c r="L113" s="57"/>
      <c r="M113" s="57"/>
    </row>
    <row r="114" spans="1:13">
      <c r="A114" s="64"/>
      <c r="C114" s="105"/>
      <c r="D114" s="21" t="s">
        <v>200</v>
      </c>
      <c r="E114" s="21" t="s">
        <v>93</v>
      </c>
      <c r="F114" s="33" t="s">
        <v>94</v>
      </c>
      <c r="G114" s="57"/>
      <c r="H114" s="54"/>
      <c r="I114" s="67"/>
      <c r="J114" s="57">
        <f t="shared" si="4"/>
        <v>0</v>
      </c>
      <c r="K114" s="57"/>
      <c r="L114" s="57"/>
      <c r="M114" s="57"/>
    </row>
    <row r="115" spans="1:13">
      <c r="A115" s="64">
        <v>43556</v>
      </c>
      <c r="B115" s="21" t="s">
        <v>428</v>
      </c>
      <c r="C115" s="105"/>
      <c r="D115" s="21" t="s">
        <v>202</v>
      </c>
      <c r="E115" s="21" t="s">
        <v>93</v>
      </c>
      <c r="F115" s="33" t="s">
        <v>94</v>
      </c>
      <c r="G115" s="57"/>
      <c r="H115" s="54"/>
      <c r="I115" s="67"/>
      <c r="J115" s="57">
        <f t="shared" si="4"/>
        <v>0</v>
      </c>
      <c r="K115" s="57">
        <f>(J115+J114+J113)*0.25*N2</f>
        <v>0</v>
      </c>
      <c r="L115" s="57">
        <f>K115/0.03*0.25</f>
        <v>0</v>
      </c>
      <c r="M115" s="57">
        <f>L115-K115</f>
        <v>0</v>
      </c>
    </row>
    <row r="116" spans="1:13">
      <c r="A116" s="21">
        <v>42795</v>
      </c>
      <c r="C116" s="105" t="s">
        <v>218</v>
      </c>
      <c r="D116" s="105"/>
      <c r="E116" s="21" t="s">
        <v>219</v>
      </c>
      <c r="F116" s="33" t="s">
        <v>219</v>
      </c>
      <c r="G116" s="57"/>
      <c r="H116" s="54"/>
      <c r="I116" s="68"/>
      <c r="J116" s="57">
        <f t="shared" ref="J116:J121" si="8">(G116*H116*0.98)-I116</f>
        <v>0</v>
      </c>
      <c r="K116" s="57">
        <f>(J3+J4+J5+J6+J7+J8+J9+J12+J13+J14+J15+J16+J17+J26+J27+J31+J34+J37+J38+J39+J40+J41+J42+J43+J44+J45+J46+J47+J48+J49+J50+J51+J52+J55+J56+J57+J58+J59+J60+J61+J62+J63+J64+J65+J66+J67+J68+J69+J70+J71+J72+J73+J74+J76+J77+J78+J79+J80+J81+J82+J83+J84+J85+J86+J87+J88+J89+J90+J91+J92+J93+J94+J95+J96+J97+J98+J99+J100+J101+J102+J103+J104+J105+J106+J107+J108+J109+J110+J111+J112)*0.01*N2+(J10+J11+J18+J19+J20+J21+J22+J23+J24+J25+J28+J29+J30+J32+J33+J35+J36)*0.07*N2+(J75)*0.04*N2+(J53+J54)*0.08*N2</f>
        <v>0</v>
      </c>
      <c r="L116" s="57"/>
      <c r="M116" s="57"/>
    </row>
    <row r="117" spans="1:13">
      <c r="A117" s="21">
        <v>42795</v>
      </c>
      <c r="C117" s="105"/>
      <c r="D117" s="105"/>
      <c r="E117" s="21" t="s">
        <v>220</v>
      </c>
      <c r="F117" s="33" t="s">
        <v>220</v>
      </c>
      <c r="G117" s="57"/>
      <c r="H117" s="54"/>
      <c r="I117" s="68"/>
      <c r="J117" s="57">
        <f t="shared" si="8"/>
        <v>0</v>
      </c>
      <c r="K117" s="57">
        <f>(J5+J6+J12+J26+J27)*0.06*N2+(J61+J62)*0.03*N2+(J51+J52+J57+J58+J79+J80+J82+J83+J84)*0.07*N2</f>
        <v>0</v>
      </c>
      <c r="L117" s="57"/>
      <c r="M117" s="57"/>
    </row>
    <row r="118" spans="1:13">
      <c r="A118" s="21">
        <v>42795</v>
      </c>
      <c r="C118" s="105"/>
      <c r="D118" s="105"/>
      <c r="E118" s="21" t="s">
        <v>221</v>
      </c>
      <c r="F118" s="33" t="s">
        <v>221</v>
      </c>
      <c r="G118" s="57"/>
      <c r="H118" s="54"/>
      <c r="I118" s="68"/>
      <c r="J118" s="57">
        <f t="shared" si="8"/>
        <v>0</v>
      </c>
      <c r="K118" s="57">
        <f>(J3+J4+J7+J8+J9+J14+J15)*0.06*N2+(J38+J39+J55+J56+J78+J85+J86+J87+J88+J89+J93+J94)*0.07*N2+(J107+J108)*0.03*N2</f>
        <v>0</v>
      </c>
      <c r="L118" s="57"/>
      <c r="M118" s="57"/>
    </row>
    <row r="119" spans="1:13">
      <c r="A119" s="21">
        <v>42795</v>
      </c>
      <c r="C119" s="105"/>
      <c r="D119" s="105"/>
      <c r="E119" s="21" t="s">
        <v>225</v>
      </c>
      <c r="F119" s="33" t="s">
        <v>225</v>
      </c>
      <c r="G119" s="57"/>
      <c r="H119" s="54"/>
      <c r="I119" s="68"/>
      <c r="J119" s="57">
        <f t="shared" si="8"/>
        <v>0</v>
      </c>
      <c r="K119" s="57">
        <f>(J31)*0.06*N2+(J59+J60+J64+J68+J69)*0.03*N2+(J95+J96+J97+J104+J105)*0.07*N2</f>
        <v>0</v>
      </c>
      <c r="L119" s="57"/>
      <c r="M119" s="57"/>
    </row>
    <row r="120" spans="1:13">
      <c r="A120" s="21">
        <v>42795</v>
      </c>
      <c r="C120" s="105"/>
      <c r="D120" s="105"/>
      <c r="E120" s="21" t="s">
        <v>223</v>
      </c>
      <c r="F120" s="33" t="s">
        <v>223</v>
      </c>
      <c r="G120" s="57"/>
      <c r="H120" s="54"/>
      <c r="I120" s="68"/>
      <c r="J120" s="57">
        <f t="shared" si="8"/>
        <v>0</v>
      </c>
      <c r="K120" s="57">
        <f>(J16+J17+J37)*0.06*N2</f>
        <v>0</v>
      </c>
      <c r="L120" s="57"/>
      <c r="M120" s="57"/>
    </row>
    <row r="121" spans="1:13">
      <c r="C121" s="105"/>
      <c r="D121" s="105"/>
      <c r="E121" s="21" t="s">
        <v>224</v>
      </c>
      <c r="F121" s="33" t="s">
        <v>224</v>
      </c>
      <c r="G121" s="57"/>
      <c r="H121" s="54"/>
      <c r="I121" s="68"/>
      <c r="J121" s="57">
        <f t="shared" si="8"/>
        <v>0</v>
      </c>
      <c r="K121" s="57">
        <f>(0)*0.06*N2+(J40+J41+J44+J45+J81+J99+J100+J101+J102+J103)*0.07*N2+(J67+J109+J110+J111+J112)*0.03*N2</f>
        <v>0</v>
      </c>
      <c r="L121" s="57"/>
      <c r="M121" s="57"/>
    </row>
    <row r="122" spans="1:13">
      <c r="C122" s="105"/>
      <c r="D122" s="105"/>
      <c r="E122" s="21" t="s">
        <v>222</v>
      </c>
      <c r="F122" s="33" t="s">
        <v>222</v>
      </c>
      <c r="G122" s="57"/>
      <c r="H122" s="54"/>
      <c r="I122" s="68"/>
      <c r="J122" s="57">
        <v>0</v>
      </c>
      <c r="K122" s="57">
        <f>(J34)*0.06*N2+(J42+J43+J46+J47+J98+J106)*0.07*N2+(J63+J65+J66+J70+J73+J74)*0.03*N2</f>
        <v>0</v>
      </c>
      <c r="L122" s="57"/>
      <c r="M122" s="57"/>
    </row>
    <row r="123" spans="1:13">
      <c r="E123" s="21" t="s">
        <v>226</v>
      </c>
      <c r="F123" s="33" t="s">
        <v>226</v>
      </c>
      <c r="G123" s="57"/>
      <c r="H123" s="54"/>
      <c r="I123" s="68"/>
      <c r="J123" s="57">
        <v>0</v>
      </c>
      <c r="K123" s="57">
        <f>(J13)*0.06*N2+(J49+J50+J76+J77+J90+J91+J92)*0.07*N2+(J71+J72)*0.03*N2</f>
        <v>0</v>
      </c>
      <c r="L123" s="57"/>
      <c r="M123" s="57"/>
    </row>
    <row r="124" spans="1:13">
      <c r="A124" s="21">
        <v>42795</v>
      </c>
      <c r="F124" s="58" t="s">
        <v>227</v>
      </c>
      <c r="G124" s="65">
        <f>SUM(G3:G119)</f>
        <v>0</v>
      </c>
      <c r="H124" s="66"/>
      <c r="I124" s="69">
        <f>SUM(I3:I117)</f>
        <v>0</v>
      </c>
      <c r="J124" s="65">
        <f>SUM(J3:J122)</f>
        <v>0</v>
      </c>
      <c r="K124" s="65">
        <f>J124*N2</f>
        <v>0</v>
      </c>
      <c r="L124" s="57"/>
      <c r="M124" s="57"/>
    </row>
    <row r="125" spans="1:13">
      <c r="F125" s="58" t="s">
        <v>228</v>
      </c>
      <c r="G125" s="65"/>
      <c r="H125" s="66"/>
      <c r="I125" s="69"/>
      <c r="J125" s="65"/>
      <c r="K125" s="65">
        <f>K124*0.4</f>
        <v>0</v>
      </c>
      <c r="L125" s="57"/>
      <c r="M125" s="57"/>
    </row>
    <row r="126" spans="1:13">
      <c r="F126" s="58" t="s">
        <v>261</v>
      </c>
      <c r="G126" s="65"/>
      <c r="H126" s="66"/>
      <c r="I126" s="69"/>
      <c r="J126" s="65"/>
      <c r="K126" s="65">
        <f>K124*0.6</f>
        <v>0</v>
      </c>
      <c r="L126" s="57"/>
      <c r="M126" s="57"/>
    </row>
    <row r="127" spans="1:13">
      <c r="F127" s="33"/>
      <c r="G127" s="57"/>
      <c r="H127" s="54"/>
      <c r="I127" s="68"/>
      <c r="J127" s="57"/>
      <c r="K127" s="57"/>
      <c r="L127" s="57"/>
      <c r="M127" s="57"/>
    </row>
    <row r="128" spans="1:13">
      <c r="A128" s="21">
        <v>42795</v>
      </c>
      <c r="C128" s="21" t="s">
        <v>405</v>
      </c>
      <c r="E128" s="21" t="s">
        <v>230</v>
      </c>
      <c r="F128" s="33"/>
      <c r="G128" s="57"/>
      <c r="H128" s="54"/>
      <c r="I128" s="68"/>
      <c r="J128" s="57"/>
      <c r="K128" s="57">
        <f>(J3+J4+J6+J5)*0.05*N2+M31+M19+M17+M12+M7+M26+M33+M14+M28+M24</f>
        <v>0</v>
      </c>
      <c r="L128" s="57"/>
      <c r="M128" s="57"/>
    </row>
    <row r="129" spans="1:13">
      <c r="A129" s="21">
        <v>42795</v>
      </c>
      <c r="C129" s="21" t="s">
        <v>406</v>
      </c>
      <c r="E129" s="21" t="s">
        <v>230</v>
      </c>
      <c r="F129" s="33"/>
      <c r="G129" s="57"/>
      <c r="H129" s="54"/>
      <c r="I129" s="68"/>
      <c r="J129" s="57"/>
      <c r="K129" s="57">
        <f>M76+M96+M91+M84+M86+M106+M82+M77+M99+M79</f>
        <v>0</v>
      </c>
      <c r="L129" s="57"/>
      <c r="M129" s="57"/>
    </row>
    <row r="130" spans="1:13">
      <c r="A130" s="21">
        <v>42795</v>
      </c>
      <c r="C130" s="21" t="s">
        <v>407</v>
      </c>
      <c r="E130" s="21" t="s">
        <v>233</v>
      </c>
      <c r="F130" s="33"/>
      <c r="G130" s="57"/>
      <c r="H130" s="54"/>
      <c r="I130" s="68"/>
      <c r="J130" s="57"/>
      <c r="K130" s="57">
        <f>(J53+J54+J55+J56+J42+J43+J46+J48)*0.05*N2+M42+M38+M57</f>
        <v>0</v>
      </c>
      <c r="L130" s="57"/>
      <c r="M130" s="57"/>
    </row>
    <row r="131" spans="1:13">
      <c r="A131" s="21">
        <v>42795</v>
      </c>
      <c r="C131" s="21" t="s">
        <v>408</v>
      </c>
      <c r="E131" s="21" t="s">
        <v>230</v>
      </c>
      <c r="F131" s="33"/>
      <c r="G131" s="57"/>
      <c r="H131" s="54"/>
      <c r="I131" s="68"/>
      <c r="J131" s="57"/>
      <c r="K131" s="57">
        <f>M61+M70+M65+M64+M71</f>
        <v>0</v>
      </c>
      <c r="L131" s="57"/>
      <c r="M131" s="57"/>
    </row>
    <row r="132" spans="1:13">
      <c r="C132" s="21" t="s">
        <v>235</v>
      </c>
      <c r="E132" s="21" t="s">
        <v>230</v>
      </c>
      <c r="F132" s="33"/>
      <c r="G132" s="57"/>
      <c r="H132" s="54"/>
      <c r="I132" s="68"/>
      <c r="J132" s="57"/>
      <c r="K132" s="57">
        <f>M108+M109+M112-N108</f>
        <v>0</v>
      </c>
      <c r="L132" s="57"/>
      <c r="M132" s="57"/>
    </row>
    <row r="133" spans="1:13">
      <c r="A133" s="21">
        <v>42795</v>
      </c>
      <c r="C133" s="21" t="s">
        <v>363</v>
      </c>
      <c r="F133" s="33"/>
      <c r="G133" s="57"/>
      <c r="H133" s="54"/>
      <c r="I133" s="68"/>
      <c r="J133" s="57"/>
      <c r="K133" s="57">
        <v>0</v>
      </c>
      <c r="L133" s="57"/>
      <c r="M133" s="57"/>
    </row>
    <row r="134" spans="1:13">
      <c r="A134" s="21">
        <v>42795</v>
      </c>
      <c r="C134" s="21" t="s">
        <v>262</v>
      </c>
      <c r="E134" s="21" t="s">
        <v>230</v>
      </c>
      <c r="F134" s="33"/>
      <c r="G134" s="57"/>
      <c r="H134" s="54"/>
      <c r="I134" s="68"/>
      <c r="J134" s="57"/>
      <c r="K134" s="57">
        <f>J124*0.07*N2</f>
        <v>0</v>
      </c>
      <c r="L134" s="57"/>
      <c r="M134" s="57"/>
    </row>
    <row r="135" spans="1:13">
      <c r="K135" s="59">
        <f>K128+K129+K130</f>
        <v>0</v>
      </c>
    </row>
    <row r="136" spans="1:13">
      <c r="K136" s="65">
        <f>K128+K129+K130+K131+K132</f>
        <v>0</v>
      </c>
    </row>
  </sheetData>
  <mergeCells count="7">
    <mergeCell ref="C116:D122"/>
    <mergeCell ref="C3:C37"/>
    <mergeCell ref="C38:C58"/>
    <mergeCell ref="C59:C75"/>
    <mergeCell ref="C76:C106"/>
    <mergeCell ref="C107:C112"/>
    <mergeCell ref="C113:C115"/>
  </mergeCells>
  <phoneticPr fontId="37" type="noConversion"/>
  <conditionalFormatting sqref="E119">
    <cfRule type="containsText" dxfId="10" priority="2" operator="containsText" text="方泽斯">
      <formula>NOT(ISERROR(SEARCH("方泽斯",E119)))</formula>
    </cfRule>
  </conditionalFormatting>
  <conditionalFormatting sqref="E130">
    <cfRule type="containsText" dxfId="9" priority="1" operator="containsText" text="方泽斯">
      <formula>NOT(ISERROR(SEARCH("方泽斯",E130)))</formula>
    </cfRule>
  </conditionalFormatting>
  <pageMargins left="0.75" right="0.75" top="1" bottom="1" header="0.51" footer="0.51"/>
  <pageSetup paperSize="9" scale="80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>
  <sheetPr enableFormatConditionsCalculation="0">
    <tabColor rgb="FF92D050"/>
  </sheetPr>
  <dimension ref="A1:Y86"/>
  <sheetViews>
    <sheetView topLeftCell="C1" zoomScaleSheetLayoutView="100" workbookViewId="0">
      <selection activeCell="E8" sqref="E8"/>
    </sheetView>
  </sheetViews>
  <sheetFormatPr defaultRowHeight="13.5"/>
  <cols>
    <col min="1" max="1" width="12.625" style="21" hidden="1" customWidth="1"/>
    <col min="2" max="2" width="9.75" style="21" hidden="1" customWidth="1"/>
    <col min="3" max="3" width="10.875" style="21" customWidth="1"/>
    <col min="4" max="4" width="9" style="21"/>
    <col min="5" max="5" width="9" style="21" customWidth="1"/>
    <col min="6" max="6" width="20.375" style="21" customWidth="1"/>
    <col min="7" max="7" width="13.5" style="59" customWidth="1"/>
    <col min="8" max="8" width="14.125" style="60" bestFit="1" customWidth="1"/>
    <col min="9" max="9" width="16.625" style="61" customWidth="1"/>
    <col min="10" max="10" width="13.625" style="59" customWidth="1"/>
    <col min="11" max="11" width="19.125" style="59" customWidth="1"/>
    <col min="12" max="12" width="10" style="59" customWidth="1"/>
    <col min="13" max="13" width="10.5" style="59" customWidth="1"/>
    <col min="14" max="14" width="9" style="21"/>
    <col min="15" max="15" width="15.75" style="21" customWidth="1"/>
    <col min="16" max="16384" width="9" style="21"/>
  </cols>
  <sheetData>
    <row r="1" spans="1:25">
      <c r="C1" s="21" t="s">
        <v>431</v>
      </c>
    </row>
    <row r="2" spans="1:25" s="22" customFormat="1" ht="21" customHeight="1">
      <c r="A2" s="24"/>
      <c r="B2" s="24"/>
      <c r="C2" s="25" t="s">
        <v>1</v>
      </c>
      <c r="D2" s="25" t="s">
        <v>2</v>
      </c>
      <c r="E2" s="25"/>
      <c r="F2" s="26" t="s">
        <v>3</v>
      </c>
      <c r="G2" s="27" t="s">
        <v>4</v>
      </c>
      <c r="H2" s="28" t="s">
        <v>5</v>
      </c>
      <c r="I2" s="29" t="s">
        <v>6</v>
      </c>
      <c r="J2" s="29" t="s">
        <v>7</v>
      </c>
      <c r="K2" s="38" t="s">
        <v>8</v>
      </c>
      <c r="L2" s="39"/>
      <c r="M2" s="40" t="s">
        <v>9</v>
      </c>
      <c r="N2" s="41">
        <v>7.01</v>
      </c>
      <c r="O2" s="42"/>
      <c r="P2" s="43"/>
      <c r="Q2" s="44"/>
      <c r="R2" s="45"/>
      <c r="S2" s="45"/>
      <c r="W2" s="46"/>
      <c r="X2" s="46"/>
      <c r="Y2" s="46"/>
    </row>
    <row r="3" spans="1:25" ht="15" customHeight="1">
      <c r="A3" s="64">
        <v>43556</v>
      </c>
      <c r="B3" s="21" t="s">
        <v>431</v>
      </c>
      <c r="C3" s="105" t="s">
        <v>10</v>
      </c>
      <c r="D3" s="21" t="s">
        <v>39</v>
      </c>
      <c r="E3" s="21" t="s">
        <v>40</v>
      </c>
      <c r="F3" s="33" t="s">
        <v>41</v>
      </c>
      <c r="G3" s="57"/>
      <c r="H3" s="54"/>
      <c r="I3" s="67"/>
      <c r="J3" s="57">
        <f t="shared" ref="J3:J41" si="0">G3*H3*1-I3</f>
        <v>0</v>
      </c>
      <c r="K3" s="57">
        <f>(J3+J5+J4)*0.05*N2</f>
        <v>0</v>
      </c>
      <c r="L3" s="57">
        <f>K3/0.05*0.25</f>
        <v>0</v>
      </c>
      <c r="M3" s="57">
        <f>L3-K3</f>
        <v>0</v>
      </c>
    </row>
    <row r="4" spans="1:25" ht="15" customHeight="1">
      <c r="A4" s="64">
        <v>43556</v>
      </c>
      <c r="B4" s="21" t="s">
        <v>431</v>
      </c>
      <c r="C4" s="105"/>
      <c r="D4" s="21" t="s">
        <v>39</v>
      </c>
      <c r="E4" s="21" t="s">
        <v>40</v>
      </c>
      <c r="F4" s="33" t="s">
        <v>42</v>
      </c>
      <c r="G4" s="57"/>
      <c r="H4" s="54"/>
      <c r="I4" s="68"/>
      <c r="J4" s="57">
        <f t="shared" si="0"/>
        <v>0</v>
      </c>
      <c r="K4" s="57"/>
      <c r="L4" s="57"/>
      <c r="M4" s="57"/>
    </row>
    <row r="5" spans="1:25" ht="15" customHeight="1">
      <c r="A5" s="64">
        <v>43556</v>
      </c>
      <c r="B5" s="21" t="s">
        <v>431</v>
      </c>
      <c r="C5" s="105"/>
      <c r="D5" s="21" t="s">
        <v>44</v>
      </c>
      <c r="E5" s="21" t="s">
        <v>40</v>
      </c>
      <c r="F5" s="33" t="s">
        <v>41</v>
      </c>
      <c r="G5" s="57"/>
      <c r="H5" s="54"/>
      <c r="I5" s="67"/>
      <c r="J5" s="57">
        <f t="shared" si="0"/>
        <v>0</v>
      </c>
      <c r="K5" s="57"/>
      <c r="L5" s="57"/>
      <c r="M5" s="57"/>
    </row>
    <row r="6" spans="1:25" ht="15" customHeight="1">
      <c r="A6" s="64">
        <v>43556</v>
      </c>
      <c r="B6" s="21" t="s">
        <v>431</v>
      </c>
      <c r="C6" s="105"/>
      <c r="D6" s="21" t="s">
        <v>32</v>
      </c>
      <c r="E6" s="21" t="s">
        <v>33</v>
      </c>
      <c r="F6" s="33" t="s">
        <v>34</v>
      </c>
      <c r="G6" s="57"/>
      <c r="H6" s="54"/>
      <c r="I6" s="67"/>
      <c r="J6" s="57">
        <f t="shared" si="0"/>
        <v>0</v>
      </c>
      <c r="K6" s="57">
        <f>(J6+J7)*0.2*N2</f>
        <v>0</v>
      </c>
      <c r="L6" s="57"/>
      <c r="M6" s="57"/>
    </row>
    <row r="7" spans="1:25" ht="15" customHeight="1">
      <c r="A7" s="64">
        <v>43556</v>
      </c>
      <c r="B7" s="21" t="s">
        <v>431</v>
      </c>
      <c r="C7" s="105"/>
      <c r="D7" s="21" t="s">
        <v>38</v>
      </c>
      <c r="E7" s="21" t="s">
        <v>33</v>
      </c>
      <c r="F7" s="33" t="s">
        <v>34</v>
      </c>
      <c r="G7" s="57"/>
      <c r="H7" s="54"/>
      <c r="I7" s="67"/>
      <c r="J7" s="57">
        <f t="shared" si="0"/>
        <v>0</v>
      </c>
      <c r="K7" s="57"/>
      <c r="L7" s="57"/>
      <c r="M7" s="57"/>
    </row>
    <row r="8" spans="1:25" ht="15" customHeight="1">
      <c r="A8" s="64"/>
      <c r="C8" s="105"/>
      <c r="D8" s="21" t="s">
        <v>45</v>
      </c>
      <c r="E8" s="21" t="s">
        <v>46</v>
      </c>
      <c r="F8" s="33" t="s">
        <v>47</v>
      </c>
      <c r="G8" s="57"/>
      <c r="H8" s="54"/>
      <c r="I8" s="67"/>
      <c r="J8" s="57">
        <f t="shared" si="0"/>
        <v>0</v>
      </c>
      <c r="K8" s="57"/>
      <c r="L8" s="57"/>
      <c r="M8" s="57"/>
    </row>
    <row r="9" spans="1:25" ht="15" customHeight="1">
      <c r="A9" s="64"/>
      <c r="C9" s="105"/>
      <c r="D9" s="21" t="s">
        <v>45</v>
      </c>
      <c r="E9" s="21" t="s">
        <v>46</v>
      </c>
      <c r="F9" s="33" t="s">
        <v>49</v>
      </c>
      <c r="G9" s="57"/>
      <c r="H9" s="54"/>
      <c r="I9" s="67"/>
      <c r="J9" s="57">
        <f t="shared" si="0"/>
        <v>0</v>
      </c>
      <c r="K9" s="57"/>
      <c r="L9" s="57"/>
      <c r="M9" s="57"/>
    </row>
    <row r="10" spans="1:25" ht="15" customHeight="1">
      <c r="A10" s="64">
        <v>43556</v>
      </c>
      <c r="B10" s="21" t="s">
        <v>431</v>
      </c>
      <c r="C10" s="105"/>
      <c r="D10" s="21" t="s">
        <v>60</v>
      </c>
      <c r="E10" s="21" t="s">
        <v>46</v>
      </c>
      <c r="F10" s="33" t="s">
        <v>47</v>
      </c>
      <c r="G10" s="57"/>
      <c r="H10" s="54"/>
      <c r="I10" s="67"/>
      <c r="J10" s="57">
        <f t="shared" si="0"/>
        <v>0</v>
      </c>
      <c r="K10" s="57">
        <f>(J10+J9+J8)*0.05*N2</f>
        <v>0</v>
      </c>
      <c r="L10" s="57">
        <f t="shared" ref="L10:L13" si="1">K10/0.05*0.25</f>
        <v>0</v>
      </c>
      <c r="M10" s="57">
        <f t="shared" ref="M10:M13" si="2">L10-K10</f>
        <v>0</v>
      </c>
    </row>
    <row r="11" spans="1:25" ht="15" customHeight="1">
      <c r="A11" s="64">
        <v>43556</v>
      </c>
      <c r="B11" s="21" t="s">
        <v>431</v>
      </c>
      <c r="C11" s="105"/>
      <c r="D11" s="21" t="s">
        <v>31</v>
      </c>
      <c r="E11" s="21" t="s">
        <v>20</v>
      </c>
      <c r="F11" s="33" t="s">
        <v>21</v>
      </c>
      <c r="G11" s="57"/>
      <c r="H11" s="54"/>
      <c r="I11" s="67"/>
      <c r="J11" s="57">
        <f t="shared" si="0"/>
        <v>0</v>
      </c>
      <c r="K11" s="57">
        <f>(J11+J12)*0.05*N2</f>
        <v>0</v>
      </c>
      <c r="L11" s="57">
        <f t="shared" si="1"/>
        <v>0</v>
      </c>
      <c r="M11" s="57">
        <f t="shared" si="2"/>
        <v>0</v>
      </c>
    </row>
    <row r="12" spans="1:25" ht="15" customHeight="1">
      <c r="A12" s="64">
        <v>43556</v>
      </c>
      <c r="B12" s="21" t="s">
        <v>431</v>
      </c>
      <c r="C12" s="105"/>
      <c r="D12" s="21" t="s">
        <v>30</v>
      </c>
      <c r="E12" s="21" t="s">
        <v>20</v>
      </c>
      <c r="F12" s="33" t="s">
        <v>21</v>
      </c>
      <c r="G12" s="57"/>
      <c r="H12" s="54"/>
      <c r="I12" s="67"/>
      <c r="J12" s="57">
        <f t="shared" si="0"/>
        <v>0</v>
      </c>
      <c r="K12" s="57"/>
      <c r="L12" s="57"/>
      <c r="M12" s="57"/>
    </row>
    <row r="13" spans="1:25" ht="15" customHeight="1">
      <c r="A13" s="64">
        <v>43556</v>
      </c>
      <c r="B13" s="21" t="s">
        <v>431</v>
      </c>
      <c r="C13" s="105"/>
      <c r="D13" s="21" t="s">
        <v>66</v>
      </c>
      <c r="E13" s="21" t="s">
        <v>63</v>
      </c>
      <c r="F13" s="33" t="s">
        <v>64</v>
      </c>
      <c r="G13" s="57"/>
      <c r="H13" s="54"/>
      <c r="I13" s="67"/>
      <c r="J13" s="57">
        <f t="shared" si="0"/>
        <v>0</v>
      </c>
      <c r="K13" s="57">
        <f>(J13+J14)*0.05*N2</f>
        <v>0</v>
      </c>
      <c r="L13" s="57">
        <f t="shared" si="1"/>
        <v>0</v>
      </c>
      <c r="M13" s="57">
        <f t="shared" si="2"/>
        <v>0</v>
      </c>
    </row>
    <row r="14" spans="1:25" ht="15" customHeight="1">
      <c r="A14" s="64">
        <v>43556</v>
      </c>
      <c r="B14" s="21" t="s">
        <v>431</v>
      </c>
      <c r="C14" s="105"/>
      <c r="D14" s="21" t="s">
        <v>62</v>
      </c>
      <c r="E14" s="21" t="s">
        <v>63</v>
      </c>
      <c r="F14" s="33" t="s">
        <v>64</v>
      </c>
      <c r="G14" s="57"/>
      <c r="H14" s="54"/>
      <c r="I14" s="67"/>
      <c r="J14" s="57">
        <f t="shared" si="0"/>
        <v>0</v>
      </c>
      <c r="K14" s="57"/>
      <c r="L14" s="57"/>
      <c r="M14" s="57"/>
    </row>
    <row r="15" spans="1:25" ht="15" customHeight="1">
      <c r="A15" s="64">
        <v>43556</v>
      </c>
      <c r="B15" s="21" t="s">
        <v>431</v>
      </c>
      <c r="C15" s="105"/>
      <c r="D15" s="21" t="s">
        <v>77</v>
      </c>
      <c r="E15" s="21" t="s">
        <v>12</v>
      </c>
      <c r="F15" s="33" t="s">
        <v>13</v>
      </c>
      <c r="G15" s="57"/>
      <c r="H15" s="54"/>
      <c r="I15" s="67"/>
      <c r="J15" s="57">
        <f t="shared" si="0"/>
        <v>0</v>
      </c>
      <c r="K15" s="57">
        <f>(J15+J16)*0.05*N2</f>
        <v>0</v>
      </c>
      <c r="L15" s="57">
        <f>K15/0.05*0.25</f>
        <v>0</v>
      </c>
      <c r="M15" s="57">
        <f>L15-K15</f>
        <v>0</v>
      </c>
    </row>
    <row r="16" spans="1:25" ht="15" customHeight="1">
      <c r="A16" s="64"/>
      <c r="C16" s="105"/>
      <c r="D16" s="21" t="s">
        <v>11</v>
      </c>
      <c r="E16" s="21" t="s">
        <v>12</v>
      </c>
      <c r="F16" s="33" t="s">
        <v>13</v>
      </c>
      <c r="G16" s="57"/>
      <c r="H16" s="54"/>
      <c r="I16" s="67"/>
      <c r="J16" s="57">
        <f t="shared" si="0"/>
        <v>0</v>
      </c>
      <c r="K16" s="57"/>
      <c r="L16" s="57"/>
      <c r="M16" s="57"/>
    </row>
    <row r="17" spans="1:13" ht="15" customHeight="1">
      <c r="A17" s="64">
        <v>43556</v>
      </c>
      <c r="B17" s="21" t="s">
        <v>431</v>
      </c>
      <c r="C17" s="105"/>
      <c r="D17" s="21" t="s">
        <v>72</v>
      </c>
      <c r="E17" s="21" t="s">
        <v>17</v>
      </c>
      <c r="F17" s="33" t="s">
        <v>18</v>
      </c>
      <c r="G17" s="57"/>
      <c r="H17" s="54"/>
      <c r="I17" s="67"/>
      <c r="J17" s="57">
        <f t="shared" si="0"/>
        <v>0</v>
      </c>
      <c r="K17" s="57">
        <f>(J17+J18)*0.04*N2</f>
        <v>0</v>
      </c>
      <c r="L17" s="57">
        <f>K17/0.04*0.25</f>
        <v>0</v>
      </c>
      <c r="M17" s="57">
        <f>L17-K17</f>
        <v>0</v>
      </c>
    </row>
    <row r="18" spans="1:13" ht="15" customHeight="1">
      <c r="A18" s="64">
        <v>43556</v>
      </c>
      <c r="B18" s="21" t="s">
        <v>431</v>
      </c>
      <c r="C18" s="105"/>
      <c r="D18" s="21" t="s">
        <v>29</v>
      </c>
      <c r="E18" s="21" t="s">
        <v>17</v>
      </c>
      <c r="F18" s="33" t="s">
        <v>18</v>
      </c>
      <c r="G18" s="57"/>
      <c r="H18" s="54"/>
      <c r="I18" s="67"/>
      <c r="J18" s="57">
        <f t="shared" si="0"/>
        <v>0</v>
      </c>
      <c r="K18" s="57"/>
      <c r="L18" s="57"/>
      <c r="M18" s="57"/>
    </row>
    <row r="19" spans="1:13" ht="15" customHeight="1">
      <c r="A19" s="64">
        <v>43556</v>
      </c>
      <c r="B19" s="21" t="s">
        <v>431</v>
      </c>
      <c r="C19" s="105" t="s">
        <v>83</v>
      </c>
      <c r="D19" s="21" t="s">
        <v>84</v>
      </c>
      <c r="E19" s="21" t="s">
        <v>85</v>
      </c>
      <c r="F19" s="33" t="s">
        <v>86</v>
      </c>
      <c r="G19" s="57"/>
      <c r="H19" s="54"/>
      <c r="I19" s="67"/>
      <c r="J19" s="57">
        <f t="shared" si="0"/>
        <v>0</v>
      </c>
      <c r="K19" s="57"/>
      <c r="L19" s="57"/>
      <c r="M19" s="57"/>
    </row>
    <row r="20" spans="1:13">
      <c r="A20" s="64">
        <v>43556</v>
      </c>
      <c r="B20" s="21" t="s">
        <v>431</v>
      </c>
      <c r="C20" s="105"/>
      <c r="D20" s="21" t="s">
        <v>103</v>
      </c>
      <c r="E20" s="21" t="s">
        <v>93</v>
      </c>
      <c r="F20" s="33" t="s">
        <v>94</v>
      </c>
      <c r="G20" s="57"/>
      <c r="H20" s="54"/>
      <c r="I20" s="67"/>
      <c r="J20" s="57">
        <f t="shared" si="0"/>
        <v>0</v>
      </c>
      <c r="K20" s="57">
        <f>(J20+J21+J26+J27)*0.2*N2</f>
        <v>0</v>
      </c>
      <c r="L20" s="57"/>
      <c r="M20" s="57"/>
    </row>
    <row r="21" spans="1:13">
      <c r="A21" s="64">
        <v>43556</v>
      </c>
      <c r="B21" s="21" t="s">
        <v>431</v>
      </c>
      <c r="C21" s="105"/>
      <c r="D21" s="21" t="s">
        <v>103</v>
      </c>
      <c r="E21" s="21" t="s">
        <v>93</v>
      </c>
      <c r="F21" s="33" t="s">
        <v>97</v>
      </c>
      <c r="G21" s="57"/>
      <c r="H21" s="54"/>
      <c r="I21" s="67"/>
      <c r="J21" s="57">
        <f t="shared" si="0"/>
        <v>0</v>
      </c>
      <c r="K21" s="57"/>
      <c r="L21" s="57"/>
      <c r="M21" s="57"/>
    </row>
    <row r="22" spans="1:13">
      <c r="A22" s="64">
        <v>43556</v>
      </c>
      <c r="B22" s="21" t="s">
        <v>431</v>
      </c>
      <c r="C22" s="105"/>
      <c r="D22" s="21" t="s">
        <v>324</v>
      </c>
      <c r="E22" s="21" t="s">
        <v>252</v>
      </c>
      <c r="F22" s="33" t="s">
        <v>253</v>
      </c>
      <c r="G22" s="57"/>
      <c r="H22" s="54"/>
      <c r="I22" s="67"/>
      <c r="J22" s="57">
        <f t="shared" si="0"/>
        <v>0</v>
      </c>
      <c r="K22" s="57"/>
      <c r="L22" s="57"/>
      <c r="M22" s="57"/>
    </row>
    <row r="23" spans="1:13">
      <c r="A23" s="64">
        <v>43556</v>
      </c>
      <c r="B23" s="21" t="s">
        <v>431</v>
      </c>
      <c r="C23" s="105"/>
      <c r="D23" s="21" t="s">
        <v>324</v>
      </c>
      <c r="E23" s="21" t="s">
        <v>252</v>
      </c>
      <c r="F23" s="33" t="s">
        <v>432</v>
      </c>
      <c r="G23" s="57"/>
      <c r="H23" s="54"/>
      <c r="I23" s="67"/>
      <c r="J23" s="57">
        <f t="shared" si="0"/>
        <v>0</v>
      </c>
      <c r="K23" s="57"/>
      <c r="L23" s="57"/>
      <c r="M23" s="57"/>
    </row>
    <row r="24" spans="1:13">
      <c r="A24" s="64">
        <v>43556</v>
      </c>
      <c r="B24" s="21" t="s">
        <v>431</v>
      </c>
      <c r="C24" s="105"/>
      <c r="D24" s="21" t="s">
        <v>105</v>
      </c>
      <c r="E24" s="21" t="s">
        <v>99</v>
      </c>
      <c r="F24" s="33" t="s">
        <v>100</v>
      </c>
      <c r="G24" s="57"/>
      <c r="H24" s="54"/>
      <c r="I24" s="67"/>
      <c r="J24" s="57">
        <f t="shared" si="0"/>
        <v>0</v>
      </c>
      <c r="K24" s="57">
        <f>(J24+J25)*0.03*N2</f>
        <v>0</v>
      </c>
      <c r="L24" s="57">
        <f>K24/0.03*0.25</f>
        <v>0</v>
      </c>
      <c r="M24" s="57">
        <f>L24-K24</f>
        <v>0</v>
      </c>
    </row>
    <row r="25" spans="1:13">
      <c r="A25" s="64">
        <v>43556</v>
      </c>
      <c r="B25" s="21" t="s">
        <v>431</v>
      </c>
      <c r="C25" s="105"/>
      <c r="D25" s="21" t="s">
        <v>105</v>
      </c>
      <c r="E25" s="21" t="s">
        <v>99</v>
      </c>
      <c r="F25" s="33" t="s">
        <v>101</v>
      </c>
      <c r="G25" s="57"/>
      <c r="H25" s="54"/>
      <c r="I25" s="67"/>
      <c r="J25" s="57">
        <f t="shared" si="0"/>
        <v>0</v>
      </c>
      <c r="K25" s="57"/>
      <c r="L25" s="57"/>
      <c r="M25" s="57"/>
    </row>
    <row r="26" spans="1:13">
      <c r="A26" s="64">
        <v>43556</v>
      </c>
      <c r="B26" s="21" t="s">
        <v>431</v>
      </c>
      <c r="C26" s="105"/>
      <c r="D26" s="21" t="s">
        <v>102</v>
      </c>
      <c r="E26" s="21" t="s">
        <v>93</v>
      </c>
      <c r="F26" s="33" t="s">
        <v>94</v>
      </c>
      <c r="G26" s="57"/>
      <c r="H26" s="54"/>
      <c r="I26" s="67"/>
      <c r="J26" s="57">
        <f t="shared" si="0"/>
        <v>0</v>
      </c>
      <c r="K26" s="57"/>
      <c r="L26" s="57">
        <f>K26/0.03*0.25</f>
        <v>0</v>
      </c>
      <c r="M26" s="57">
        <f t="shared" ref="M26:M31" si="3">L26-K26</f>
        <v>0</v>
      </c>
    </row>
    <row r="27" spans="1:13">
      <c r="A27" s="64">
        <v>43556</v>
      </c>
      <c r="B27" s="21" t="s">
        <v>431</v>
      </c>
      <c r="C27" s="105"/>
      <c r="D27" s="21" t="s">
        <v>102</v>
      </c>
      <c r="E27" s="21" t="s">
        <v>93</v>
      </c>
      <c r="F27" s="33" t="s">
        <v>97</v>
      </c>
      <c r="G27" s="57"/>
      <c r="H27" s="54"/>
      <c r="I27" s="67"/>
      <c r="J27" s="57">
        <f t="shared" si="0"/>
        <v>0</v>
      </c>
      <c r="K27" s="57"/>
      <c r="L27" s="57"/>
      <c r="M27" s="57"/>
    </row>
    <row r="28" spans="1:13">
      <c r="A28" s="64">
        <v>43556</v>
      </c>
      <c r="B28" s="21" t="s">
        <v>431</v>
      </c>
      <c r="C28" s="105"/>
      <c r="D28" s="21" t="s">
        <v>95</v>
      </c>
      <c r="E28" s="21" t="s">
        <v>85</v>
      </c>
      <c r="F28" s="33" t="s">
        <v>86</v>
      </c>
      <c r="G28" s="57"/>
      <c r="H28" s="54"/>
      <c r="I28" s="67"/>
      <c r="J28" s="57">
        <f t="shared" si="0"/>
        <v>0</v>
      </c>
      <c r="K28" s="57">
        <f>(J28+J29)*0.03*N2</f>
        <v>0</v>
      </c>
      <c r="L28" s="57">
        <f>K28/0.03*0.25</f>
        <v>0</v>
      </c>
      <c r="M28" s="57">
        <f t="shared" si="3"/>
        <v>0</v>
      </c>
    </row>
    <row r="29" spans="1:13">
      <c r="A29" s="64">
        <v>43556</v>
      </c>
      <c r="B29" s="21" t="s">
        <v>431</v>
      </c>
      <c r="C29" s="105"/>
      <c r="D29" s="21" t="s">
        <v>95</v>
      </c>
      <c r="E29" s="21" t="s">
        <v>85</v>
      </c>
      <c r="F29" s="33" t="s">
        <v>87</v>
      </c>
      <c r="G29" s="57"/>
      <c r="H29" s="54"/>
      <c r="I29" s="67"/>
      <c r="J29" s="57">
        <f t="shared" si="0"/>
        <v>0</v>
      </c>
      <c r="K29" s="57"/>
      <c r="L29" s="57"/>
      <c r="M29" s="57"/>
    </row>
    <row r="30" spans="1:13">
      <c r="A30" s="64">
        <v>43556</v>
      </c>
      <c r="B30" s="21" t="s">
        <v>431</v>
      </c>
      <c r="C30" s="105"/>
      <c r="D30" s="21" t="s">
        <v>96</v>
      </c>
      <c r="E30" s="21" t="s">
        <v>252</v>
      </c>
      <c r="F30" s="33" t="s">
        <v>253</v>
      </c>
      <c r="G30" s="57"/>
      <c r="H30" s="54"/>
      <c r="I30" s="67"/>
      <c r="J30" s="57">
        <f t="shared" si="0"/>
        <v>0</v>
      </c>
      <c r="K30" s="57"/>
      <c r="L30" s="57"/>
      <c r="M30" s="57"/>
    </row>
    <row r="31" spans="1:13">
      <c r="A31" s="64"/>
      <c r="C31" s="102" t="s">
        <v>243</v>
      </c>
      <c r="D31" s="21" t="s">
        <v>120</v>
      </c>
      <c r="E31" s="21" t="s">
        <v>121</v>
      </c>
      <c r="F31" s="33" t="s">
        <v>122</v>
      </c>
      <c r="G31" s="57"/>
      <c r="H31" s="54"/>
      <c r="I31" s="67"/>
      <c r="J31" s="57">
        <f t="shared" si="0"/>
        <v>0</v>
      </c>
      <c r="K31" s="57">
        <f>(J31+J32+J33)*0.05*N2</f>
        <v>0</v>
      </c>
      <c r="L31" s="57">
        <f>K31/0.05*0.25</f>
        <v>0</v>
      </c>
      <c r="M31" s="57">
        <f t="shared" si="3"/>
        <v>0</v>
      </c>
    </row>
    <row r="32" spans="1:13">
      <c r="A32" s="64"/>
      <c r="C32" s="103"/>
      <c r="D32" s="21" t="s">
        <v>123</v>
      </c>
      <c r="E32" s="21" t="s">
        <v>121</v>
      </c>
      <c r="F32" s="33" t="s">
        <v>122</v>
      </c>
      <c r="G32" s="57"/>
      <c r="H32" s="54"/>
      <c r="I32" s="67"/>
      <c r="J32" s="57">
        <f t="shared" si="0"/>
        <v>0</v>
      </c>
      <c r="K32" s="57"/>
      <c r="L32" s="57"/>
      <c r="M32" s="57"/>
    </row>
    <row r="33" spans="1:13">
      <c r="A33" s="64"/>
      <c r="C33" s="103"/>
      <c r="D33" s="21" t="s">
        <v>123</v>
      </c>
      <c r="E33" s="21" t="s">
        <v>121</v>
      </c>
      <c r="F33" s="33" t="s">
        <v>124</v>
      </c>
      <c r="G33" s="57"/>
      <c r="H33" s="54"/>
      <c r="I33" s="67"/>
      <c r="J33" s="57">
        <f t="shared" si="0"/>
        <v>0</v>
      </c>
      <c r="K33" s="57"/>
      <c r="L33" s="57"/>
      <c r="M33" s="57"/>
    </row>
    <row r="34" spans="1:13">
      <c r="A34" s="64"/>
      <c r="C34" s="103"/>
      <c r="D34" s="21" t="s">
        <v>107</v>
      </c>
      <c r="E34" s="21" t="s">
        <v>129</v>
      </c>
      <c r="F34" s="33" t="s">
        <v>130</v>
      </c>
      <c r="G34" s="57"/>
      <c r="H34" s="54"/>
      <c r="I34" s="67"/>
      <c r="J34" s="57">
        <f t="shared" si="0"/>
        <v>0</v>
      </c>
      <c r="K34" s="57"/>
      <c r="L34" s="57"/>
      <c r="M34" s="57"/>
    </row>
    <row r="35" spans="1:13">
      <c r="A35" s="64"/>
      <c r="C35" s="103"/>
      <c r="D35" s="21" t="s">
        <v>112</v>
      </c>
      <c r="E35" s="21" t="s">
        <v>246</v>
      </c>
      <c r="F35" s="33" t="s">
        <v>247</v>
      </c>
      <c r="G35" s="57"/>
      <c r="H35" s="54"/>
      <c r="I35" s="67"/>
      <c r="J35" s="57">
        <f t="shared" si="0"/>
        <v>0</v>
      </c>
      <c r="K35" s="57">
        <f>(J35+J36)*0.03*N2</f>
        <v>0</v>
      </c>
      <c r="L35" s="57">
        <f t="shared" ref="L35:L38" si="4">K35/0.03*0.25</f>
        <v>0</v>
      </c>
      <c r="M35" s="57">
        <f t="shared" ref="M35:M38" si="5">L35-K35</f>
        <v>0</v>
      </c>
    </row>
    <row r="36" spans="1:13">
      <c r="A36" s="64"/>
      <c r="C36" s="103"/>
      <c r="D36" s="21" t="s">
        <v>137</v>
      </c>
      <c r="E36" s="21" t="s">
        <v>246</v>
      </c>
      <c r="F36" s="33" t="s">
        <v>247</v>
      </c>
      <c r="G36" s="57"/>
      <c r="H36" s="54"/>
      <c r="I36" s="67"/>
      <c r="J36" s="57">
        <f t="shared" si="0"/>
        <v>0</v>
      </c>
      <c r="K36" s="57"/>
      <c r="L36" s="57"/>
      <c r="M36" s="57"/>
    </row>
    <row r="37" spans="1:13">
      <c r="A37" s="64"/>
      <c r="C37" s="103"/>
      <c r="D37" s="21" t="s">
        <v>133</v>
      </c>
      <c r="E37" s="21" t="s">
        <v>429</v>
      </c>
      <c r="F37" s="33" t="s">
        <v>430</v>
      </c>
      <c r="G37" s="57"/>
      <c r="H37" s="54"/>
      <c r="I37" s="67"/>
      <c r="J37" s="57">
        <f t="shared" si="0"/>
        <v>0</v>
      </c>
      <c r="K37" s="57">
        <f>(J37)*0.03*N2</f>
        <v>0</v>
      </c>
      <c r="L37" s="57">
        <f t="shared" si="4"/>
        <v>0</v>
      </c>
      <c r="M37" s="57">
        <f t="shared" si="5"/>
        <v>0</v>
      </c>
    </row>
    <row r="38" spans="1:13">
      <c r="A38" s="64">
        <v>43556</v>
      </c>
      <c r="B38" s="21" t="s">
        <v>431</v>
      </c>
      <c r="C38" s="103"/>
      <c r="D38" s="21" t="s">
        <v>138</v>
      </c>
      <c r="E38" s="21" t="s">
        <v>108</v>
      </c>
      <c r="F38" s="33" t="s">
        <v>110</v>
      </c>
      <c r="G38" s="57"/>
      <c r="H38" s="54"/>
      <c r="I38" s="67"/>
      <c r="J38" s="57">
        <f t="shared" si="0"/>
        <v>0</v>
      </c>
      <c r="K38" s="57">
        <f>(J38+J40)*0.03*N2</f>
        <v>0</v>
      </c>
      <c r="L38" s="57">
        <f t="shared" si="4"/>
        <v>0</v>
      </c>
      <c r="M38" s="57">
        <f t="shared" si="5"/>
        <v>0</v>
      </c>
    </row>
    <row r="39" spans="1:13">
      <c r="A39" s="64"/>
      <c r="C39" s="103"/>
      <c r="D39" s="21" t="s">
        <v>126</v>
      </c>
      <c r="E39" s="21" t="s">
        <v>113</v>
      </c>
      <c r="F39" s="33" t="s">
        <v>114</v>
      </c>
      <c r="G39" s="57"/>
      <c r="H39" s="54"/>
      <c r="I39" s="67"/>
      <c r="J39" s="57">
        <f t="shared" si="0"/>
        <v>0</v>
      </c>
      <c r="K39" s="57"/>
      <c r="L39" s="57"/>
      <c r="M39" s="57"/>
    </row>
    <row r="40" spans="1:13">
      <c r="A40" s="64"/>
      <c r="C40" s="103"/>
      <c r="D40" s="21" t="s">
        <v>111</v>
      </c>
      <c r="E40" s="21" t="s">
        <v>108</v>
      </c>
      <c r="F40" s="33" t="s">
        <v>110</v>
      </c>
      <c r="G40" s="57"/>
      <c r="H40" s="54"/>
      <c r="I40" s="67"/>
      <c r="J40" s="57">
        <f t="shared" si="0"/>
        <v>0</v>
      </c>
      <c r="K40" s="57"/>
      <c r="L40" s="57"/>
      <c r="M40" s="57"/>
    </row>
    <row r="41" spans="1:13">
      <c r="A41" s="64">
        <v>43556</v>
      </c>
      <c r="B41" s="21" t="s">
        <v>431</v>
      </c>
      <c r="C41" s="105" t="s">
        <v>397</v>
      </c>
      <c r="D41" s="21" t="s">
        <v>160</v>
      </c>
      <c r="E41" s="21" t="s">
        <v>161</v>
      </c>
      <c r="F41" s="33" t="s">
        <v>290</v>
      </c>
      <c r="G41" s="57"/>
      <c r="H41" s="54"/>
      <c r="I41" s="67"/>
      <c r="J41" s="57">
        <f t="shared" si="0"/>
        <v>0</v>
      </c>
      <c r="K41" s="57">
        <f>(J41)*0.04*N2</f>
        <v>0</v>
      </c>
      <c r="L41" s="57">
        <f>K41/0.04*0.25</f>
        <v>0</v>
      </c>
      <c r="M41" s="57">
        <f t="shared" ref="M41:M46" si="6">L41-K41</f>
        <v>0</v>
      </c>
    </row>
    <row r="42" spans="1:13">
      <c r="A42" s="64"/>
      <c r="C42" s="105"/>
      <c r="D42" s="21" t="s">
        <v>175</v>
      </c>
      <c r="E42" s="21" t="s">
        <v>176</v>
      </c>
      <c r="F42" s="33" t="s">
        <v>177</v>
      </c>
      <c r="G42" s="57"/>
      <c r="H42" s="54"/>
      <c r="I42" s="67"/>
      <c r="J42" s="57">
        <f t="shared" ref="J42:J66" si="7">G42*H42*1-I42</f>
        <v>0</v>
      </c>
      <c r="K42" s="57"/>
      <c r="L42" s="57"/>
      <c r="M42" s="57"/>
    </row>
    <row r="43" spans="1:13">
      <c r="A43" s="64">
        <v>43556</v>
      </c>
      <c r="B43" s="21" t="s">
        <v>431</v>
      </c>
      <c r="C43" s="105"/>
      <c r="D43" s="21" t="s">
        <v>175</v>
      </c>
      <c r="E43" s="21" t="s">
        <v>176</v>
      </c>
      <c r="F43" s="33" t="s">
        <v>178</v>
      </c>
      <c r="G43" s="57"/>
      <c r="H43" s="54"/>
      <c r="I43" s="67"/>
      <c r="J43" s="57">
        <f t="shared" si="7"/>
        <v>0</v>
      </c>
      <c r="K43" s="57"/>
      <c r="L43" s="57"/>
      <c r="M43" s="57"/>
    </row>
    <row r="44" spans="1:13">
      <c r="A44" s="64">
        <v>43556</v>
      </c>
      <c r="B44" s="21" t="s">
        <v>431</v>
      </c>
      <c r="C44" s="105"/>
      <c r="D44" s="21" t="s">
        <v>88</v>
      </c>
      <c r="E44" s="21" t="s">
        <v>181</v>
      </c>
      <c r="F44" s="33" t="s">
        <v>183</v>
      </c>
      <c r="G44" s="57"/>
      <c r="H44" s="54"/>
      <c r="I44" s="67"/>
      <c r="J44" s="57">
        <f t="shared" si="7"/>
        <v>0</v>
      </c>
      <c r="K44" s="57">
        <f>(J44+J45)*0.05*N2</f>
        <v>0</v>
      </c>
      <c r="L44" s="57">
        <f>K44/0.05*0.25</f>
        <v>0</v>
      </c>
      <c r="M44" s="57">
        <f t="shared" si="6"/>
        <v>0</v>
      </c>
    </row>
    <row r="45" spans="1:13">
      <c r="A45" s="64">
        <v>43556</v>
      </c>
      <c r="B45" s="21" t="s">
        <v>431</v>
      </c>
      <c r="C45" s="105"/>
      <c r="D45" s="21" t="s">
        <v>154</v>
      </c>
      <c r="E45" s="21" t="s">
        <v>181</v>
      </c>
      <c r="F45" s="33" t="s">
        <v>183</v>
      </c>
      <c r="G45" s="57"/>
      <c r="H45" s="54"/>
      <c r="I45" s="67"/>
      <c r="J45" s="57">
        <f t="shared" si="7"/>
        <v>0</v>
      </c>
      <c r="K45" s="57"/>
      <c r="L45" s="57"/>
      <c r="M45" s="57"/>
    </row>
    <row r="46" spans="1:13">
      <c r="A46" s="64">
        <v>43556</v>
      </c>
      <c r="B46" s="21" t="s">
        <v>431</v>
      </c>
      <c r="C46" s="105"/>
      <c r="D46" s="75" t="s">
        <v>158</v>
      </c>
      <c r="E46" s="75" t="s">
        <v>149</v>
      </c>
      <c r="F46" s="75" t="s">
        <v>150</v>
      </c>
      <c r="G46" s="76"/>
      <c r="H46" s="77"/>
      <c r="I46" s="67"/>
      <c r="J46" s="57">
        <f t="shared" si="7"/>
        <v>0</v>
      </c>
      <c r="K46" s="57"/>
      <c r="L46" s="57">
        <f>K46/0.03*0.25</f>
        <v>0</v>
      </c>
      <c r="M46" s="57">
        <f t="shared" si="6"/>
        <v>0</v>
      </c>
    </row>
    <row r="47" spans="1:13">
      <c r="A47" s="64">
        <v>43556</v>
      </c>
      <c r="B47" s="21" t="s">
        <v>431</v>
      </c>
      <c r="C47" s="105"/>
      <c r="D47" s="75" t="s">
        <v>164</v>
      </c>
      <c r="E47" s="75" t="s">
        <v>149</v>
      </c>
      <c r="F47" s="75" t="s">
        <v>150</v>
      </c>
      <c r="G47" s="76"/>
      <c r="H47" s="77"/>
      <c r="I47" s="67"/>
      <c r="J47" s="57">
        <f t="shared" si="7"/>
        <v>0</v>
      </c>
      <c r="K47" s="57"/>
      <c r="L47" s="57"/>
      <c r="M47" s="57"/>
    </row>
    <row r="48" spans="1:13">
      <c r="A48" s="64">
        <v>43556</v>
      </c>
      <c r="B48" s="21" t="s">
        <v>431</v>
      </c>
      <c r="C48" s="105"/>
      <c r="D48" s="21" t="s">
        <v>152</v>
      </c>
      <c r="E48" s="21" t="s">
        <v>141</v>
      </c>
      <c r="F48" s="33" t="s">
        <v>153</v>
      </c>
      <c r="G48" s="57"/>
      <c r="H48" s="54"/>
      <c r="I48" s="67"/>
      <c r="J48" s="57">
        <f t="shared" si="7"/>
        <v>0</v>
      </c>
      <c r="K48" s="57"/>
      <c r="L48" s="57">
        <f>K48/0.05*0.25</f>
        <v>0</v>
      </c>
      <c r="M48" s="57">
        <f>L48-K48</f>
        <v>0</v>
      </c>
    </row>
    <row r="49" spans="1:13">
      <c r="A49" s="64"/>
      <c r="C49" s="105"/>
      <c r="D49" s="21" t="s">
        <v>152</v>
      </c>
      <c r="E49" s="21" t="s">
        <v>141</v>
      </c>
      <c r="F49" s="33" t="s">
        <v>142</v>
      </c>
      <c r="G49" s="57"/>
      <c r="H49" s="54"/>
      <c r="I49" s="67"/>
      <c r="J49" s="57">
        <f t="shared" si="7"/>
        <v>0</v>
      </c>
      <c r="K49" s="57"/>
      <c r="L49" s="57"/>
      <c r="M49" s="57"/>
    </row>
    <row r="50" spans="1:13">
      <c r="A50" s="64">
        <v>43556</v>
      </c>
      <c r="B50" s="21" t="s">
        <v>431</v>
      </c>
      <c r="C50" s="105"/>
      <c r="D50" s="75" t="s">
        <v>148</v>
      </c>
      <c r="E50" s="75" t="s">
        <v>149</v>
      </c>
      <c r="F50" s="75" t="s">
        <v>150</v>
      </c>
      <c r="G50" s="76"/>
      <c r="H50" s="77"/>
      <c r="I50" s="67"/>
      <c r="J50" s="57">
        <f t="shared" si="7"/>
        <v>0</v>
      </c>
      <c r="K50" s="57">
        <f>(J50+J47+J46)*0.25*N2</f>
        <v>0</v>
      </c>
      <c r="L50" s="57"/>
      <c r="M50" s="57"/>
    </row>
    <row r="51" spans="1:13">
      <c r="A51" s="64">
        <v>43556</v>
      </c>
      <c r="B51" s="21" t="s">
        <v>431</v>
      </c>
      <c r="C51" s="105"/>
      <c r="D51" s="21" t="s">
        <v>180</v>
      </c>
      <c r="E51" s="21" t="s">
        <v>176</v>
      </c>
      <c r="F51" s="33" t="s">
        <v>178</v>
      </c>
      <c r="G51" s="57"/>
      <c r="H51" s="54"/>
      <c r="I51" s="67"/>
      <c r="J51" s="57">
        <f t="shared" si="7"/>
        <v>0</v>
      </c>
      <c r="K51" s="57">
        <f>(J51+J43+J52+J42)*0.03*N2</f>
        <v>0</v>
      </c>
      <c r="L51" s="57">
        <f>K51/0.03*0.25</f>
        <v>0</v>
      </c>
      <c r="M51" s="57">
        <f>L51-K51</f>
        <v>0</v>
      </c>
    </row>
    <row r="52" spans="1:13">
      <c r="A52" s="64"/>
      <c r="C52" s="105"/>
      <c r="D52" s="21" t="s">
        <v>180</v>
      </c>
      <c r="E52" s="21" t="s">
        <v>176</v>
      </c>
      <c r="F52" s="33" t="s">
        <v>179</v>
      </c>
      <c r="G52" s="57"/>
      <c r="H52" s="54"/>
      <c r="I52" s="67"/>
      <c r="J52" s="57">
        <f t="shared" si="7"/>
        <v>0</v>
      </c>
      <c r="K52" s="57"/>
      <c r="L52" s="57"/>
      <c r="M52" s="57"/>
    </row>
    <row r="53" spans="1:13">
      <c r="A53" s="64"/>
      <c r="C53" s="105"/>
      <c r="D53" s="21" t="s">
        <v>342</v>
      </c>
      <c r="E53" s="21" t="s">
        <v>141</v>
      </c>
      <c r="F53" s="33" t="s">
        <v>142</v>
      </c>
      <c r="G53" s="57"/>
      <c r="H53" s="54"/>
      <c r="I53" s="67"/>
      <c r="J53" s="57">
        <f t="shared" si="7"/>
        <v>0</v>
      </c>
      <c r="K53" s="57">
        <f>(J53+J54+J48+J49)*0.03*N2</f>
        <v>0</v>
      </c>
      <c r="L53" s="57">
        <f>K53/0.03*0.25</f>
        <v>0</v>
      </c>
      <c r="M53" s="57">
        <f>L53-K53</f>
        <v>0</v>
      </c>
    </row>
    <row r="54" spans="1:13">
      <c r="A54" s="64">
        <v>43556</v>
      </c>
      <c r="B54" s="21" t="s">
        <v>431</v>
      </c>
      <c r="C54" s="105"/>
      <c r="D54" s="21" t="s">
        <v>140</v>
      </c>
      <c r="E54" s="21" t="s">
        <v>141</v>
      </c>
      <c r="F54" s="33" t="s">
        <v>142</v>
      </c>
      <c r="G54" s="57"/>
      <c r="H54" s="54"/>
      <c r="I54" s="67"/>
      <c r="J54" s="57">
        <f t="shared" si="7"/>
        <v>0</v>
      </c>
      <c r="K54" s="57"/>
      <c r="L54" s="57">
        <f>K54/0.04*0.25</f>
        <v>0</v>
      </c>
      <c r="M54" s="57">
        <f t="shared" ref="M54:M59" si="8">L54-K54</f>
        <v>0</v>
      </c>
    </row>
    <row r="55" spans="1:13">
      <c r="A55" s="64"/>
      <c r="C55" s="105"/>
      <c r="D55" s="21" t="s">
        <v>140</v>
      </c>
      <c r="E55" s="21" t="s">
        <v>144</v>
      </c>
      <c r="F55" s="33" t="s">
        <v>145</v>
      </c>
      <c r="G55" s="57"/>
      <c r="H55" s="54"/>
      <c r="I55" s="67"/>
      <c r="J55" s="57">
        <f t="shared" si="7"/>
        <v>0</v>
      </c>
      <c r="K55" s="57">
        <f>(J55+J56)*0.05*N2</f>
        <v>0</v>
      </c>
      <c r="L55" s="57">
        <f>K55/0.05*0.25</f>
        <v>0</v>
      </c>
      <c r="M55" s="57">
        <f t="shared" si="8"/>
        <v>0</v>
      </c>
    </row>
    <row r="56" spans="1:13">
      <c r="A56" s="64"/>
      <c r="C56" s="105"/>
      <c r="D56" s="21" t="s">
        <v>166</v>
      </c>
      <c r="E56" s="21" t="s">
        <v>144</v>
      </c>
      <c r="F56" s="33" t="s">
        <v>145</v>
      </c>
      <c r="G56" s="57"/>
      <c r="H56" s="54"/>
      <c r="I56" s="67"/>
      <c r="J56" s="57">
        <f t="shared" si="7"/>
        <v>0</v>
      </c>
      <c r="K56" s="57"/>
      <c r="L56" s="57"/>
      <c r="M56" s="57"/>
    </row>
    <row r="57" spans="1:13">
      <c r="A57" s="64">
        <v>43556</v>
      </c>
      <c r="B57" s="21" t="s">
        <v>431</v>
      </c>
      <c r="C57" s="105"/>
      <c r="D57" s="21" t="s">
        <v>174</v>
      </c>
      <c r="E57" s="21" t="s">
        <v>170</v>
      </c>
      <c r="F57" s="33" t="s">
        <v>172</v>
      </c>
      <c r="G57" s="57"/>
      <c r="H57" s="54"/>
      <c r="I57" s="67"/>
      <c r="J57" s="57">
        <f t="shared" si="7"/>
        <v>0</v>
      </c>
      <c r="K57" s="57">
        <f>(J57+J59+J58)*0.04*N2</f>
        <v>0</v>
      </c>
      <c r="L57" s="57">
        <f>K57/0.04*0.25</f>
        <v>0</v>
      </c>
      <c r="M57" s="57">
        <f t="shared" si="8"/>
        <v>0</v>
      </c>
    </row>
    <row r="58" spans="1:13" ht="14.25">
      <c r="A58" s="64"/>
      <c r="C58" s="105"/>
      <c r="D58" s="21" t="s">
        <v>169</v>
      </c>
      <c r="E58" s="21" t="s">
        <v>170</v>
      </c>
      <c r="F58" s="33" t="s">
        <v>171</v>
      </c>
      <c r="G58" s="57"/>
      <c r="H58" s="54"/>
      <c r="I58" s="82"/>
      <c r="J58" s="57">
        <f t="shared" si="7"/>
        <v>0</v>
      </c>
      <c r="K58" s="57"/>
      <c r="L58" s="57"/>
      <c r="M58" s="57"/>
    </row>
    <row r="59" spans="1:13">
      <c r="A59" s="64">
        <v>43556</v>
      </c>
      <c r="B59" s="21" t="s">
        <v>431</v>
      </c>
      <c r="C59" s="105"/>
      <c r="D59" s="21" t="s">
        <v>169</v>
      </c>
      <c r="E59" s="21" t="s">
        <v>170</v>
      </c>
      <c r="F59" s="33" t="s">
        <v>172</v>
      </c>
      <c r="G59" s="57"/>
      <c r="H59" s="54"/>
      <c r="I59" s="68"/>
      <c r="J59" s="57">
        <f t="shared" si="7"/>
        <v>0</v>
      </c>
      <c r="K59" s="57"/>
      <c r="L59" s="57">
        <f>K59/0.03*0.25</f>
        <v>0</v>
      </c>
      <c r="M59" s="57">
        <f t="shared" si="8"/>
        <v>0</v>
      </c>
    </row>
    <row r="60" spans="1:13">
      <c r="A60" s="64"/>
      <c r="C60" s="105" t="s">
        <v>235</v>
      </c>
      <c r="D60" s="21" t="s">
        <v>189</v>
      </c>
      <c r="E60" s="21" t="s">
        <v>191</v>
      </c>
      <c r="F60" s="33" t="s">
        <v>192</v>
      </c>
      <c r="G60" s="57"/>
      <c r="H60" s="54"/>
      <c r="I60" s="68"/>
      <c r="J60" s="57">
        <f t="shared" si="7"/>
        <v>0</v>
      </c>
      <c r="K60" s="57"/>
      <c r="L60" s="57"/>
      <c r="M60" s="57"/>
    </row>
    <row r="61" spans="1:13">
      <c r="A61" s="64">
        <v>43556</v>
      </c>
      <c r="B61" s="21" t="s">
        <v>431</v>
      </c>
      <c r="C61" s="105"/>
      <c r="D61" s="21" t="s">
        <v>189</v>
      </c>
      <c r="E61" s="21" t="s">
        <v>191</v>
      </c>
      <c r="F61" s="33" t="s">
        <v>193</v>
      </c>
      <c r="G61" s="57"/>
      <c r="H61" s="54"/>
      <c r="I61" s="67"/>
      <c r="J61" s="57">
        <f t="shared" si="7"/>
        <v>0</v>
      </c>
      <c r="K61" s="57">
        <f>(J61+J60)*0.05*N2</f>
        <v>0</v>
      </c>
      <c r="L61" s="57">
        <f>K61/0.05*0.25</f>
        <v>0</v>
      </c>
      <c r="M61" s="57">
        <f>L61-K61</f>
        <v>0</v>
      </c>
    </row>
    <row r="62" spans="1:13">
      <c r="A62" s="64"/>
      <c r="C62" s="105"/>
      <c r="D62" s="21" t="s">
        <v>186</v>
      </c>
      <c r="E62" s="21" t="s">
        <v>349</v>
      </c>
      <c r="F62" s="33" t="s">
        <v>350</v>
      </c>
      <c r="G62" s="57"/>
      <c r="H62" s="54"/>
      <c r="I62" s="67"/>
      <c r="J62" s="57">
        <f t="shared" si="7"/>
        <v>0</v>
      </c>
      <c r="K62" s="57"/>
      <c r="L62" s="57"/>
      <c r="M62" s="57"/>
    </row>
    <row r="63" spans="1:13">
      <c r="A63" s="64">
        <v>43556</v>
      </c>
      <c r="B63" s="21" t="s">
        <v>431</v>
      </c>
      <c r="C63" s="105"/>
      <c r="D63" s="21" t="s">
        <v>186</v>
      </c>
      <c r="E63" s="21" t="s">
        <v>349</v>
      </c>
      <c r="F63" s="33" t="s">
        <v>351</v>
      </c>
      <c r="G63" s="57"/>
      <c r="H63" s="54"/>
      <c r="I63" s="67"/>
      <c r="J63" s="57">
        <f t="shared" si="7"/>
        <v>0</v>
      </c>
      <c r="K63" s="57">
        <f>(J63+J64+J62)*0.05*N2</f>
        <v>0</v>
      </c>
      <c r="L63" s="57">
        <f>K63/0.05*0.25</f>
        <v>0</v>
      </c>
      <c r="M63" s="57">
        <f>L63-K63</f>
        <v>0</v>
      </c>
    </row>
    <row r="64" spans="1:13">
      <c r="A64" s="64">
        <v>43556</v>
      </c>
      <c r="B64" s="21" t="s">
        <v>431</v>
      </c>
      <c r="C64" s="105"/>
      <c r="D64" s="80" t="s">
        <v>197</v>
      </c>
      <c r="E64" s="21" t="s">
        <v>349</v>
      </c>
      <c r="F64" s="33" t="s">
        <v>351</v>
      </c>
      <c r="G64" s="57"/>
      <c r="H64" s="54"/>
      <c r="I64" s="67"/>
      <c r="J64" s="57">
        <f t="shared" si="7"/>
        <v>0</v>
      </c>
      <c r="K64" s="57"/>
      <c r="L64" s="57"/>
      <c r="M64" s="57"/>
    </row>
    <row r="65" spans="1:13">
      <c r="A65" s="64">
        <v>43556</v>
      </c>
      <c r="B65" s="21" t="s">
        <v>431</v>
      </c>
      <c r="C65" s="103" t="s">
        <v>199</v>
      </c>
      <c r="D65" s="21" t="s">
        <v>200</v>
      </c>
      <c r="E65" s="21" t="s">
        <v>93</v>
      </c>
      <c r="F65" s="33" t="s">
        <v>94</v>
      </c>
      <c r="G65" s="57"/>
      <c r="H65" s="54"/>
      <c r="I65" s="67"/>
      <c r="J65" s="57">
        <f t="shared" si="7"/>
        <v>0</v>
      </c>
      <c r="K65" s="57">
        <f>(J65+J66)*0.25*N2</f>
        <v>0</v>
      </c>
      <c r="L65" s="57"/>
      <c r="M65" s="57"/>
    </row>
    <row r="66" spans="1:13">
      <c r="A66" s="64">
        <v>43556</v>
      </c>
      <c r="B66" s="21" t="s">
        <v>431</v>
      </c>
      <c r="C66" s="104"/>
      <c r="D66" s="21" t="s">
        <v>202</v>
      </c>
      <c r="E66" s="21" t="s">
        <v>93</v>
      </c>
      <c r="F66" s="33" t="s">
        <v>94</v>
      </c>
      <c r="G66" s="57"/>
      <c r="H66" s="54"/>
      <c r="I66" s="68"/>
      <c r="J66" s="57">
        <f t="shared" si="7"/>
        <v>0</v>
      </c>
      <c r="K66" s="57"/>
      <c r="L66" s="57"/>
      <c r="M66" s="57"/>
    </row>
    <row r="67" spans="1:13">
      <c r="A67" s="21">
        <v>42795</v>
      </c>
      <c r="C67" s="105" t="s">
        <v>218</v>
      </c>
      <c r="D67" s="105"/>
      <c r="E67" s="21" t="s">
        <v>219</v>
      </c>
      <c r="F67" s="33" t="s">
        <v>219</v>
      </c>
      <c r="G67" s="57"/>
      <c r="H67" s="54"/>
      <c r="I67" s="68"/>
      <c r="J67" s="57">
        <f t="shared" ref="J67:J70" si="9">(G67*H67*0.98)-I67</f>
        <v>0</v>
      </c>
      <c r="K67" s="57">
        <f>(J3+J4+J6+J15+J24+J25+J26+J27+J41+J44+J45+J47+J50+J51+J54+J59+J61+J63+J64+J19+J46+J28+J29+J57+J13+J16++J30+J31+J32+J34+J35+J55+J53+J14+J18+J33+J36+J40+J43+J48+J49+J52+J20+J21+J7+J8+J9+J39+J42+J56+J58+J60+J62)*0.01*N2+(J5+J10+J11+J17+J12)*0.07*N2+(J38)*0.04*N2+(0)*0.08*N2</f>
        <v>0</v>
      </c>
      <c r="L67" s="57"/>
      <c r="M67" s="57"/>
    </row>
    <row r="68" spans="1:13">
      <c r="A68" s="21">
        <v>42795</v>
      </c>
      <c r="C68" s="105"/>
      <c r="D68" s="105"/>
      <c r="E68" s="21" t="s">
        <v>220</v>
      </c>
      <c r="F68" s="33" t="s">
        <v>220</v>
      </c>
      <c r="G68" s="57"/>
      <c r="H68" s="54"/>
      <c r="I68" s="68"/>
      <c r="J68" s="57">
        <f t="shared" si="9"/>
        <v>0</v>
      </c>
      <c r="K68" s="57">
        <f>(J6+J16)*0.06*N2+(0)*0.03*N2+(J28+J59+J19+J29+J58+J56)*0.07*N2</f>
        <v>0</v>
      </c>
      <c r="L68" s="57"/>
      <c r="M68" s="57"/>
    </row>
    <row r="69" spans="1:13">
      <c r="A69" s="21">
        <v>42795</v>
      </c>
      <c r="C69" s="105"/>
      <c r="D69" s="105"/>
      <c r="E69" s="21" t="s">
        <v>221</v>
      </c>
      <c r="F69" s="33" t="s">
        <v>221</v>
      </c>
      <c r="G69" s="57"/>
      <c r="H69" s="54"/>
      <c r="I69" s="68"/>
      <c r="J69" s="57">
        <f t="shared" si="9"/>
        <v>0</v>
      </c>
      <c r="K69" s="57">
        <f>(J24+J30+J46+J50+J25+J47)*0.07*N2+(J3+J7+J4)*0.06*N2+(J61+J60)*0.03*N2</f>
        <v>0</v>
      </c>
      <c r="L69" s="57"/>
      <c r="M69" s="57"/>
    </row>
    <row r="70" spans="1:13">
      <c r="A70" s="21">
        <v>42795</v>
      </c>
      <c r="C70" s="105"/>
      <c r="D70" s="105"/>
      <c r="E70" s="21" t="s">
        <v>225</v>
      </c>
      <c r="F70" s="33" t="s">
        <v>225</v>
      </c>
      <c r="G70" s="57"/>
      <c r="H70" s="54"/>
      <c r="I70" s="68"/>
      <c r="J70" s="57">
        <f t="shared" si="9"/>
        <v>0</v>
      </c>
      <c r="K70" s="57">
        <f>(J43+J45+J42)*0.07*N2+(J8+J9)*0.06*N2</f>
        <v>0</v>
      </c>
      <c r="L70" s="57"/>
      <c r="M70" s="57"/>
    </row>
    <row r="71" spans="1:13">
      <c r="A71" s="21">
        <v>42795</v>
      </c>
      <c r="C71" s="105"/>
      <c r="D71" s="105"/>
      <c r="E71" s="21" t="s">
        <v>223</v>
      </c>
      <c r="F71" s="33" t="s">
        <v>223</v>
      </c>
      <c r="G71" s="57"/>
      <c r="H71" s="54"/>
      <c r="I71" s="68"/>
      <c r="J71" s="57">
        <v>0</v>
      </c>
      <c r="K71" s="57">
        <f>(J13+J14)*0.06*N2</f>
        <v>0</v>
      </c>
      <c r="L71" s="57"/>
      <c r="M71" s="57"/>
    </row>
    <row r="72" spans="1:13">
      <c r="C72" s="105"/>
      <c r="D72" s="105"/>
      <c r="E72" s="21" t="s">
        <v>224</v>
      </c>
      <c r="F72" s="33" t="s">
        <v>224</v>
      </c>
      <c r="G72" s="57"/>
      <c r="H72" s="54"/>
      <c r="I72" s="68"/>
      <c r="J72" s="57">
        <v>0</v>
      </c>
      <c r="K72" s="57">
        <f>(0)*0.06*N2+(J44+J51+J57+J52)*0.07*N2+(J32+J62+J63+J64)*0.03*N2</f>
        <v>0</v>
      </c>
      <c r="L72" s="57"/>
      <c r="M72" s="57"/>
    </row>
    <row r="73" spans="1:13">
      <c r="C73" s="105"/>
      <c r="D73" s="105"/>
      <c r="E73" s="21" t="s">
        <v>222</v>
      </c>
      <c r="F73" s="33" t="s">
        <v>222</v>
      </c>
      <c r="G73" s="57"/>
      <c r="H73" s="54"/>
      <c r="I73" s="68"/>
      <c r="J73" s="57">
        <v>0</v>
      </c>
      <c r="K73" s="57">
        <f>(J31+J40)*0.03*N2+(J41+J53+J26+J27+J20+J21)*0.07*N2+J18*0.06*N2</f>
        <v>0</v>
      </c>
      <c r="L73" s="57"/>
      <c r="M73" s="57"/>
    </row>
    <row r="74" spans="1:13">
      <c r="E74" s="21" t="s">
        <v>226</v>
      </c>
      <c r="F74" s="33" t="s">
        <v>226</v>
      </c>
      <c r="G74" s="57"/>
      <c r="H74" s="54"/>
      <c r="I74" s="68"/>
      <c r="J74" s="57">
        <v>0</v>
      </c>
      <c r="K74" s="57">
        <f>(J48+J49+J54+J55)*0.07*N2+J15*0.06*N2</f>
        <v>0</v>
      </c>
      <c r="L74" s="57"/>
      <c r="M74" s="57"/>
    </row>
    <row r="75" spans="1:13">
      <c r="A75" s="21">
        <v>42795</v>
      </c>
      <c r="F75" s="58" t="s">
        <v>227</v>
      </c>
      <c r="G75" s="65">
        <f>SUM(G3:G70)</f>
        <v>0</v>
      </c>
      <c r="H75" s="66"/>
      <c r="I75" s="69">
        <f>SUM(I3:I68)</f>
        <v>0</v>
      </c>
      <c r="J75" s="65">
        <f>SUM(J3:J73)</f>
        <v>0</v>
      </c>
      <c r="K75" s="65">
        <f>J75*N2</f>
        <v>0</v>
      </c>
      <c r="L75" s="57"/>
      <c r="M75" s="57"/>
    </row>
    <row r="76" spans="1:13">
      <c r="F76" s="58" t="s">
        <v>228</v>
      </c>
      <c r="G76" s="65"/>
      <c r="H76" s="66"/>
      <c r="I76" s="69"/>
      <c r="J76" s="65"/>
      <c r="K76" s="65">
        <f>K75*0.4</f>
        <v>0</v>
      </c>
      <c r="L76" s="57"/>
      <c r="M76" s="57"/>
    </row>
    <row r="77" spans="1:13">
      <c r="F77" s="58" t="s">
        <v>261</v>
      </c>
      <c r="G77" s="65"/>
      <c r="H77" s="66"/>
      <c r="I77" s="69"/>
      <c r="J77" s="65"/>
      <c r="K77" s="65">
        <f>K75*0.6</f>
        <v>0</v>
      </c>
      <c r="L77" s="57"/>
      <c r="M77" s="57"/>
    </row>
    <row r="78" spans="1:13">
      <c r="F78" s="33"/>
      <c r="G78" s="57"/>
      <c r="H78" s="54"/>
      <c r="I78" s="68"/>
      <c r="J78" s="57"/>
      <c r="K78" s="57"/>
      <c r="L78" s="57"/>
      <c r="M78" s="57"/>
    </row>
    <row r="79" spans="1:13">
      <c r="A79" s="21">
        <v>42795</v>
      </c>
      <c r="C79" s="21" t="s">
        <v>405</v>
      </c>
      <c r="E79" s="21" t="s">
        <v>230</v>
      </c>
      <c r="F79" s="33"/>
      <c r="G79" s="57"/>
      <c r="H79" s="54"/>
      <c r="I79" s="68"/>
      <c r="J79" s="57"/>
      <c r="K79" s="57">
        <f>(J6+J7)*0.05*N2+M3+M10+M11+M13+M17+M15</f>
        <v>0</v>
      </c>
      <c r="L79" s="57"/>
      <c r="M79" s="57"/>
    </row>
    <row r="80" spans="1:13">
      <c r="A80" s="21">
        <v>42795</v>
      </c>
      <c r="C80" s="21" t="s">
        <v>406</v>
      </c>
      <c r="E80" s="21" t="s">
        <v>230</v>
      </c>
      <c r="F80" s="33"/>
      <c r="G80" s="57"/>
      <c r="H80" s="54"/>
      <c r="I80" s="68"/>
      <c r="J80" s="57"/>
      <c r="K80" s="57">
        <f>M44+M41+M46+M48+M51+M53+M57+M59+M55</f>
        <v>0</v>
      </c>
      <c r="L80" s="57"/>
      <c r="M80" s="57"/>
    </row>
    <row r="81" spans="1:13">
      <c r="A81" s="21">
        <v>42795</v>
      </c>
      <c r="C81" s="21" t="s">
        <v>407</v>
      </c>
      <c r="E81" s="21" t="s">
        <v>233</v>
      </c>
      <c r="F81" s="33"/>
      <c r="G81" s="57"/>
      <c r="H81" s="54"/>
      <c r="I81" s="68"/>
      <c r="J81" s="57"/>
      <c r="K81" s="57">
        <f>M20+M26+M24+M28+(J20+J21+J26)*0.05*N2</f>
        <v>0</v>
      </c>
      <c r="L81" s="57"/>
      <c r="M81" s="57"/>
    </row>
    <row r="82" spans="1:13">
      <c r="A82" s="21">
        <v>42795</v>
      </c>
      <c r="C82" s="21" t="s">
        <v>408</v>
      </c>
      <c r="E82" s="21" t="s">
        <v>230</v>
      </c>
      <c r="F82" s="33"/>
      <c r="G82" s="57"/>
      <c r="H82" s="54"/>
      <c r="I82" s="68"/>
      <c r="J82" s="57"/>
      <c r="K82" s="57">
        <f>M38+M31+M35+M37</f>
        <v>0</v>
      </c>
      <c r="L82" s="57"/>
      <c r="M82" s="57"/>
    </row>
    <row r="83" spans="1:13">
      <c r="C83" s="21" t="s">
        <v>235</v>
      </c>
      <c r="E83" s="21" t="s">
        <v>230</v>
      </c>
      <c r="F83" s="33"/>
      <c r="G83" s="57"/>
      <c r="H83" s="54"/>
      <c r="I83" s="68"/>
      <c r="J83" s="57"/>
      <c r="K83" s="57">
        <f>M61+M63</f>
        <v>0</v>
      </c>
      <c r="L83" s="57"/>
      <c r="M83" s="57"/>
    </row>
    <row r="84" spans="1:13">
      <c r="A84" s="21">
        <v>42795</v>
      </c>
      <c r="C84" s="21" t="s">
        <v>363</v>
      </c>
      <c r="F84" s="33"/>
      <c r="G84" s="57"/>
      <c r="H84" s="54"/>
      <c r="I84" s="68"/>
      <c r="J84" s="57"/>
      <c r="K84" s="57">
        <v>0</v>
      </c>
      <c r="L84" s="57"/>
      <c r="M84" s="57"/>
    </row>
    <row r="85" spans="1:13">
      <c r="A85" s="21">
        <v>42795</v>
      </c>
      <c r="C85" s="21" t="s">
        <v>262</v>
      </c>
      <c r="E85" s="21" t="s">
        <v>230</v>
      </c>
      <c r="F85" s="33"/>
      <c r="G85" s="57"/>
      <c r="H85" s="54"/>
      <c r="I85" s="68"/>
      <c r="J85" s="57"/>
      <c r="K85" s="57">
        <f>J75*0.07*N2</f>
        <v>0</v>
      </c>
      <c r="L85" s="57"/>
      <c r="M85" s="57"/>
    </row>
    <row r="86" spans="1:13">
      <c r="K86" s="65">
        <f>K79+K80+K81+K82+K83</f>
        <v>0</v>
      </c>
    </row>
  </sheetData>
  <autoFilter ref="A1:K77"/>
  <mergeCells count="7">
    <mergeCell ref="C67:D73"/>
    <mergeCell ref="C3:C18"/>
    <mergeCell ref="C19:C30"/>
    <mergeCell ref="C31:C40"/>
    <mergeCell ref="C41:C59"/>
    <mergeCell ref="C60:C64"/>
    <mergeCell ref="C65:C66"/>
  </mergeCells>
  <phoneticPr fontId="37" type="noConversion"/>
  <conditionalFormatting sqref="E70">
    <cfRule type="containsText" dxfId="8" priority="2" operator="containsText" text="方泽斯">
      <formula>NOT(ISERROR(SEARCH("方泽斯",E70)))</formula>
    </cfRule>
  </conditionalFormatting>
  <conditionalFormatting sqref="E81">
    <cfRule type="containsText" dxfId="7" priority="1" operator="containsText" text="方泽斯">
      <formula>NOT(ISERROR(SEARCH("方泽斯",E81)))</formula>
    </cfRule>
  </conditionalFormatting>
  <pageMargins left="0.75" right="0.75" top="1" bottom="1" header="0.51" footer="0.51"/>
  <pageSetup paperSize="9" scale="80" orientation="landscape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Y141"/>
  <sheetViews>
    <sheetView view="pageBreakPreview" topLeftCell="C1" zoomScaleNormal="100" workbookViewId="0">
      <selection activeCell="D119" sqref="D119"/>
    </sheetView>
  </sheetViews>
  <sheetFormatPr defaultRowHeight="13.5"/>
  <cols>
    <col min="1" max="1" width="11.375" style="21" hidden="1" customWidth="1"/>
    <col min="2" max="2" width="8.875" style="21" hidden="1" customWidth="1"/>
    <col min="3" max="3" width="9.125" style="21" customWidth="1"/>
    <col min="4" max="4" width="9" style="21"/>
    <col min="5" max="5" width="9" style="21" customWidth="1"/>
    <col min="6" max="6" width="15.125" style="21" customWidth="1"/>
    <col min="7" max="7" width="13.5" style="59" customWidth="1"/>
    <col min="8" max="8" width="12" style="60" customWidth="1"/>
    <col min="9" max="9" width="16.25" style="61" customWidth="1"/>
    <col min="10" max="10" width="13.625" style="59" customWidth="1"/>
    <col min="11" max="11" width="19.875" style="59" customWidth="1"/>
    <col min="12" max="12" width="11" style="59" customWidth="1"/>
    <col min="13" max="13" width="10.625" style="59" customWidth="1"/>
    <col min="14" max="14" width="11.5" style="52" customWidth="1"/>
    <col min="15" max="15" width="15.75" style="21" customWidth="1"/>
    <col min="16" max="16384" width="9" style="21"/>
  </cols>
  <sheetData>
    <row r="1" spans="1:25">
      <c r="C1" s="21" t="s">
        <v>433</v>
      </c>
    </row>
    <row r="2" spans="1:25" s="22" customFormat="1" ht="21" customHeight="1">
      <c r="A2" s="24"/>
      <c r="B2" s="24"/>
      <c r="C2" s="25" t="s">
        <v>1</v>
      </c>
      <c r="D2" s="25" t="s">
        <v>2</v>
      </c>
      <c r="E2" s="25"/>
      <c r="F2" s="26" t="s">
        <v>3</v>
      </c>
      <c r="G2" s="27" t="s">
        <v>4</v>
      </c>
      <c r="H2" s="28" t="s">
        <v>5</v>
      </c>
      <c r="I2" s="29" t="s">
        <v>6</v>
      </c>
      <c r="J2" s="29" t="s">
        <v>7</v>
      </c>
      <c r="K2" s="38" t="s">
        <v>8</v>
      </c>
      <c r="L2" s="39"/>
      <c r="M2" s="40" t="s">
        <v>9</v>
      </c>
      <c r="N2" s="41">
        <v>7.01</v>
      </c>
      <c r="O2" s="42"/>
      <c r="P2" s="43"/>
      <c r="Q2" s="44"/>
      <c r="R2" s="45"/>
      <c r="S2" s="45"/>
      <c r="W2" s="46"/>
      <c r="X2" s="46"/>
      <c r="Y2" s="46"/>
    </row>
    <row r="3" spans="1:25" ht="15" customHeight="1">
      <c r="A3" s="64">
        <v>43556</v>
      </c>
      <c r="B3" s="21" t="s">
        <v>433</v>
      </c>
      <c r="C3" s="102" t="s">
        <v>10</v>
      </c>
      <c r="D3" s="21" t="s">
        <v>11</v>
      </c>
      <c r="E3" s="21" t="s">
        <v>264</v>
      </c>
      <c r="F3" s="33" t="s">
        <v>265</v>
      </c>
      <c r="G3" s="57"/>
      <c r="H3" s="54"/>
      <c r="I3" s="67"/>
      <c r="J3" s="57">
        <f t="shared" ref="J3:J8" si="0">G3*H3*1-I3</f>
        <v>0</v>
      </c>
      <c r="K3" s="57">
        <f>J3*0.2*N2</f>
        <v>0</v>
      </c>
      <c r="L3" s="57"/>
      <c r="M3" s="57"/>
      <c r="N3" s="52" t="s">
        <v>37</v>
      </c>
    </row>
    <row r="4" spans="1:25" ht="15" customHeight="1">
      <c r="A4" s="64">
        <v>43556</v>
      </c>
      <c r="B4" s="21" t="s">
        <v>433</v>
      </c>
      <c r="C4" s="103"/>
      <c r="D4" s="21" t="s">
        <v>51</v>
      </c>
      <c r="E4" s="21" t="s">
        <v>52</v>
      </c>
      <c r="F4" s="33" t="s">
        <v>53</v>
      </c>
      <c r="G4" s="57"/>
      <c r="H4" s="54"/>
      <c r="I4" s="67"/>
      <c r="J4" s="57">
        <f t="shared" si="0"/>
        <v>0</v>
      </c>
      <c r="K4" s="57">
        <f>(J4+J5+J6)*0.05*N2</f>
        <v>0</v>
      </c>
      <c r="L4" s="57">
        <f>K4/0.05*0.25</f>
        <v>0</v>
      </c>
      <c r="M4" s="57">
        <f>L4-K4</f>
        <v>0</v>
      </c>
    </row>
    <row r="5" spans="1:25" ht="15" customHeight="1">
      <c r="A5" s="64">
        <v>43556</v>
      </c>
      <c r="B5" s="21" t="s">
        <v>433</v>
      </c>
      <c r="C5" s="103"/>
      <c r="D5" s="21" t="s">
        <v>51</v>
      </c>
      <c r="E5" s="21" t="s">
        <v>52</v>
      </c>
      <c r="F5" s="33" t="s">
        <v>54</v>
      </c>
      <c r="G5" s="57"/>
      <c r="H5" s="54"/>
      <c r="I5" s="67"/>
      <c r="J5" s="57">
        <f t="shared" si="0"/>
        <v>0</v>
      </c>
      <c r="K5" s="57"/>
      <c r="L5" s="57"/>
      <c r="M5" s="57"/>
    </row>
    <row r="6" spans="1:25" ht="15" customHeight="1">
      <c r="A6" s="64">
        <v>43556</v>
      </c>
      <c r="B6" s="21" t="s">
        <v>433</v>
      </c>
      <c r="C6" s="103"/>
      <c r="D6" s="21" t="s">
        <v>51</v>
      </c>
      <c r="E6" s="21" t="s">
        <v>52</v>
      </c>
      <c r="F6" s="33" t="s">
        <v>55</v>
      </c>
      <c r="G6" s="57"/>
      <c r="H6" s="54"/>
      <c r="I6" s="68"/>
      <c r="J6" s="57">
        <f t="shared" si="0"/>
        <v>0</v>
      </c>
      <c r="K6" s="57"/>
      <c r="L6" s="57"/>
      <c r="M6" s="57"/>
    </row>
    <row r="7" spans="1:25" ht="15" customHeight="1">
      <c r="A7" s="64">
        <v>43556</v>
      </c>
      <c r="B7" s="21" t="s">
        <v>433</v>
      </c>
      <c r="C7" s="103"/>
      <c r="D7" s="21" t="s">
        <v>78</v>
      </c>
      <c r="E7" s="21" t="s">
        <v>434</v>
      </c>
      <c r="F7" s="33" t="s">
        <v>435</v>
      </c>
      <c r="G7" s="57"/>
      <c r="H7" s="54"/>
      <c r="I7" s="67"/>
      <c r="J7" s="57">
        <f t="shared" si="0"/>
        <v>0</v>
      </c>
      <c r="K7" s="57">
        <f>J7*0.03*N2</f>
        <v>0</v>
      </c>
      <c r="L7" s="57">
        <f>K7/0.03*0.25</f>
        <v>0</v>
      </c>
      <c r="M7" s="57">
        <f t="shared" ref="M7:M11" si="1">L7-K7</f>
        <v>0</v>
      </c>
    </row>
    <row r="8" spans="1:25" ht="15" customHeight="1">
      <c r="A8" s="64">
        <v>43556</v>
      </c>
      <c r="B8" s="21" t="s">
        <v>433</v>
      </c>
      <c r="C8" s="103"/>
      <c r="D8" s="21" t="s">
        <v>32</v>
      </c>
      <c r="E8" s="21" t="s">
        <v>33</v>
      </c>
      <c r="F8" s="33" t="s">
        <v>34</v>
      </c>
      <c r="G8" s="57"/>
      <c r="H8" s="54"/>
      <c r="I8" s="67"/>
      <c r="J8" s="57">
        <f t="shared" si="0"/>
        <v>0</v>
      </c>
      <c r="K8" s="57">
        <f>(J8+J9)*0.2*N2</f>
        <v>0</v>
      </c>
      <c r="L8" s="57"/>
      <c r="M8" s="57"/>
    </row>
    <row r="9" spans="1:25" ht="15" customHeight="1">
      <c r="A9" s="64">
        <v>43556</v>
      </c>
      <c r="B9" s="21" t="s">
        <v>433</v>
      </c>
      <c r="C9" s="103"/>
      <c r="D9" s="21" t="s">
        <v>32</v>
      </c>
      <c r="E9" s="21" t="s">
        <v>33</v>
      </c>
      <c r="F9" s="33" t="s">
        <v>35</v>
      </c>
      <c r="G9" s="57"/>
      <c r="H9" s="54"/>
      <c r="I9" s="67"/>
      <c r="J9" s="57">
        <f t="shared" ref="J9:J71" si="2">G9*H9*1-I9</f>
        <v>0</v>
      </c>
      <c r="K9" s="57"/>
      <c r="L9" s="57"/>
      <c r="M9" s="57"/>
    </row>
    <row r="10" spans="1:25" ht="15" customHeight="1">
      <c r="A10" s="64">
        <v>43556</v>
      </c>
      <c r="B10" s="21" t="s">
        <v>433</v>
      </c>
      <c r="C10" s="103"/>
      <c r="D10" s="21" t="s">
        <v>39</v>
      </c>
      <c r="E10" s="21" t="s">
        <v>40</v>
      </c>
      <c r="F10" s="33" t="s">
        <v>41</v>
      </c>
      <c r="G10" s="57"/>
      <c r="H10" s="54"/>
      <c r="I10" s="67"/>
      <c r="J10" s="57">
        <f t="shared" si="2"/>
        <v>0</v>
      </c>
      <c r="K10" s="57">
        <f>J10*0.05*N2</f>
        <v>0</v>
      </c>
      <c r="L10" s="57">
        <f t="shared" ref="L10:L14" si="3">K10/0.05*0.25</f>
        <v>0</v>
      </c>
      <c r="M10" s="57">
        <f t="shared" si="1"/>
        <v>0</v>
      </c>
    </row>
    <row r="11" spans="1:25" ht="15" customHeight="1">
      <c r="A11" s="64">
        <v>43556</v>
      </c>
      <c r="B11" s="21" t="s">
        <v>433</v>
      </c>
      <c r="C11" s="103"/>
      <c r="D11" s="21" t="s">
        <v>66</v>
      </c>
      <c r="E11" s="21" t="s">
        <v>63</v>
      </c>
      <c r="F11" s="33" t="s">
        <v>64</v>
      </c>
      <c r="G11" s="57"/>
      <c r="H11" s="54"/>
      <c r="I11" s="67"/>
      <c r="J11" s="57">
        <f t="shared" si="2"/>
        <v>0</v>
      </c>
      <c r="K11" s="57">
        <f>(J11+J13+J12)*0.05*N2</f>
        <v>0</v>
      </c>
      <c r="L11" s="57">
        <f t="shared" si="3"/>
        <v>0</v>
      </c>
      <c r="M11" s="57">
        <f t="shared" si="1"/>
        <v>0</v>
      </c>
    </row>
    <row r="12" spans="1:25" ht="15" customHeight="1">
      <c r="A12" s="64"/>
      <c r="C12" s="103"/>
      <c r="D12" s="21" t="s">
        <v>66</v>
      </c>
      <c r="E12" s="21" t="s">
        <v>63</v>
      </c>
      <c r="F12" s="33" t="s">
        <v>65</v>
      </c>
      <c r="G12" s="57"/>
      <c r="H12" s="54"/>
      <c r="I12" s="68"/>
      <c r="J12" s="57">
        <f t="shared" si="2"/>
        <v>0</v>
      </c>
      <c r="K12" s="57"/>
      <c r="L12" s="57"/>
      <c r="M12" s="57"/>
    </row>
    <row r="13" spans="1:25" ht="15" customHeight="1">
      <c r="A13" s="64">
        <v>43556</v>
      </c>
      <c r="B13" s="21" t="s">
        <v>433</v>
      </c>
      <c r="C13" s="103"/>
      <c r="D13" s="21" t="s">
        <v>62</v>
      </c>
      <c r="E13" s="21" t="s">
        <v>63</v>
      </c>
      <c r="F13" s="33" t="s">
        <v>64</v>
      </c>
      <c r="G13" s="57"/>
      <c r="H13" s="54"/>
      <c r="I13" s="68"/>
      <c r="J13" s="57">
        <f t="shared" si="2"/>
        <v>0</v>
      </c>
      <c r="K13" s="57"/>
      <c r="L13" s="57"/>
      <c r="M13" s="57"/>
    </row>
    <row r="14" spans="1:25" ht="15" customHeight="1">
      <c r="A14" s="64">
        <v>43556</v>
      </c>
      <c r="B14" s="21" t="s">
        <v>433</v>
      </c>
      <c r="C14" s="103"/>
      <c r="D14" s="21" t="s">
        <v>61</v>
      </c>
      <c r="E14" s="21" t="s">
        <v>238</v>
      </c>
      <c r="F14" s="33" t="s">
        <v>239</v>
      </c>
      <c r="G14" s="74"/>
      <c r="H14" s="54"/>
      <c r="I14" s="67"/>
      <c r="J14" s="57">
        <f t="shared" si="2"/>
        <v>0</v>
      </c>
      <c r="K14" s="57">
        <f>(J14+J15+J18+J25+J26)*0.05*N2</f>
        <v>0</v>
      </c>
      <c r="L14" s="57">
        <f t="shared" si="3"/>
        <v>0</v>
      </c>
      <c r="M14" s="57">
        <f>L14-K14</f>
        <v>0</v>
      </c>
    </row>
    <row r="15" spans="1:25" ht="15" customHeight="1">
      <c r="A15" s="64">
        <v>43556</v>
      </c>
      <c r="B15" s="21" t="s">
        <v>433</v>
      </c>
      <c r="C15" s="103"/>
      <c r="D15" s="21" t="s">
        <v>61</v>
      </c>
      <c r="E15" s="21" t="s">
        <v>238</v>
      </c>
      <c r="F15" s="33" t="s">
        <v>317</v>
      </c>
      <c r="G15" s="74"/>
      <c r="H15" s="54"/>
      <c r="I15" s="67"/>
      <c r="J15" s="57">
        <f t="shared" si="2"/>
        <v>0</v>
      </c>
      <c r="K15" s="57"/>
      <c r="L15" s="57"/>
      <c r="M15" s="57"/>
    </row>
    <row r="16" spans="1:25" ht="15" customHeight="1">
      <c r="A16" s="64">
        <v>43556</v>
      </c>
      <c r="B16" s="21" t="s">
        <v>433</v>
      </c>
      <c r="C16" s="103"/>
      <c r="D16" s="21" t="s">
        <v>45</v>
      </c>
      <c r="E16" s="21" t="s">
        <v>298</v>
      </c>
      <c r="F16" s="33" t="s">
        <v>299</v>
      </c>
      <c r="G16" s="74"/>
      <c r="H16" s="54"/>
      <c r="I16" s="67"/>
      <c r="J16" s="57">
        <f t="shared" si="2"/>
        <v>0</v>
      </c>
      <c r="K16" s="57">
        <f>(J16+J17)*0.04*N2</f>
        <v>0</v>
      </c>
      <c r="L16" s="57">
        <f>K16/0.04*0.25</f>
        <v>0</v>
      </c>
      <c r="M16" s="57">
        <f>L16-K16</f>
        <v>0</v>
      </c>
    </row>
    <row r="17" spans="1:13" ht="15" customHeight="1">
      <c r="A17" s="64">
        <v>43556</v>
      </c>
      <c r="B17" s="21" t="s">
        <v>433</v>
      </c>
      <c r="C17" s="103"/>
      <c r="D17" s="21" t="s">
        <v>45</v>
      </c>
      <c r="E17" s="21" t="s">
        <v>298</v>
      </c>
      <c r="F17" s="33" t="s">
        <v>301</v>
      </c>
      <c r="G17" s="74"/>
      <c r="H17" s="54"/>
      <c r="I17" s="68"/>
      <c r="J17" s="57">
        <f t="shared" si="2"/>
        <v>0</v>
      </c>
      <c r="K17" s="57"/>
      <c r="L17" s="57"/>
      <c r="M17" s="57"/>
    </row>
    <row r="18" spans="1:13" ht="15" customHeight="1">
      <c r="A18" s="64">
        <v>43556</v>
      </c>
      <c r="B18" s="21" t="s">
        <v>433</v>
      </c>
      <c r="C18" s="103"/>
      <c r="D18" s="21" t="s">
        <v>70</v>
      </c>
      <c r="E18" s="21" t="s">
        <v>238</v>
      </c>
      <c r="F18" s="33" t="s">
        <v>239</v>
      </c>
      <c r="G18" s="74"/>
      <c r="H18" s="54"/>
      <c r="I18" s="67"/>
      <c r="J18" s="57">
        <f t="shared" si="2"/>
        <v>0</v>
      </c>
      <c r="K18" s="57"/>
      <c r="L18" s="57"/>
      <c r="M18" s="57"/>
    </row>
    <row r="19" spans="1:13" ht="15" customHeight="1">
      <c r="A19" s="64">
        <v>43556</v>
      </c>
      <c r="B19" s="21" t="s">
        <v>433</v>
      </c>
      <c r="C19" s="103"/>
      <c r="D19" s="21" t="s">
        <v>318</v>
      </c>
      <c r="E19" s="21" t="s">
        <v>278</v>
      </c>
      <c r="F19" s="33" t="s">
        <v>302</v>
      </c>
      <c r="G19" s="57"/>
      <c r="H19" s="54"/>
      <c r="I19" s="67"/>
      <c r="J19" s="57">
        <f t="shared" si="2"/>
        <v>0</v>
      </c>
      <c r="K19" s="57">
        <f>(J19+J20+J21)*0.2*N2</f>
        <v>0</v>
      </c>
      <c r="L19" s="57"/>
      <c r="M19" s="57"/>
    </row>
    <row r="20" spans="1:13" ht="15" customHeight="1">
      <c r="A20" s="64">
        <v>43556</v>
      </c>
      <c r="B20" s="21" t="s">
        <v>433</v>
      </c>
      <c r="C20" s="103"/>
      <c r="D20" s="21" t="s">
        <v>318</v>
      </c>
      <c r="E20" s="21" t="s">
        <v>278</v>
      </c>
      <c r="F20" s="33" t="s">
        <v>319</v>
      </c>
      <c r="G20" s="57"/>
      <c r="H20" s="54"/>
      <c r="I20" s="67"/>
      <c r="J20" s="57">
        <f t="shared" si="2"/>
        <v>0</v>
      </c>
      <c r="K20" s="57"/>
      <c r="L20" s="57"/>
      <c r="M20" s="57"/>
    </row>
    <row r="21" spans="1:13" ht="15" customHeight="1">
      <c r="A21" s="64">
        <v>43556</v>
      </c>
      <c r="B21" s="21" t="s">
        <v>433</v>
      </c>
      <c r="C21" s="103"/>
      <c r="D21" s="21" t="s">
        <v>318</v>
      </c>
      <c r="E21" s="21" t="s">
        <v>278</v>
      </c>
      <c r="F21" s="33" t="s">
        <v>305</v>
      </c>
      <c r="G21" s="57"/>
      <c r="H21" s="54"/>
      <c r="I21" s="67"/>
      <c r="J21" s="57">
        <f t="shared" si="2"/>
        <v>0</v>
      </c>
      <c r="K21" s="57"/>
      <c r="L21" s="57"/>
      <c r="M21" s="57"/>
    </row>
    <row r="22" spans="1:13" ht="15" customHeight="1">
      <c r="A22" s="64">
        <v>43556</v>
      </c>
      <c r="B22" s="21" t="s">
        <v>433</v>
      </c>
      <c r="C22" s="103"/>
      <c r="D22" s="21" t="s">
        <v>67</v>
      </c>
      <c r="E22" s="21" t="s">
        <v>68</v>
      </c>
      <c r="F22" s="33" t="s">
        <v>69</v>
      </c>
      <c r="G22" s="57"/>
      <c r="H22" s="54"/>
      <c r="I22" s="67"/>
      <c r="J22" s="57">
        <f t="shared" si="2"/>
        <v>0</v>
      </c>
      <c r="K22" s="57">
        <f>(J22+J24+J23)*0.05*N2</f>
        <v>0</v>
      </c>
      <c r="L22" s="57">
        <f>K22/0.05*0.25</f>
        <v>0</v>
      </c>
      <c r="M22" s="57">
        <f>L22-K22</f>
        <v>0</v>
      </c>
    </row>
    <row r="23" spans="1:13" ht="15" customHeight="1">
      <c r="A23" s="64">
        <v>43556</v>
      </c>
      <c r="B23" s="21" t="s">
        <v>433</v>
      </c>
      <c r="C23" s="103"/>
      <c r="D23" s="21" t="s">
        <v>56</v>
      </c>
      <c r="E23" s="21" t="s">
        <v>68</v>
      </c>
      <c r="F23" s="33" t="s">
        <v>69</v>
      </c>
      <c r="G23" s="57"/>
      <c r="H23" s="54"/>
      <c r="I23" s="67"/>
      <c r="J23" s="57">
        <f t="shared" si="2"/>
        <v>0</v>
      </c>
      <c r="K23" s="57"/>
      <c r="L23" s="57"/>
      <c r="M23" s="57"/>
    </row>
    <row r="24" spans="1:13" ht="15" customHeight="1">
      <c r="A24" s="64">
        <v>43556</v>
      </c>
      <c r="B24" s="21" t="s">
        <v>433</v>
      </c>
      <c r="C24" s="103"/>
      <c r="D24" s="21" t="s">
        <v>309</v>
      </c>
      <c r="E24" s="21" t="s">
        <v>68</v>
      </c>
      <c r="F24" s="33" t="s">
        <v>69</v>
      </c>
      <c r="G24" s="57"/>
      <c r="H24" s="54"/>
      <c r="I24" s="67"/>
      <c r="J24" s="57">
        <f t="shared" si="2"/>
        <v>0</v>
      </c>
      <c r="K24" s="57"/>
      <c r="L24" s="57"/>
      <c r="M24" s="57"/>
    </row>
    <row r="25" spans="1:13" ht="15" customHeight="1">
      <c r="A25" s="64">
        <v>43556</v>
      </c>
      <c r="B25" s="21" t="s">
        <v>433</v>
      </c>
      <c r="C25" s="103"/>
      <c r="D25" s="21" t="s">
        <v>31</v>
      </c>
      <c r="E25" s="21" t="s">
        <v>238</v>
      </c>
      <c r="F25" s="33" t="s">
        <v>239</v>
      </c>
      <c r="G25" s="57"/>
      <c r="H25" s="54"/>
      <c r="I25" s="67"/>
      <c r="J25" s="57">
        <f t="shared" si="2"/>
        <v>0</v>
      </c>
      <c r="K25" s="57"/>
      <c r="L25" s="57"/>
      <c r="M25" s="57"/>
    </row>
    <row r="26" spans="1:13" ht="15" customHeight="1">
      <c r="A26" s="64">
        <v>43556</v>
      </c>
      <c r="B26" s="21" t="s">
        <v>433</v>
      </c>
      <c r="C26" s="103"/>
      <c r="D26" s="21" t="s">
        <v>31</v>
      </c>
      <c r="E26" s="21" t="s">
        <v>238</v>
      </c>
      <c r="F26" s="33" t="s">
        <v>317</v>
      </c>
      <c r="G26" s="57"/>
      <c r="H26" s="54"/>
      <c r="I26" s="67"/>
      <c r="J26" s="57">
        <f t="shared" si="2"/>
        <v>0</v>
      </c>
      <c r="K26" s="57"/>
      <c r="L26" s="57"/>
      <c r="M26" s="57"/>
    </row>
    <row r="27" spans="1:13" ht="15" customHeight="1">
      <c r="A27" s="64">
        <v>43556</v>
      </c>
      <c r="B27" s="21" t="s">
        <v>433</v>
      </c>
      <c r="C27" s="103"/>
      <c r="D27" s="21" t="s">
        <v>77</v>
      </c>
      <c r="E27" s="21" t="s">
        <v>12</v>
      </c>
      <c r="F27" s="33" t="s">
        <v>13</v>
      </c>
      <c r="G27" s="57"/>
      <c r="H27" s="54"/>
      <c r="I27" s="67"/>
      <c r="J27" s="57">
        <f t="shared" si="2"/>
        <v>0</v>
      </c>
      <c r="K27" s="57">
        <f>J27*0.05*N2</f>
        <v>0</v>
      </c>
      <c r="L27" s="57">
        <f t="shared" ref="L27:L28" si="4">K27/0.05*0.25</f>
        <v>0</v>
      </c>
      <c r="M27" s="57">
        <f t="shared" ref="M27:M28" si="5">L27-K27</f>
        <v>0</v>
      </c>
    </row>
    <row r="28" spans="1:13" ht="15" customHeight="1">
      <c r="A28" s="64">
        <v>43556</v>
      </c>
      <c r="B28" s="21" t="s">
        <v>433</v>
      </c>
      <c r="C28" s="103"/>
      <c r="D28" s="21" t="s">
        <v>30</v>
      </c>
      <c r="E28" s="21" t="s">
        <v>20</v>
      </c>
      <c r="F28" s="33" t="s">
        <v>21</v>
      </c>
      <c r="G28" s="57"/>
      <c r="H28" s="54"/>
      <c r="I28" s="67"/>
      <c r="J28" s="57">
        <f t="shared" si="2"/>
        <v>0</v>
      </c>
      <c r="K28" s="57">
        <f>J28*0.05*N2</f>
        <v>0</v>
      </c>
      <c r="L28" s="57">
        <f t="shared" si="4"/>
        <v>0</v>
      </c>
      <c r="M28" s="57">
        <f t="shared" si="5"/>
        <v>0</v>
      </c>
    </row>
    <row r="29" spans="1:13" ht="15" customHeight="1">
      <c r="A29" s="64">
        <v>43556</v>
      </c>
      <c r="B29" s="21" t="s">
        <v>433</v>
      </c>
      <c r="C29" s="103"/>
      <c r="D29" s="75" t="s">
        <v>32</v>
      </c>
      <c r="E29" s="75" t="s">
        <v>310</v>
      </c>
      <c r="F29" s="75" t="s">
        <v>311</v>
      </c>
      <c r="G29" s="76"/>
      <c r="H29" s="77"/>
      <c r="I29" s="67"/>
      <c r="J29" s="57">
        <f t="shared" si="2"/>
        <v>0</v>
      </c>
      <c r="K29" s="57">
        <f>(J29+J30+J31)*0.25*N2</f>
        <v>0</v>
      </c>
      <c r="L29" s="57"/>
      <c r="M29" s="57"/>
    </row>
    <row r="30" spans="1:13" ht="15" customHeight="1">
      <c r="A30" s="64">
        <v>43556</v>
      </c>
      <c r="B30" s="21" t="s">
        <v>433</v>
      </c>
      <c r="C30" s="103"/>
      <c r="D30" s="75" t="s">
        <v>38</v>
      </c>
      <c r="E30" s="75" t="s">
        <v>310</v>
      </c>
      <c r="F30" s="75" t="s">
        <v>311</v>
      </c>
      <c r="G30" s="76"/>
      <c r="H30" s="77"/>
      <c r="I30" s="67"/>
      <c r="J30" s="57">
        <f t="shared" si="2"/>
        <v>0</v>
      </c>
      <c r="K30" s="57"/>
      <c r="L30" s="57"/>
      <c r="M30" s="57"/>
    </row>
    <row r="31" spans="1:13" ht="15" customHeight="1">
      <c r="A31" s="64">
        <v>43556</v>
      </c>
      <c r="B31" s="21" t="s">
        <v>433</v>
      </c>
      <c r="C31" s="104"/>
      <c r="D31" s="75" t="s">
        <v>38</v>
      </c>
      <c r="E31" s="75" t="s">
        <v>310</v>
      </c>
      <c r="F31" s="75" t="s">
        <v>313</v>
      </c>
      <c r="G31" s="76"/>
      <c r="H31" s="77"/>
      <c r="I31" s="67"/>
      <c r="J31" s="57">
        <f t="shared" si="2"/>
        <v>0</v>
      </c>
      <c r="K31" s="57"/>
      <c r="L31" s="57"/>
      <c r="M31" s="57"/>
    </row>
    <row r="32" spans="1:13">
      <c r="A32" s="64">
        <v>43556</v>
      </c>
      <c r="B32" s="21" t="s">
        <v>433</v>
      </c>
      <c r="C32" s="102" t="s">
        <v>243</v>
      </c>
      <c r="D32" s="21" t="s">
        <v>127</v>
      </c>
      <c r="E32" s="21" t="s">
        <v>117</v>
      </c>
      <c r="F32" s="33" t="s">
        <v>118</v>
      </c>
      <c r="G32" s="57"/>
      <c r="H32" s="54"/>
      <c r="I32" s="67"/>
      <c r="J32" s="57">
        <f t="shared" si="2"/>
        <v>0</v>
      </c>
      <c r="K32" s="57">
        <f>(J32+J33)*0.15*N2</f>
        <v>0</v>
      </c>
      <c r="L32" s="57"/>
      <c r="M32" s="57"/>
    </row>
    <row r="33" spans="1:13">
      <c r="A33" s="64">
        <v>43556</v>
      </c>
      <c r="B33" s="21" t="s">
        <v>433</v>
      </c>
      <c r="C33" s="103"/>
      <c r="D33" s="21" t="s">
        <v>127</v>
      </c>
      <c r="E33" s="21" t="s">
        <v>117</v>
      </c>
      <c r="F33" s="33" t="s">
        <v>119</v>
      </c>
      <c r="G33" s="57"/>
      <c r="H33" s="54"/>
      <c r="I33" s="67"/>
      <c r="J33" s="57">
        <f t="shared" si="2"/>
        <v>0</v>
      </c>
      <c r="K33" s="57"/>
      <c r="L33" s="57"/>
      <c r="M33" s="57"/>
    </row>
    <row r="34" spans="1:13">
      <c r="A34" s="64">
        <v>43556</v>
      </c>
      <c r="B34" s="21" t="s">
        <v>433</v>
      </c>
      <c r="C34" s="103"/>
      <c r="D34" s="21" t="s">
        <v>107</v>
      </c>
      <c r="E34" s="21" t="s">
        <v>108</v>
      </c>
      <c r="F34" s="33" t="s">
        <v>109</v>
      </c>
      <c r="G34" s="57"/>
      <c r="H34" s="54"/>
      <c r="I34" s="67"/>
      <c r="J34" s="57">
        <f t="shared" si="2"/>
        <v>0</v>
      </c>
      <c r="K34" s="57">
        <f>(J34+J35+J50+J51+J54+J55+J58+J59)*0.03*N2</f>
        <v>0</v>
      </c>
      <c r="L34" s="57">
        <f>K34/0.03*0.25</f>
        <v>0</v>
      </c>
      <c r="M34" s="57">
        <f t="shared" ref="M34:M38" si="6">L34-K34</f>
        <v>0</v>
      </c>
    </row>
    <row r="35" spans="1:13">
      <c r="A35" s="64">
        <v>43556</v>
      </c>
      <c r="B35" s="21" t="s">
        <v>433</v>
      </c>
      <c r="C35" s="103"/>
      <c r="D35" s="21" t="s">
        <v>107</v>
      </c>
      <c r="E35" s="21" t="s">
        <v>108</v>
      </c>
      <c r="F35" s="33" t="s">
        <v>110</v>
      </c>
      <c r="G35" s="57"/>
      <c r="H35" s="54"/>
      <c r="I35" s="67"/>
      <c r="J35" s="57">
        <f t="shared" si="2"/>
        <v>0</v>
      </c>
      <c r="K35" s="57"/>
      <c r="L35" s="57"/>
      <c r="M35" s="57"/>
    </row>
    <row r="36" spans="1:13">
      <c r="A36" s="64">
        <v>43556</v>
      </c>
      <c r="B36" s="21" t="s">
        <v>433</v>
      </c>
      <c r="C36" s="103"/>
      <c r="D36" s="21" t="s">
        <v>128</v>
      </c>
      <c r="E36" s="21" t="s">
        <v>129</v>
      </c>
      <c r="F36" s="33" t="s">
        <v>130</v>
      </c>
      <c r="G36" s="57"/>
      <c r="H36" s="54"/>
      <c r="I36" s="67"/>
      <c r="J36" s="57">
        <f t="shared" si="2"/>
        <v>0</v>
      </c>
      <c r="K36" s="57"/>
      <c r="L36" s="57">
        <f>K36/0.05*0.25</f>
        <v>0</v>
      </c>
      <c r="M36" s="57">
        <f t="shared" si="6"/>
        <v>0</v>
      </c>
    </row>
    <row r="37" spans="1:13">
      <c r="A37" s="64">
        <v>43556</v>
      </c>
      <c r="B37" s="21" t="s">
        <v>433</v>
      </c>
      <c r="C37" s="103"/>
      <c r="D37" s="21" t="s">
        <v>128</v>
      </c>
      <c r="E37" s="21" t="s">
        <v>129</v>
      </c>
      <c r="F37" s="33" t="s">
        <v>131</v>
      </c>
      <c r="G37" s="57"/>
      <c r="H37" s="54"/>
      <c r="I37" s="67"/>
      <c r="J37" s="57">
        <f t="shared" si="2"/>
        <v>0</v>
      </c>
      <c r="K37" s="57"/>
      <c r="L37" s="57"/>
      <c r="M37" s="57"/>
    </row>
    <row r="38" spans="1:13">
      <c r="A38" s="64">
        <v>43556</v>
      </c>
      <c r="B38" s="21" t="s">
        <v>433</v>
      </c>
      <c r="C38" s="103"/>
      <c r="D38" s="21" t="s">
        <v>133</v>
      </c>
      <c r="E38" s="21" t="s">
        <v>129</v>
      </c>
      <c r="F38" s="33" t="s">
        <v>130</v>
      </c>
      <c r="G38" s="57"/>
      <c r="H38" s="54"/>
      <c r="I38" s="67"/>
      <c r="J38" s="57">
        <f t="shared" si="2"/>
        <v>0</v>
      </c>
      <c r="K38" s="57">
        <f>(J38+J39+J36+J37)*0.05*N2</f>
        <v>0</v>
      </c>
      <c r="L38" s="57">
        <f>K38/0.05*0.25</f>
        <v>0</v>
      </c>
      <c r="M38" s="57">
        <f t="shared" si="6"/>
        <v>0</v>
      </c>
    </row>
    <row r="39" spans="1:13">
      <c r="A39" s="64">
        <v>43556</v>
      </c>
      <c r="B39" s="21" t="s">
        <v>433</v>
      </c>
      <c r="C39" s="103"/>
      <c r="D39" s="21" t="s">
        <v>133</v>
      </c>
      <c r="E39" s="21" t="s">
        <v>129</v>
      </c>
      <c r="F39" s="33" t="s">
        <v>131</v>
      </c>
      <c r="G39" s="57"/>
      <c r="H39" s="54"/>
      <c r="I39" s="67"/>
      <c r="J39" s="57">
        <f t="shared" si="2"/>
        <v>0</v>
      </c>
      <c r="K39" s="57"/>
      <c r="L39" s="57"/>
      <c r="M39" s="57"/>
    </row>
    <row r="40" spans="1:13">
      <c r="A40" s="64"/>
      <c r="C40" s="103"/>
      <c r="D40" s="21" t="s">
        <v>126</v>
      </c>
      <c r="E40" s="21" t="s">
        <v>246</v>
      </c>
      <c r="F40" s="33" t="s">
        <v>247</v>
      </c>
      <c r="G40" s="57"/>
      <c r="H40" s="54"/>
      <c r="I40" s="67"/>
      <c r="J40" s="57">
        <f t="shared" si="2"/>
        <v>0</v>
      </c>
      <c r="K40" s="57"/>
      <c r="L40" s="57"/>
      <c r="M40" s="57"/>
    </row>
    <row r="41" spans="1:13">
      <c r="A41" s="64">
        <v>43556</v>
      </c>
      <c r="B41" s="21" t="s">
        <v>433</v>
      </c>
      <c r="C41" s="103"/>
      <c r="D41" s="21" t="s">
        <v>120</v>
      </c>
      <c r="E41" s="21" t="s">
        <v>121</v>
      </c>
      <c r="F41" s="33" t="s">
        <v>122</v>
      </c>
      <c r="G41" s="57"/>
      <c r="H41" s="54"/>
      <c r="I41" s="67"/>
      <c r="J41" s="57">
        <f t="shared" si="2"/>
        <v>0</v>
      </c>
      <c r="K41" s="57"/>
      <c r="L41" s="57"/>
      <c r="M41" s="57"/>
    </row>
    <row r="42" spans="1:13">
      <c r="A42" s="64">
        <v>43556</v>
      </c>
      <c r="B42" s="21" t="s">
        <v>433</v>
      </c>
      <c r="C42" s="103"/>
      <c r="D42" s="21" t="s">
        <v>120</v>
      </c>
      <c r="E42" s="21" t="s">
        <v>121</v>
      </c>
      <c r="F42" s="33" t="s">
        <v>124</v>
      </c>
      <c r="G42" s="57"/>
      <c r="H42" s="54"/>
      <c r="I42" s="67"/>
      <c r="J42" s="57">
        <f t="shared" si="2"/>
        <v>0</v>
      </c>
      <c r="K42" s="57"/>
      <c r="L42" s="57"/>
      <c r="M42" s="57"/>
    </row>
    <row r="43" spans="1:13">
      <c r="A43" s="64">
        <v>43556</v>
      </c>
      <c r="B43" s="21" t="s">
        <v>433</v>
      </c>
      <c r="C43" s="103"/>
      <c r="D43" s="21" t="s">
        <v>123</v>
      </c>
      <c r="E43" s="21" t="s">
        <v>121</v>
      </c>
      <c r="F43" s="33" t="s">
        <v>122</v>
      </c>
      <c r="G43" s="57"/>
      <c r="H43" s="54"/>
      <c r="I43" s="67"/>
      <c r="J43" s="57">
        <f t="shared" si="2"/>
        <v>0</v>
      </c>
      <c r="K43" s="57">
        <f>(J43+J44+J52+J53+J41+J42)*0.05*N2</f>
        <v>0</v>
      </c>
      <c r="L43" s="57">
        <f>K43/0.05*0.25</f>
        <v>0</v>
      </c>
      <c r="M43" s="57">
        <f t="shared" ref="M43:M47" si="7">L43-K43</f>
        <v>0</v>
      </c>
    </row>
    <row r="44" spans="1:13">
      <c r="A44" s="64">
        <v>43556</v>
      </c>
      <c r="B44" s="21" t="s">
        <v>433</v>
      </c>
      <c r="C44" s="103"/>
      <c r="D44" s="21" t="s">
        <v>123</v>
      </c>
      <c r="E44" s="21" t="s">
        <v>121</v>
      </c>
      <c r="F44" s="33" t="s">
        <v>124</v>
      </c>
      <c r="G44" s="57"/>
      <c r="H44" s="54"/>
      <c r="I44" s="68"/>
      <c r="J44" s="57">
        <f t="shared" si="2"/>
        <v>0</v>
      </c>
      <c r="K44" s="57"/>
      <c r="L44" s="57"/>
      <c r="M44" s="57"/>
    </row>
    <row r="45" spans="1:13">
      <c r="A45" s="64">
        <v>43556</v>
      </c>
      <c r="B45" s="21" t="s">
        <v>433</v>
      </c>
      <c r="C45" s="103"/>
      <c r="D45" s="21" t="s">
        <v>133</v>
      </c>
      <c r="E45" s="21" t="s">
        <v>113</v>
      </c>
      <c r="F45" s="33" t="s">
        <v>248</v>
      </c>
      <c r="G45" s="57"/>
      <c r="H45" s="54"/>
      <c r="I45" s="67"/>
      <c r="J45" s="57">
        <f t="shared" si="2"/>
        <v>0</v>
      </c>
      <c r="K45" s="57"/>
      <c r="L45" s="57">
        <f>K45/0.05*0.25</f>
        <v>0</v>
      </c>
      <c r="M45" s="57">
        <f t="shared" si="7"/>
        <v>0</v>
      </c>
    </row>
    <row r="46" spans="1:13">
      <c r="A46" s="64">
        <v>43556</v>
      </c>
      <c r="B46" s="21" t="s">
        <v>433</v>
      </c>
      <c r="C46" s="103"/>
      <c r="D46" s="21" t="s">
        <v>133</v>
      </c>
      <c r="E46" s="21" t="s">
        <v>113</v>
      </c>
      <c r="F46" s="33" t="s">
        <v>403</v>
      </c>
      <c r="G46" s="57"/>
      <c r="H46" s="54"/>
      <c r="I46" s="67"/>
      <c r="J46" s="57">
        <f t="shared" si="2"/>
        <v>0</v>
      </c>
      <c r="K46" s="57"/>
      <c r="L46" s="57"/>
      <c r="M46" s="57"/>
    </row>
    <row r="47" spans="1:13">
      <c r="A47" s="64">
        <v>43556</v>
      </c>
      <c r="B47" s="21" t="s">
        <v>433</v>
      </c>
      <c r="C47" s="103"/>
      <c r="D47" s="21" t="s">
        <v>112</v>
      </c>
      <c r="E47" s="21" t="s">
        <v>113</v>
      </c>
      <c r="F47" s="33" t="s">
        <v>114</v>
      </c>
      <c r="G47" s="57"/>
      <c r="H47" s="54"/>
      <c r="I47" s="67"/>
      <c r="J47" s="57">
        <f t="shared" si="2"/>
        <v>0</v>
      </c>
      <c r="K47" s="57"/>
      <c r="L47" s="57">
        <f>K47/0.03*0.25</f>
        <v>0</v>
      </c>
      <c r="M47" s="57">
        <f t="shared" si="7"/>
        <v>0</v>
      </c>
    </row>
    <row r="48" spans="1:13">
      <c r="A48" s="64">
        <v>43556</v>
      </c>
      <c r="B48" s="21" t="s">
        <v>433</v>
      </c>
      <c r="C48" s="103"/>
      <c r="D48" s="21" t="s">
        <v>112</v>
      </c>
      <c r="E48" s="21" t="s">
        <v>113</v>
      </c>
      <c r="F48" s="33" t="s">
        <v>115</v>
      </c>
      <c r="G48" s="57"/>
      <c r="H48" s="54"/>
      <c r="I48" s="67"/>
      <c r="J48" s="57">
        <f t="shared" si="2"/>
        <v>0</v>
      </c>
      <c r="K48" s="57"/>
      <c r="L48" s="57"/>
      <c r="M48" s="57"/>
    </row>
    <row r="49" spans="1:13">
      <c r="A49" s="64"/>
      <c r="C49" s="103"/>
      <c r="D49" s="21" t="s">
        <v>137</v>
      </c>
      <c r="E49" s="21" t="s">
        <v>113</v>
      </c>
      <c r="F49" s="33" t="s">
        <v>114</v>
      </c>
      <c r="G49" s="57"/>
      <c r="H49" s="54"/>
      <c r="I49" s="67"/>
      <c r="J49" s="57">
        <f t="shared" si="2"/>
        <v>0</v>
      </c>
      <c r="K49" s="57"/>
      <c r="L49" s="57"/>
      <c r="M49" s="57"/>
    </row>
    <row r="50" spans="1:13">
      <c r="A50" s="64">
        <v>43556</v>
      </c>
      <c r="B50" s="21" t="s">
        <v>433</v>
      </c>
      <c r="C50" s="103"/>
      <c r="D50" s="21" t="s">
        <v>111</v>
      </c>
      <c r="E50" s="21" t="s">
        <v>108</v>
      </c>
      <c r="F50" s="33" t="s">
        <v>109</v>
      </c>
      <c r="G50" s="57"/>
      <c r="H50" s="54"/>
      <c r="I50" s="67"/>
      <c r="J50" s="57">
        <f t="shared" si="2"/>
        <v>0</v>
      </c>
      <c r="K50" s="57"/>
      <c r="L50" s="57"/>
      <c r="M50" s="57"/>
    </row>
    <row r="51" spans="1:13">
      <c r="A51" s="64">
        <v>43556</v>
      </c>
      <c r="B51" s="21" t="s">
        <v>433</v>
      </c>
      <c r="C51" s="103"/>
      <c r="D51" s="21" t="s">
        <v>111</v>
      </c>
      <c r="E51" s="21" t="s">
        <v>108</v>
      </c>
      <c r="F51" s="33" t="s">
        <v>110</v>
      </c>
      <c r="G51" s="57"/>
      <c r="H51" s="54"/>
      <c r="I51" s="67"/>
      <c r="J51" s="57">
        <f t="shared" si="2"/>
        <v>0</v>
      </c>
      <c r="K51" s="57"/>
      <c r="L51" s="57"/>
      <c r="M51" s="57"/>
    </row>
    <row r="52" spans="1:13">
      <c r="A52" s="64">
        <v>43556</v>
      </c>
      <c r="B52" s="21" t="s">
        <v>433</v>
      </c>
      <c r="C52" s="103"/>
      <c r="D52" s="21" t="s">
        <v>125</v>
      </c>
      <c r="E52" s="21" t="s">
        <v>121</v>
      </c>
      <c r="F52" s="33" t="s">
        <v>122</v>
      </c>
      <c r="G52" s="57"/>
      <c r="H52" s="54"/>
      <c r="I52" s="67"/>
      <c r="J52" s="57">
        <f t="shared" si="2"/>
        <v>0</v>
      </c>
      <c r="K52" s="57"/>
      <c r="L52" s="57"/>
      <c r="M52" s="57"/>
    </row>
    <row r="53" spans="1:13">
      <c r="A53" s="64">
        <v>43556</v>
      </c>
      <c r="B53" s="21" t="s">
        <v>433</v>
      </c>
      <c r="C53" s="103"/>
      <c r="D53" s="21" t="s">
        <v>125</v>
      </c>
      <c r="E53" s="21" t="s">
        <v>121</v>
      </c>
      <c r="F53" s="33" t="s">
        <v>124</v>
      </c>
      <c r="G53" s="57"/>
      <c r="H53" s="54"/>
      <c r="I53" s="67"/>
      <c r="J53" s="57">
        <f t="shared" si="2"/>
        <v>0</v>
      </c>
      <c r="K53" s="57"/>
      <c r="L53" s="57"/>
      <c r="M53" s="57"/>
    </row>
    <row r="54" spans="1:13">
      <c r="A54" s="64">
        <v>43556</v>
      </c>
      <c r="B54" s="21" t="s">
        <v>433</v>
      </c>
      <c r="C54" s="103"/>
      <c r="D54" s="21" t="s">
        <v>138</v>
      </c>
      <c r="E54" s="21" t="s">
        <v>108</v>
      </c>
      <c r="F54" s="33" t="s">
        <v>109</v>
      </c>
      <c r="G54" s="57"/>
      <c r="H54" s="54"/>
      <c r="I54" s="67"/>
      <c r="J54" s="57">
        <f t="shared" si="2"/>
        <v>0</v>
      </c>
      <c r="K54" s="57"/>
      <c r="L54" s="57">
        <f>K54/0.05*0.25</f>
        <v>0</v>
      </c>
      <c r="M54" s="57">
        <f>L54-K54</f>
        <v>0</v>
      </c>
    </row>
    <row r="55" spans="1:13">
      <c r="A55" s="64">
        <v>43556</v>
      </c>
      <c r="B55" s="21" t="s">
        <v>433</v>
      </c>
      <c r="C55" s="103"/>
      <c r="D55" s="21" t="s">
        <v>138</v>
      </c>
      <c r="E55" s="21" t="s">
        <v>108</v>
      </c>
      <c r="F55" s="33" t="s">
        <v>110</v>
      </c>
      <c r="G55" s="57"/>
      <c r="H55" s="54"/>
      <c r="I55" s="68"/>
      <c r="J55" s="57">
        <f t="shared" si="2"/>
        <v>0</v>
      </c>
      <c r="K55" s="57"/>
      <c r="L55" s="57"/>
      <c r="M55" s="57"/>
    </row>
    <row r="56" spans="1:13">
      <c r="A56" s="64">
        <v>43556</v>
      </c>
      <c r="B56" s="21" t="s">
        <v>433</v>
      </c>
      <c r="C56" s="103"/>
      <c r="D56" s="21" t="s">
        <v>138</v>
      </c>
      <c r="E56" s="21" t="s">
        <v>121</v>
      </c>
      <c r="F56" s="33" t="s">
        <v>436</v>
      </c>
      <c r="G56" s="57"/>
      <c r="H56" s="54"/>
      <c r="I56" s="67"/>
      <c r="J56" s="57">
        <f t="shared" si="2"/>
        <v>0</v>
      </c>
      <c r="K56" s="57"/>
      <c r="L56" s="57">
        <f>K56/0.03*0.25</f>
        <v>0</v>
      </c>
      <c r="M56" s="57">
        <f>L56-K56</f>
        <v>0</v>
      </c>
    </row>
    <row r="57" spans="1:13">
      <c r="A57" s="64"/>
      <c r="C57" s="103"/>
      <c r="D57" s="21" t="s">
        <v>280</v>
      </c>
      <c r="E57" s="21" t="s">
        <v>113</v>
      </c>
      <c r="F57" s="33" t="s">
        <v>135</v>
      </c>
      <c r="G57" s="57"/>
      <c r="H57" s="54"/>
      <c r="I57" s="67"/>
      <c r="J57" s="57">
        <f t="shared" si="2"/>
        <v>0</v>
      </c>
      <c r="K57" s="57"/>
      <c r="L57" s="57"/>
      <c r="M57" s="57"/>
    </row>
    <row r="58" spans="1:13">
      <c r="A58" s="64"/>
      <c r="C58" s="103"/>
      <c r="D58" s="21" t="s">
        <v>285</v>
      </c>
      <c r="E58" s="21" t="s">
        <v>108</v>
      </c>
      <c r="F58" s="33" t="s">
        <v>109</v>
      </c>
      <c r="G58" s="57"/>
      <c r="H58" s="54"/>
      <c r="I58" s="67"/>
      <c r="J58" s="57">
        <f t="shared" si="2"/>
        <v>0</v>
      </c>
      <c r="K58" s="57"/>
      <c r="L58" s="57"/>
      <c r="M58" s="57"/>
    </row>
    <row r="59" spans="1:13">
      <c r="A59" s="64"/>
      <c r="C59" s="103"/>
      <c r="D59" s="21" t="s">
        <v>285</v>
      </c>
      <c r="E59" s="21" t="s">
        <v>108</v>
      </c>
      <c r="F59" s="33" t="s">
        <v>110</v>
      </c>
      <c r="G59" s="57"/>
      <c r="H59" s="54"/>
      <c r="I59" s="68"/>
      <c r="J59" s="57">
        <f t="shared" si="2"/>
        <v>0</v>
      </c>
      <c r="K59" s="57"/>
      <c r="L59" s="57"/>
      <c r="M59" s="57"/>
    </row>
    <row r="60" spans="1:13">
      <c r="A60" s="64"/>
      <c r="C60" s="103"/>
      <c r="D60" s="21" t="s">
        <v>134</v>
      </c>
      <c r="E60" s="21" t="s">
        <v>113</v>
      </c>
      <c r="F60" s="33" t="s">
        <v>135</v>
      </c>
      <c r="G60" s="57"/>
      <c r="H60" s="54"/>
      <c r="I60" s="67"/>
      <c r="J60" s="57">
        <f t="shared" si="2"/>
        <v>0</v>
      </c>
      <c r="K60" s="57"/>
      <c r="L60" s="57"/>
      <c r="M60" s="57"/>
    </row>
    <row r="61" spans="1:13">
      <c r="A61" s="64">
        <v>43556</v>
      </c>
      <c r="B61" s="21" t="s">
        <v>433</v>
      </c>
      <c r="C61" s="102" t="s">
        <v>139</v>
      </c>
      <c r="D61" s="21" t="s">
        <v>140</v>
      </c>
      <c r="E61" s="21" t="s">
        <v>141</v>
      </c>
      <c r="F61" s="33" t="s">
        <v>153</v>
      </c>
      <c r="G61" s="57"/>
      <c r="H61" s="54"/>
      <c r="I61" s="67"/>
      <c r="J61" s="57">
        <f t="shared" si="2"/>
        <v>0</v>
      </c>
      <c r="K61" s="57">
        <f>(J61+J63+J62+J84+J85+J86)*0.03*N2</f>
        <v>0</v>
      </c>
      <c r="L61" s="57">
        <f>K61/0.03*0.25</f>
        <v>0</v>
      </c>
      <c r="M61" s="57">
        <f>L61-K61</f>
        <v>0</v>
      </c>
    </row>
    <row r="62" spans="1:13">
      <c r="A62" s="64">
        <v>43556</v>
      </c>
      <c r="B62" s="21" t="s">
        <v>433</v>
      </c>
      <c r="C62" s="103"/>
      <c r="D62" s="21" t="s">
        <v>140</v>
      </c>
      <c r="E62" s="21" t="s">
        <v>141</v>
      </c>
      <c r="F62" s="33" t="s">
        <v>142</v>
      </c>
      <c r="G62" s="57"/>
      <c r="H62" s="54"/>
      <c r="I62" s="67"/>
      <c r="J62" s="57">
        <f t="shared" si="2"/>
        <v>0</v>
      </c>
      <c r="K62" s="57"/>
      <c r="L62" s="57"/>
      <c r="M62" s="57"/>
    </row>
    <row r="63" spans="1:13">
      <c r="A63" s="64">
        <v>43556</v>
      </c>
      <c r="B63" s="21" t="s">
        <v>433</v>
      </c>
      <c r="C63" s="103"/>
      <c r="D63" s="21" t="s">
        <v>140</v>
      </c>
      <c r="E63" s="21" t="s">
        <v>141</v>
      </c>
      <c r="F63" s="33" t="s">
        <v>143</v>
      </c>
      <c r="G63" s="57"/>
      <c r="H63" s="54"/>
      <c r="I63" s="67"/>
      <c r="J63" s="57">
        <f t="shared" si="2"/>
        <v>0</v>
      </c>
      <c r="K63" s="57"/>
      <c r="L63" s="57"/>
      <c r="M63" s="57"/>
    </row>
    <row r="64" spans="1:13">
      <c r="A64" s="64">
        <v>43556</v>
      </c>
      <c r="B64" s="21" t="s">
        <v>433</v>
      </c>
      <c r="C64" s="103"/>
      <c r="D64" s="21" t="s">
        <v>169</v>
      </c>
      <c r="E64" s="21" t="s">
        <v>170</v>
      </c>
      <c r="F64" s="33" t="s">
        <v>171</v>
      </c>
      <c r="G64" s="57"/>
      <c r="H64" s="54"/>
      <c r="I64" s="67"/>
      <c r="J64" s="57">
        <f t="shared" si="2"/>
        <v>0</v>
      </c>
      <c r="K64" s="57">
        <f>(J64+J65+J66+J67+J68+J69)*0.04*N2</f>
        <v>0</v>
      </c>
      <c r="L64" s="57">
        <f>K64/0.04*0.25</f>
        <v>0</v>
      </c>
      <c r="M64" s="57">
        <f>L64-K64</f>
        <v>0</v>
      </c>
    </row>
    <row r="65" spans="1:14">
      <c r="A65" s="64">
        <v>43556</v>
      </c>
      <c r="B65" s="21" t="s">
        <v>433</v>
      </c>
      <c r="C65" s="103"/>
      <c r="D65" s="21" t="s">
        <v>169</v>
      </c>
      <c r="E65" s="21" t="s">
        <v>170</v>
      </c>
      <c r="F65" s="33" t="s">
        <v>172</v>
      </c>
      <c r="G65" s="57"/>
      <c r="H65" s="54"/>
      <c r="I65" s="67"/>
      <c r="J65" s="57">
        <f t="shared" si="2"/>
        <v>0</v>
      </c>
      <c r="K65" s="57"/>
      <c r="L65" s="57"/>
      <c r="M65" s="57"/>
    </row>
    <row r="66" spans="1:14">
      <c r="A66" s="64">
        <v>43556</v>
      </c>
      <c r="B66" s="21" t="s">
        <v>433</v>
      </c>
      <c r="C66" s="103"/>
      <c r="D66" s="21" t="s">
        <v>169</v>
      </c>
      <c r="E66" s="21" t="s">
        <v>170</v>
      </c>
      <c r="F66" s="33" t="s">
        <v>173</v>
      </c>
      <c r="G66" s="57"/>
      <c r="H66" s="54"/>
      <c r="I66" s="67"/>
      <c r="J66" s="57">
        <f t="shared" si="2"/>
        <v>0</v>
      </c>
      <c r="K66" s="57"/>
      <c r="L66" s="57"/>
      <c r="M66" s="57"/>
    </row>
    <row r="67" spans="1:14">
      <c r="A67" s="64">
        <v>43556</v>
      </c>
      <c r="B67" s="21" t="s">
        <v>433</v>
      </c>
      <c r="C67" s="103"/>
      <c r="D67" s="21" t="s">
        <v>174</v>
      </c>
      <c r="E67" s="21" t="s">
        <v>170</v>
      </c>
      <c r="F67" s="33" t="s">
        <v>171</v>
      </c>
      <c r="G67" s="57"/>
      <c r="H67" s="54"/>
      <c r="I67" s="67"/>
      <c r="J67" s="57">
        <f t="shared" si="2"/>
        <v>0</v>
      </c>
      <c r="K67" s="57"/>
      <c r="L67" s="57"/>
      <c r="M67" s="57"/>
    </row>
    <row r="68" spans="1:14">
      <c r="A68" s="64">
        <v>43556</v>
      </c>
      <c r="B68" s="21" t="s">
        <v>433</v>
      </c>
      <c r="C68" s="103"/>
      <c r="D68" s="21" t="s">
        <v>174</v>
      </c>
      <c r="E68" s="21" t="s">
        <v>170</v>
      </c>
      <c r="F68" s="33" t="s">
        <v>172</v>
      </c>
      <c r="G68" s="57"/>
      <c r="H68" s="54"/>
      <c r="I68" s="67"/>
      <c r="J68" s="57">
        <f t="shared" si="2"/>
        <v>0</v>
      </c>
      <c r="K68" s="57"/>
      <c r="L68" s="57"/>
      <c r="M68" s="57"/>
    </row>
    <row r="69" spans="1:14">
      <c r="A69" s="64">
        <v>43556</v>
      </c>
      <c r="B69" s="21" t="s">
        <v>433</v>
      </c>
      <c r="C69" s="103"/>
      <c r="D69" s="21" t="s">
        <v>174</v>
      </c>
      <c r="E69" s="21" t="s">
        <v>170</v>
      </c>
      <c r="F69" s="33" t="s">
        <v>173</v>
      </c>
      <c r="G69" s="57"/>
      <c r="H69" s="54"/>
      <c r="I69" s="67"/>
      <c r="J69" s="57">
        <f t="shared" si="2"/>
        <v>0</v>
      </c>
      <c r="K69" s="57"/>
      <c r="L69" s="57"/>
      <c r="M69" s="57"/>
    </row>
    <row r="70" spans="1:14">
      <c r="A70" s="64">
        <v>43556</v>
      </c>
      <c r="B70" s="21" t="s">
        <v>433</v>
      </c>
      <c r="C70" s="103"/>
      <c r="D70" s="21" t="s">
        <v>180</v>
      </c>
      <c r="E70" s="21" t="s">
        <v>176</v>
      </c>
      <c r="F70" s="33" t="s">
        <v>178</v>
      </c>
      <c r="G70" s="57"/>
      <c r="H70" s="54"/>
      <c r="I70" s="67"/>
      <c r="J70" s="57">
        <f t="shared" si="2"/>
        <v>0</v>
      </c>
      <c r="K70" s="57">
        <f>(J70+J71+J105+J106+J107)*0.03*N2</f>
        <v>0</v>
      </c>
      <c r="L70" s="57">
        <f>K70/0.03*0.25</f>
        <v>0</v>
      </c>
      <c r="M70" s="57">
        <f>L70-K70</f>
        <v>0</v>
      </c>
    </row>
    <row r="71" spans="1:14">
      <c r="A71" s="64">
        <v>43556</v>
      </c>
      <c r="B71" s="21" t="s">
        <v>433</v>
      </c>
      <c r="C71" s="103"/>
      <c r="D71" s="21" t="s">
        <v>180</v>
      </c>
      <c r="E71" s="21" t="s">
        <v>176</v>
      </c>
      <c r="F71" s="33" t="s">
        <v>179</v>
      </c>
      <c r="G71" s="57"/>
      <c r="H71" s="54"/>
      <c r="I71" s="68"/>
      <c r="J71" s="57">
        <f t="shared" si="2"/>
        <v>0</v>
      </c>
      <c r="K71" s="57"/>
      <c r="L71" s="57"/>
      <c r="M71" s="57"/>
    </row>
    <row r="72" spans="1:14">
      <c r="A72" s="64">
        <v>43556</v>
      </c>
      <c r="B72" s="21" t="s">
        <v>433</v>
      </c>
      <c r="C72" s="103"/>
      <c r="D72" s="21" t="s">
        <v>88</v>
      </c>
      <c r="E72" s="21" t="s">
        <v>181</v>
      </c>
      <c r="F72" s="33" t="s">
        <v>182</v>
      </c>
      <c r="G72" s="74"/>
      <c r="H72" s="54"/>
      <c r="I72" s="67"/>
      <c r="J72" s="57">
        <f t="shared" ref="J72:J120" si="8">G72*H72*1-I72</f>
        <v>0</v>
      </c>
      <c r="K72" s="57"/>
      <c r="L72" s="57">
        <f>K72/0.05*0.25</f>
        <v>0</v>
      </c>
      <c r="M72" s="57">
        <f>L72-K72</f>
        <v>0</v>
      </c>
      <c r="N72" s="52">
        <f>M72*0.1</f>
        <v>0</v>
      </c>
    </row>
    <row r="73" spans="1:14">
      <c r="A73" s="64">
        <v>43556</v>
      </c>
      <c r="B73" s="21" t="s">
        <v>433</v>
      </c>
      <c r="C73" s="103"/>
      <c r="D73" s="21" t="s">
        <v>88</v>
      </c>
      <c r="E73" s="21" t="s">
        <v>181</v>
      </c>
      <c r="F73" s="33" t="s">
        <v>183</v>
      </c>
      <c r="G73" s="74"/>
      <c r="H73" s="54"/>
      <c r="I73" s="68"/>
      <c r="J73" s="57">
        <f t="shared" si="8"/>
        <v>0</v>
      </c>
      <c r="K73" s="57"/>
      <c r="L73" s="57"/>
      <c r="M73" s="57"/>
    </row>
    <row r="74" spans="1:14">
      <c r="A74" s="64">
        <v>43556</v>
      </c>
      <c r="B74" s="21" t="s">
        <v>433</v>
      </c>
      <c r="C74" s="103"/>
      <c r="D74" s="21" t="s">
        <v>88</v>
      </c>
      <c r="E74" s="21" t="s">
        <v>181</v>
      </c>
      <c r="F74" s="33" t="s">
        <v>184</v>
      </c>
      <c r="G74" s="74"/>
      <c r="H74" s="54"/>
      <c r="I74" s="67"/>
      <c r="J74" s="57">
        <f t="shared" si="8"/>
        <v>0</v>
      </c>
      <c r="K74" s="57"/>
      <c r="L74" s="57"/>
      <c r="M74" s="57"/>
    </row>
    <row r="75" spans="1:14">
      <c r="A75" s="64">
        <v>43556</v>
      </c>
      <c r="B75" s="21" t="s">
        <v>433</v>
      </c>
      <c r="C75" s="103"/>
      <c r="D75" s="75" t="s">
        <v>148</v>
      </c>
      <c r="E75" s="75" t="s">
        <v>149</v>
      </c>
      <c r="F75" s="75" t="s">
        <v>159</v>
      </c>
      <c r="G75" s="76"/>
      <c r="H75" s="77"/>
      <c r="I75" s="67"/>
      <c r="J75" s="57">
        <f t="shared" si="8"/>
        <v>0</v>
      </c>
      <c r="K75" s="57">
        <f>(J75+J76+J77+J97+J98+J99+J95+J96)*0.25*N2</f>
        <v>0</v>
      </c>
      <c r="L75" s="57"/>
      <c r="M75" s="57"/>
    </row>
    <row r="76" spans="1:14">
      <c r="A76" s="64">
        <v>43556</v>
      </c>
      <c r="B76" s="21" t="s">
        <v>433</v>
      </c>
      <c r="C76" s="103"/>
      <c r="D76" s="75" t="s">
        <v>148</v>
      </c>
      <c r="E76" s="75" t="s">
        <v>149</v>
      </c>
      <c r="F76" s="75" t="s">
        <v>150</v>
      </c>
      <c r="G76" s="76"/>
      <c r="H76" s="77"/>
      <c r="I76" s="67"/>
      <c r="J76" s="57">
        <f t="shared" si="8"/>
        <v>0</v>
      </c>
      <c r="K76" s="57"/>
      <c r="L76" s="57"/>
      <c r="M76" s="57"/>
    </row>
    <row r="77" spans="1:14">
      <c r="A77" s="64">
        <v>43556</v>
      </c>
      <c r="B77" s="21" t="s">
        <v>433</v>
      </c>
      <c r="C77" s="103"/>
      <c r="D77" s="75" t="s">
        <v>148</v>
      </c>
      <c r="E77" s="75" t="s">
        <v>149</v>
      </c>
      <c r="F77" s="75" t="s">
        <v>151</v>
      </c>
      <c r="G77" s="76"/>
      <c r="H77" s="77"/>
      <c r="I77" s="68"/>
      <c r="J77" s="57">
        <f t="shared" si="8"/>
        <v>0</v>
      </c>
      <c r="K77" s="57"/>
      <c r="L77" s="57"/>
      <c r="M77" s="57"/>
    </row>
    <row r="78" spans="1:14">
      <c r="A78" s="64"/>
      <c r="C78" s="103"/>
      <c r="D78" s="21" t="s">
        <v>165</v>
      </c>
      <c r="E78" s="21" t="s">
        <v>144</v>
      </c>
      <c r="F78" s="33" t="s">
        <v>167</v>
      </c>
      <c r="G78" s="57"/>
      <c r="H78" s="54"/>
      <c r="I78" s="67"/>
      <c r="J78" s="57">
        <f t="shared" si="8"/>
        <v>0</v>
      </c>
      <c r="K78" s="57">
        <f>(J78+J79+J80+J81+J82+J83+J90+J91+J92)*0.05*N2</f>
        <v>0</v>
      </c>
      <c r="L78" s="57">
        <f>K78/0.05*0.25</f>
        <v>0</v>
      </c>
      <c r="M78" s="57">
        <f>L78-K78</f>
        <v>0</v>
      </c>
    </row>
    <row r="79" spans="1:14">
      <c r="A79" s="64"/>
      <c r="C79" s="103"/>
      <c r="D79" s="21" t="s">
        <v>165</v>
      </c>
      <c r="E79" s="21" t="s">
        <v>144</v>
      </c>
      <c r="F79" s="33" t="s">
        <v>145</v>
      </c>
      <c r="G79" s="57"/>
      <c r="H79" s="54"/>
      <c r="I79" s="67"/>
      <c r="J79" s="57">
        <f t="shared" si="8"/>
        <v>0</v>
      </c>
      <c r="K79" s="57"/>
      <c r="L79" s="57"/>
      <c r="M79" s="57"/>
    </row>
    <row r="80" spans="1:14">
      <c r="A80" s="64"/>
      <c r="C80" s="103"/>
      <c r="D80" s="21" t="s">
        <v>437</v>
      </c>
      <c r="E80" s="21" t="s">
        <v>144</v>
      </c>
      <c r="F80" s="33" t="s">
        <v>167</v>
      </c>
      <c r="G80" s="57"/>
      <c r="H80" s="54"/>
      <c r="I80" s="67"/>
      <c r="J80" s="57">
        <f t="shared" si="8"/>
        <v>0</v>
      </c>
      <c r="K80" s="57"/>
      <c r="L80" s="57"/>
      <c r="M80" s="57"/>
    </row>
    <row r="81" spans="1:13">
      <c r="A81" s="64">
        <v>43556</v>
      </c>
      <c r="B81" s="21" t="s">
        <v>433</v>
      </c>
      <c r="C81" s="103"/>
      <c r="D81" s="21" t="s">
        <v>146</v>
      </c>
      <c r="E81" s="21" t="s">
        <v>144</v>
      </c>
      <c r="F81" s="33" t="s">
        <v>167</v>
      </c>
      <c r="G81" s="57"/>
      <c r="H81" s="54"/>
      <c r="I81" s="67"/>
      <c r="J81" s="57">
        <f t="shared" si="8"/>
        <v>0</v>
      </c>
      <c r="K81" s="57"/>
      <c r="L81" s="57"/>
      <c r="M81" s="57"/>
    </row>
    <row r="82" spans="1:13">
      <c r="A82" s="64">
        <v>43556</v>
      </c>
      <c r="B82" s="21" t="s">
        <v>433</v>
      </c>
      <c r="C82" s="103"/>
      <c r="D82" s="21" t="s">
        <v>146</v>
      </c>
      <c r="E82" s="21" t="s">
        <v>144</v>
      </c>
      <c r="F82" s="33" t="s">
        <v>145</v>
      </c>
      <c r="G82" s="57"/>
      <c r="H82" s="54"/>
      <c r="I82" s="67"/>
      <c r="J82" s="57">
        <f t="shared" si="8"/>
        <v>0</v>
      </c>
      <c r="K82" s="57"/>
      <c r="L82" s="57"/>
      <c r="M82" s="57"/>
    </row>
    <row r="83" spans="1:13">
      <c r="A83" s="64">
        <v>43556</v>
      </c>
      <c r="B83" s="21" t="s">
        <v>433</v>
      </c>
      <c r="C83" s="103"/>
      <c r="D83" s="21" t="s">
        <v>146</v>
      </c>
      <c r="E83" s="21" t="s">
        <v>144</v>
      </c>
      <c r="F83" s="33" t="s">
        <v>147</v>
      </c>
      <c r="G83" s="57"/>
      <c r="H83" s="54"/>
      <c r="I83" s="67"/>
      <c r="J83" s="57">
        <f t="shared" si="8"/>
        <v>0</v>
      </c>
      <c r="K83" s="57"/>
      <c r="L83" s="57"/>
      <c r="M83" s="57"/>
    </row>
    <row r="84" spans="1:13">
      <c r="A84" s="64">
        <v>43556</v>
      </c>
      <c r="B84" s="21" t="s">
        <v>433</v>
      </c>
      <c r="C84" s="103"/>
      <c r="D84" s="21" t="s">
        <v>152</v>
      </c>
      <c r="E84" s="21" t="s">
        <v>141</v>
      </c>
      <c r="F84" s="33" t="s">
        <v>153</v>
      </c>
      <c r="G84" s="57"/>
      <c r="H84" s="54"/>
      <c r="I84" s="67"/>
      <c r="J84" s="57">
        <f t="shared" si="8"/>
        <v>0</v>
      </c>
      <c r="K84" s="57"/>
      <c r="L84" s="57">
        <f>K84/0.05*0.25</f>
        <v>0</v>
      </c>
      <c r="M84" s="57">
        <f>L84-K84</f>
        <v>0</v>
      </c>
    </row>
    <row r="85" spans="1:13">
      <c r="A85" s="64">
        <v>43556</v>
      </c>
      <c r="B85" s="21" t="s">
        <v>433</v>
      </c>
      <c r="C85" s="103"/>
      <c r="D85" s="21" t="s">
        <v>152</v>
      </c>
      <c r="E85" s="21" t="s">
        <v>141</v>
      </c>
      <c r="F85" s="33" t="s">
        <v>142</v>
      </c>
      <c r="G85" s="57"/>
      <c r="H85" s="54"/>
      <c r="I85" s="67"/>
      <c r="J85" s="57">
        <f t="shared" si="8"/>
        <v>0</v>
      </c>
      <c r="K85" s="57"/>
      <c r="L85" s="57"/>
      <c r="M85" s="57"/>
    </row>
    <row r="86" spans="1:13">
      <c r="A86" s="64">
        <v>43556</v>
      </c>
      <c r="B86" s="21" t="s">
        <v>433</v>
      </c>
      <c r="C86" s="103"/>
      <c r="D86" s="21" t="s">
        <v>152</v>
      </c>
      <c r="E86" s="21" t="s">
        <v>141</v>
      </c>
      <c r="F86" s="33" t="s">
        <v>143</v>
      </c>
      <c r="G86" s="57"/>
      <c r="H86" s="54"/>
      <c r="I86" s="67"/>
      <c r="J86" s="57">
        <f t="shared" si="8"/>
        <v>0</v>
      </c>
      <c r="K86" s="57"/>
      <c r="L86" s="57"/>
      <c r="M86" s="57"/>
    </row>
    <row r="87" spans="1:13">
      <c r="A87" s="64">
        <v>43556</v>
      </c>
      <c r="B87" s="21" t="s">
        <v>433</v>
      </c>
      <c r="C87" s="103"/>
      <c r="D87" s="21" t="s">
        <v>154</v>
      </c>
      <c r="E87" s="21" t="s">
        <v>181</v>
      </c>
      <c r="F87" s="33" t="s">
        <v>182</v>
      </c>
      <c r="G87" s="57"/>
      <c r="H87" s="54"/>
      <c r="I87" s="67"/>
      <c r="J87" s="57">
        <f t="shared" si="8"/>
        <v>0</v>
      </c>
      <c r="K87" s="57">
        <f>(J87+J88+J89+J72+J73+J74)*0.05*N2</f>
        <v>0</v>
      </c>
      <c r="L87" s="57">
        <f>K87/0.05*0.25</f>
        <v>0</v>
      </c>
      <c r="M87" s="57">
        <f>L87-K87</f>
        <v>0</v>
      </c>
    </row>
    <row r="88" spans="1:13">
      <c r="A88" s="64">
        <v>43556</v>
      </c>
      <c r="B88" s="21" t="s">
        <v>433</v>
      </c>
      <c r="C88" s="103"/>
      <c r="D88" s="21" t="s">
        <v>154</v>
      </c>
      <c r="E88" s="21" t="s">
        <v>181</v>
      </c>
      <c r="F88" s="33" t="s">
        <v>183</v>
      </c>
      <c r="G88" s="57"/>
      <c r="H88" s="54"/>
      <c r="I88" s="68"/>
      <c r="J88" s="57">
        <f t="shared" si="8"/>
        <v>0</v>
      </c>
      <c r="K88" s="57"/>
      <c r="L88" s="57"/>
      <c r="M88" s="57"/>
    </row>
    <row r="89" spans="1:13">
      <c r="A89" s="64">
        <v>43556</v>
      </c>
      <c r="B89" s="21" t="s">
        <v>433</v>
      </c>
      <c r="C89" s="103"/>
      <c r="D89" s="21" t="s">
        <v>154</v>
      </c>
      <c r="E89" s="21" t="s">
        <v>181</v>
      </c>
      <c r="F89" s="33" t="s">
        <v>184</v>
      </c>
      <c r="G89" s="57"/>
      <c r="H89" s="54"/>
      <c r="I89" s="68"/>
      <c r="J89" s="57">
        <f t="shared" si="8"/>
        <v>0</v>
      </c>
      <c r="K89" s="57"/>
      <c r="L89" s="57"/>
      <c r="M89" s="57"/>
    </row>
    <row r="90" spans="1:13">
      <c r="A90" s="64">
        <v>43556</v>
      </c>
      <c r="B90" s="21" t="s">
        <v>433</v>
      </c>
      <c r="C90" s="103"/>
      <c r="D90" s="21" t="s">
        <v>166</v>
      </c>
      <c r="E90" s="21" t="s">
        <v>144</v>
      </c>
      <c r="F90" s="33" t="s">
        <v>167</v>
      </c>
      <c r="G90" s="57"/>
      <c r="H90" s="54"/>
      <c r="I90" s="67"/>
      <c r="J90" s="57">
        <f t="shared" si="8"/>
        <v>0</v>
      </c>
      <c r="K90" s="57"/>
      <c r="L90" s="57"/>
      <c r="M90" s="57"/>
    </row>
    <row r="91" spans="1:13">
      <c r="A91" s="64">
        <v>43556</v>
      </c>
      <c r="B91" s="21" t="s">
        <v>433</v>
      </c>
      <c r="C91" s="103"/>
      <c r="D91" s="21" t="s">
        <v>166</v>
      </c>
      <c r="E91" s="21" t="s">
        <v>144</v>
      </c>
      <c r="F91" s="33" t="s">
        <v>145</v>
      </c>
      <c r="G91" s="57"/>
      <c r="H91" s="54"/>
      <c r="I91" s="67"/>
      <c r="J91" s="57">
        <f t="shared" si="8"/>
        <v>0</v>
      </c>
      <c r="K91" s="57"/>
      <c r="L91" s="57"/>
      <c r="M91" s="57"/>
    </row>
    <row r="92" spans="1:13">
      <c r="A92" s="64"/>
      <c r="C92" s="103"/>
      <c r="D92" s="21" t="s">
        <v>166</v>
      </c>
      <c r="E92" s="21" t="s">
        <v>144</v>
      </c>
      <c r="F92" s="33" t="s">
        <v>147</v>
      </c>
      <c r="G92" s="57"/>
      <c r="H92" s="54"/>
      <c r="I92" s="67"/>
      <c r="J92" s="57">
        <f t="shared" si="8"/>
        <v>0</v>
      </c>
      <c r="K92" s="57"/>
      <c r="L92" s="57"/>
      <c r="M92" s="57"/>
    </row>
    <row r="93" spans="1:13">
      <c r="A93" s="64">
        <v>43556</v>
      </c>
      <c r="B93" s="21" t="s">
        <v>433</v>
      </c>
      <c r="C93" s="103"/>
      <c r="D93" s="75" t="s">
        <v>168</v>
      </c>
      <c r="E93" s="75" t="s">
        <v>438</v>
      </c>
      <c r="F93" s="75" t="s">
        <v>439</v>
      </c>
      <c r="G93" s="76"/>
      <c r="H93" s="77"/>
      <c r="I93" s="67"/>
      <c r="J93" s="57">
        <f t="shared" si="8"/>
        <v>0</v>
      </c>
      <c r="K93" s="57"/>
      <c r="L93" s="57"/>
      <c r="M93" s="57"/>
    </row>
    <row r="94" spans="1:13">
      <c r="A94" s="64">
        <v>43556</v>
      </c>
      <c r="B94" s="21" t="s">
        <v>433</v>
      </c>
      <c r="C94" s="103"/>
      <c r="D94" s="21" t="s">
        <v>440</v>
      </c>
      <c r="E94" s="21" t="s">
        <v>170</v>
      </c>
      <c r="F94" s="33" t="s">
        <v>173</v>
      </c>
      <c r="G94" s="57"/>
      <c r="H94" s="54"/>
      <c r="I94" s="67"/>
      <c r="J94" s="57">
        <f t="shared" si="8"/>
        <v>0</v>
      </c>
      <c r="K94" s="57"/>
      <c r="L94" s="57">
        <f>K94/0.03*0.25</f>
        <v>0</v>
      </c>
      <c r="M94" s="57">
        <f>L94-K94</f>
        <v>0</v>
      </c>
    </row>
    <row r="95" spans="1:13">
      <c r="A95" s="64">
        <v>43556</v>
      </c>
      <c r="B95" s="21" t="s">
        <v>433</v>
      </c>
      <c r="C95" s="103"/>
      <c r="D95" s="75" t="s">
        <v>158</v>
      </c>
      <c r="E95" s="75" t="s">
        <v>149</v>
      </c>
      <c r="F95" s="75" t="s">
        <v>150</v>
      </c>
      <c r="G95" s="76"/>
      <c r="H95" s="77"/>
      <c r="I95" s="67"/>
      <c r="J95" s="57">
        <f t="shared" si="8"/>
        <v>0</v>
      </c>
      <c r="K95" s="57"/>
      <c r="L95" s="57"/>
      <c r="M95" s="57"/>
    </row>
    <row r="96" spans="1:13">
      <c r="A96" s="64">
        <v>43556</v>
      </c>
      <c r="B96" s="21" t="s">
        <v>433</v>
      </c>
      <c r="C96" s="103"/>
      <c r="D96" s="75" t="s">
        <v>158</v>
      </c>
      <c r="E96" s="75" t="s">
        <v>149</v>
      </c>
      <c r="F96" s="75" t="s">
        <v>151</v>
      </c>
      <c r="G96" s="76"/>
      <c r="H96" s="77"/>
      <c r="I96" s="67"/>
      <c r="J96" s="57">
        <f t="shared" si="8"/>
        <v>0</v>
      </c>
      <c r="K96" s="57"/>
      <c r="L96" s="57"/>
      <c r="M96" s="57"/>
    </row>
    <row r="97" spans="1:13">
      <c r="A97" s="64">
        <v>43556</v>
      </c>
      <c r="B97" s="21" t="s">
        <v>433</v>
      </c>
      <c r="C97" s="103"/>
      <c r="D97" s="75" t="s">
        <v>164</v>
      </c>
      <c r="E97" s="75" t="s">
        <v>149</v>
      </c>
      <c r="F97" s="75" t="s">
        <v>159</v>
      </c>
      <c r="G97" s="76"/>
      <c r="H97" s="77"/>
      <c r="I97" s="67"/>
      <c r="J97" s="57">
        <f t="shared" si="8"/>
        <v>0</v>
      </c>
      <c r="K97" s="57"/>
      <c r="L97" s="57"/>
      <c r="M97" s="57"/>
    </row>
    <row r="98" spans="1:13">
      <c r="A98" s="64">
        <v>43556</v>
      </c>
      <c r="B98" s="21" t="s">
        <v>433</v>
      </c>
      <c r="C98" s="103"/>
      <c r="D98" s="75" t="s">
        <v>164</v>
      </c>
      <c r="E98" s="75" t="s">
        <v>149</v>
      </c>
      <c r="F98" s="75" t="s">
        <v>150</v>
      </c>
      <c r="G98" s="76"/>
      <c r="H98" s="77"/>
      <c r="I98" s="67"/>
      <c r="J98" s="57">
        <f t="shared" si="8"/>
        <v>0</v>
      </c>
      <c r="K98" s="57"/>
      <c r="L98" s="57">
        <f>K98/0.03*0.25</f>
        <v>0</v>
      </c>
      <c r="M98" s="57">
        <f>L98-K98</f>
        <v>0</v>
      </c>
    </row>
    <row r="99" spans="1:13">
      <c r="A99" s="64">
        <v>43556</v>
      </c>
      <c r="B99" s="21" t="s">
        <v>433</v>
      </c>
      <c r="C99" s="103"/>
      <c r="D99" s="75" t="s">
        <v>164</v>
      </c>
      <c r="E99" s="75" t="s">
        <v>149</v>
      </c>
      <c r="F99" s="75" t="s">
        <v>151</v>
      </c>
      <c r="G99" s="76"/>
      <c r="H99" s="77"/>
      <c r="I99" s="67"/>
      <c r="J99" s="57">
        <f t="shared" si="8"/>
        <v>0</v>
      </c>
      <c r="K99" s="57"/>
      <c r="L99" s="57"/>
      <c r="M99" s="57"/>
    </row>
    <row r="100" spans="1:13">
      <c r="A100" s="64">
        <v>43556</v>
      </c>
      <c r="B100" s="21" t="s">
        <v>433</v>
      </c>
      <c r="C100" s="103"/>
      <c r="D100" s="21" t="s">
        <v>160</v>
      </c>
      <c r="E100" s="21" t="s">
        <v>161</v>
      </c>
      <c r="F100" s="33" t="s">
        <v>290</v>
      </c>
      <c r="G100" s="57"/>
      <c r="H100" s="54"/>
      <c r="I100" s="67"/>
      <c r="J100" s="57">
        <f t="shared" si="8"/>
        <v>0</v>
      </c>
      <c r="K100" s="57">
        <f>(J100+J102+J101+J103+J104)*0.04*N2</f>
        <v>0</v>
      </c>
      <c r="L100" s="57">
        <f>K100/0.04*0.25</f>
        <v>0</v>
      </c>
      <c r="M100" s="57">
        <f>L100-K100</f>
        <v>0</v>
      </c>
    </row>
    <row r="101" spans="1:13">
      <c r="A101" s="64">
        <v>43556</v>
      </c>
      <c r="B101" s="21" t="s">
        <v>433</v>
      </c>
      <c r="C101" s="103"/>
      <c r="D101" s="21" t="s">
        <v>160</v>
      </c>
      <c r="E101" s="21" t="s">
        <v>161</v>
      </c>
      <c r="F101" s="33" t="s">
        <v>162</v>
      </c>
      <c r="G101" s="57"/>
      <c r="H101" s="54"/>
      <c r="I101" s="67"/>
      <c r="J101" s="57">
        <f t="shared" si="8"/>
        <v>0</v>
      </c>
      <c r="K101" s="57"/>
      <c r="L101" s="57"/>
      <c r="M101" s="57"/>
    </row>
    <row r="102" spans="1:13">
      <c r="A102" s="64">
        <v>43556</v>
      </c>
      <c r="B102" s="21" t="s">
        <v>433</v>
      </c>
      <c r="C102" s="103"/>
      <c r="D102" s="21" t="s">
        <v>160</v>
      </c>
      <c r="E102" s="21" t="s">
        <v>161</v>
      </c>
      <c r="F102" s="33" t="s">
        <v>163</v>
      </c>
      <c r="G102" s="57"/>
      <c r="H102" s="54"/>
      <c r="I102" s="67"/>
      <c r="J102" s="57">
        <f t="shared" si="8"/>
        <v>0</v>
      </c>
      <c r="K102" s="57"/>
      <c r="L102" s="57"/>
      <c r="M102" s="57"/>
    </row>
    <row r="103" spans="1:13">
      <c r="A103" s="64">
        <v>43556</v>
      </c>
      <c r="B103" s="21" t="s">
        <v>433</v>
      </c>
      <c r="C103" s="103"/>
      <c r="D103" s="21" t="s">
        <v>342</v>
      </c>
      <c r="E103" s="21" t="s">
        <v>161</v>
      </c>
      <c r="F103" s="33" t="s">
        <v>290</v>
      </c>
      <c r="G103" s="57"/>
      <c r="H103" s="54"/>
      <c r="I103" s="67"/>
      <c r="J103" s="57">
        <f t="shared" si="8"/>
        <v>0</v>
      </c>
      <c r="K103" s="57"/>
      <c r="L103" s="57"/>
      <c r="M103" s="57"/>
    </row>
    <row r="104" spans="1:13">
      <c r="A104" s="64"/>
      <c r="C104" s="103"/>
      <c r="D104" s="21" t="s">
        <v>342</v>
      </c>
      <c r="E104" s="21" t="s">
        <v>161</v>
      </c>
      <c r="F104" s="33" t="s">
        <v>162</v>
      </c>
      <c r="G104" s="57"/>
      <c r="H104" s="54"/>
      <c r="I104" s="67"/>
      <c r="J104" s="57">
        <f t="shared" si="8"/>
        <v>0</v>
      </c>
      <c r="K104" s="57"/>
      <c r="L104" s="57"/>
      <c r="M104" s="57"/>
    </row>
    <row r="105" spans="1:13">
      <c r="A105" s="64">
        <v>43556</v>
      </c>
      <c r="B105" s="21" t="s">
        <v>433</v>
      </c>
      <c r="C105" s="103"/>
      <c r="D105" s="21" t="s">
        <v>175</v>
      </c>
      <c r="E105" s="21" t="s">
        <v>176</v>
      </c>
      <c r="F105" s="33" t="s">
        <v>177</v>
      </c>
      <c r="G105" s="57"/>
      <c r="H105" s="54"/>
      <c r="I105" s="68"/>
      <c r="J105" s="57">
        <f t="shared" si="8"/>
        <v>0</v>
      </c>
      <c r="K105" s="57"/>
      <c r="L105" s="57">
        <f>K105/0.05*0.25</f>
        <v>0</v>
      </c>
      <c r="M105" s="57">
        <f>L105-K105</f>
        <v>0</v>
      </c>
    </row>
    <row r="106" spans="1:13">
      <c r="A106" s="64">
        <v>43556</v>
      </c>
      <c r="B106" s="21" t="s">
        <v>433</v>
      </c>
      <c r="C106" s="103"/>
      <c r="D106" s="21" t="s">
        <v>175</v>
      </c>
      <c r="E106" s="21" t="s">
        <v>176</v>
      </c>
      <c r="F106" s="33" t="s">
        <v>178</v>
      </c>
      <c r="G106" s="57"/>
      <c r="H106" s="54"/>
      <c r="I106" s="67"/>
      <c r="J106" s="57">
        <f t="shared" si="8"/>
        <v>0</v>
      </c>
      <c r="K106" s="57"/>
      <c r="L106" s="57"/>
      <c r="M106" s="57"/>
    </row>
    <row r="107" spans="1:13">
      <c r="A107" s="64">
        <v>43556</v>
      </c>
      <c r="B107" s="21" t="s">
        <v>433</v>
      </c>
      <c r="C107" s="103"/>
      <c r="D107" s="21" t="s">
        <v>175</v>
      </c>
      <c r="E107" s="21" t="s">
        <v>176</v>
      </c>
      <c r="F107" s="33" t="s">
        <v>179</v>
      </c>
      <c r="G107" s="57"/>
      <c r="H107" s="54"/>
      <c r="I107" s="67"/>
      <c r="J107" s="57">
        <f t="shared" si="8"/>
        <v>0</v>
      </c>
      <c r="K107" s="57"/>
      <c r="L107" s="57"/>
      <c r="M107" s="57"/>
    </row>
    <row r="108" spans="1:13">
      <c r="A108" s="64">
        <v>43556</v>
      </c>
      <c r="B108" s="21" t="s">
        <v>433</v>
      </c>
      <c r="C108" s="102" t="s">
        <v>83</v>
      </c>
      <c r="D108" s="21" t="s">
        <v>98</v>
      </c>
      <c r="E108" s="21" t="s">
        <v>249</v>
      </c>
      <c r="F108" s="33" t="s">
        <v>254</v>
      </c>
      <c r="G108" s="57"/>
      <c r="H108" s="54"/>
      <c r="I108" s="67"/>
      <c r="J108" s="57">
        <f t="shared" si="8"/>
        <v>0</v>
      </c>
      <c r="K108" s="57">
        <f>(J109+J108)*0.03*N2</f>
        <v>0</v>
      </c>
      <c r="L108" s="57">
        <f>K108/0.03*0.25</f>
        <v>0</v>
      </c>
      <c r="M108" s="57">
        <f>L108-K108</f>
        <v>0</v>
      </c>
    </row>
    <row r="109" spans="1:13">
      <c r="A109" s="64">
        <v>43556</v>
      </c>
      <c r="B109" s="21" t="s">
        <v>433</v>
      </c>
      <c r="C109" s="103"/>
      <c r="D109" s="21" t="s">
        <v>104</v>
      </c>
      <c r="E109" s="21" t="s">
        <v>369</v>
      </c>
      <c r="F109" s="33" t="s">
        <v>370</v>
      </c>
      <c r="G109" s="57"/>
      <c r="H109" s="54"/>
      <c r="I109" s="67"/>
      <c r="J109" s="57">
        <f t="shared" si="8"/>
        <v>0</v>
      </c>
      <c r="K109" s="57"/>
      <c r="L109" s="57"/>
      <c r="M109" s="57"/>
    </row>
    <row r="110" spans="1:13">
      <c r="A110" s="64">
        <v>43556</v>
      </c>
      <c r="B110" s="21" t="s">
        <v>433</v>
      </c>
      <c r="C110" s="103"/>
      <c r="D110" s="21" t="s">
        <v>321</v>
      </c>
      <c r="E110" s="21" t="s">
        <v>99</v>
      </c>
      <c r="F110" s="33" t="s">
        <v>100</v>
      </c>
      <c r="G110" s="57"/>
      <c r="H110" s="54"/>
      <c r="I110" s="67"/>
      <c r="J110" s="57">
        <f t="shared" si="8"/>
        <v>0</v>
      </c>
      <c r="K110" s="57">
        <f>(J110+J111)*0.03*N2</f>
        <v>0</v>
      </c>
      <c r="L110" s="57">
        <f>K110/0.03*0.25</f>
        <v>0</v>
      </c>
      <c r="M110" s="57">
        <f>L110-K110</f>
        <v>0</v>
      </c>
    </row>
    <row r="111" spans="1:13">
      <c r="A111" s="64"/>
      <c r="C111" s="103"/>
      <c r="D111" s="21" t="s">
        <v>320</v>
      </c>
      <c r="E111" s="21" t="s">
        <v>99</v>
      </c>
      <c r="F111" s="33" t="s">
        <v>100</v>
      </c>
      <c r="G111" s="57"/>
      <c r="H111" s="54"/>
      <c r="I111" s="67"/>
      <c r="J111" s="57">
        <f t="shared" si="8"/>
        <v>0</v>
      </c>
      <c r="K111" s="57"/>
      <c r="L111" s="57"/>
      <c r="M111" s="57"/>
    </row>
    <row r="112" spans="1:13">
      <c r="A112" s="64">
        <v>43556</v>
      </c>
      <c r="B112" s="21" t="s">
        <v>433</v>
      </c>
      <c r="C112" s="103"/>
      <c r="D112" s="21" t="s">
        <v>96</v>
      </c>
      <c r="E112" s="21" t="s">
        <v>93</v>
      </c>
      <c r="F112" s="33" t="s">
        <v>94</v>
      </c>
      <c r="G112" s="57"/>
      <c r="H112" s="54"/>
      <c r="I112" s="67"/>
      <c r="J112" s="57">
        <f t="shared" si="8"/>
        <v>0</v>
      </c>
      <c r="K112" s="57">
        <f>(J112+J113)*0.2*N2</f>
        <v>0</v>
      </c>
      <c r="L112" s="57"/>
      <c r="M112" s="57"/>
    </row>
    <row r="113" spans="1:13">
      <c r="A113" s="64">
        <v>43556</v>
      </c>
      <c r="B113" s="21" t="s">
        <v>433</v>
      </c>
      <c r="C113" s="103"/>
      <c r="D113" s="21" t="s">
        <v>96</v>
      </c>
      <c r="E113" s="21" t="s">
        <v>93</v>
      </c>
      <c r="F113" s="33" t="s">
        <v>97</v>
      </c>
      <c r="G113" s="57"/>
      <c r="H113" s="54"/>
      <c r="I113" s="67"/>
      <c r="J113" s="57">
        <f t="shared" si="8"/>
        <v>0</v>
      </c>
      <c r="K113" s="57"/>
      <c r="L113" s="57"/>
      <c r="M113" s="57"/>
    </row>
    <row r="114" spans="1:13">
      <c r="A114" s="64">
        <v>43556</v>
      </c>
      <c r="B114" s="21" t="s">
        <v>433</v>
      </c>
      <c r="C114" s="104"/>
      <c r="D114" s="21" t="s">
        <v>441</v>
      </c>
      <c r="E114" s="21" t="s">
        <v>249</v>
      </c>
      <c r="F114" s="33" t="s">
        <v>254</v>
      </c>
      <c r="G114" s="57"/>
      <c r="H114" s="54"/>
      <c r="I114" s="67"/>
      <c r="J114" s="57">
        <f t="shared" si="8"/>
        <v>0</v>
      </c>
      <c r="K114" s="57"/>
      <c r="L114" s="57"/>
      <c r="M114" s="57"/>
    </row>
    <row r="115" spans="1:13">
      <c r="A115" s="64">
        <v>43556</v>
      </c>
      <c r="B115" s="21" t="s">
        <v>433</v>
      </c>
      <c r="C115" s="21" t="s">
        <v>199</v>
      </c>
      <c r="D115" s="21" t="s">
        <v>202</v>
      </c>
      <c r="E115" s="21" t="s">
        <v>93</v>
      </c>
      <c r="F115" s="33" t="s">
        <v>94</v>
      </c>
      <c r="G115" s="57"/>
      <c r="H115" s="54"/>
      <c r="I115" s="67"/>
      <c r="J115" s="57">
        <f t="shared" si="8"/>
        <v>0</v>
      </c>
      <c r="K115" s="57">
        <f>J115*0.25*N2</f>
        <v>0</v>
      </c>
      <c r="L115" s="57"/>
      <c r="M115" s="57"/>
    </row>
    <row r="116" spans="1:13">
      <c r="A116" s="64">
        <v>43556</v>
      </c>
      <c r="B116" s="21" t="s">
        <v>433</v>
      </c>
      <c r="C116" s="30" t="s">
        <v>257</v>
      </c>
      <c r="D116" s="21" t="s">
        <v>258</v>
      </c>
      <c r="E116" s="21" t="s">
        <v>291</v>
      </c>
      <c r="F116" s="33" t="s">
        <v>292</v>
      </c>
      <c r="G116" s="57"/>
      <c r="H116" s="54"/>
      <c r="I116" s="67"/>
      <c r="J116" s="57">
        <f t="shared" si="8"/>
        <v>0</v>
      </c>
      <c r="K116" s="57"/>
      <c r="L116" s="57"/>
      <c r="M116" s="57"/>
    </row>
    <row r="117" spans="1:13">
      <c r="A117" s="64"/>
      <c r="C117" s="102" t="s">
        <v>235</v>
      </c>
      <c r="D117" s="21" t="s">
        <v>186</v>
      </c>
      <c r="E117" s="21" t="s">
        <v>191</v>
      </c>
      <c r="F117" s="33" t="s">
        <v>192</v>
      </c>
      <c r="G117" s="57"/>
      <c r="H117" s="54"/>
      <c r="I117" s="68"/>
      <c r="J117" s="57">
        <f t="shared" si="8"/>
        <v>0</v>
      </c>
      <c r="K117" s="57"/>
      <c r="L117" s="57"/>
      <c r="M117" s="57"/>
    </row>
    <row r="118" spans="1:13">
      <c r="A118" s="64">
        <v>43556</v>
      </c>
      <c r="B118" s="21" t="s">
        <v>433</v>
      </c>
      <c r="C118" s="103"/>
      <c r="D118" s="21" t="s">
        <v>186</v>
      </c>
      <c r="E118" s="21" t="s">
        <v>191</v>
      </c>
      <c r="F118" s="33" t="s">
        <v>193</v>
      </c>
      <c r="G118" s="57"/>
      <c r="H118" s="54"/>
      <c r="I118" s="67"/>
      <c r="J118" s="57">
        <f t="shared" si="8"/>
        <v>0</v>
      </c>
      <c r="K118" s="57">
        <f>(J118+J117)*0.05*N2</f>
        <v>0</v>
      </c>
      <c r="L118" s="57">
        <f>K118/0.05*0.25</f>
        <v>0</v>
      </c>
      <c r="M118" s="57">
        <f>L118-K118</f>
        <v>0</v>
      </c>
    </row>
    <row r="119" spans="1:13">
      <c r="A119" s="64"/>
      <c r="C119" s="103"/>
      <c r="D119" s="21" t="s">
        <v>189</v>
      </c>
      <c r="E119" s="21" t="s">
        <v>187</v>
      </c>
      <c r="F119" s="33" t="s">
        <v>190</v>
      </c>
      <c r="G119" s="57"/>
      <c r="H119" s="54"/>
      <c r="I119" s="68"/>
      <c r="J119" s="57">
        <f t="shared" si="8"/>
        <v>0</v>
      </c>
      <c r="K119" s="57"/>
      <c r="L119" s="57"/>
      <c r="M119" s="57"/>
    </row>
    <row r="120" spans="1:13">
      <c r="A120" s="64">
        <v>43556</v>
      </c>
      <c r="B120" s="21" t="s">
        <v>433</v>
      </c>
      <c r="C120" s="104"/>
      <c r="D120" s="21" t="s">
        <v>189</v>
      </c>
      <c r="E120" s="21" t="s">
        <v>187</v>
      </c>
      <c r="F120" s="33" t="s">
        <v>188</v>
      </c>
      <c r="G120" s="57"/>
      <c r="H120" s="54"/>
      <c r="I120" s="67"/>
      <c r="J120" s="57">
        <f t="shared" si="8"/>
        <v>0</v>
      </c>
      <c r="K120" s="57">
        <f>(J120+J119)*0.05*N2</f>
        <v>0</v>
      </c>
      <c r="L120" s="57">
        <f>K120/0.05*0.25</f>
        <v>0</v>
      </c>
      <c r="M120" s="57">
        <f>L120-K120</f>
        <v>0</v>
      </c>
    </row>
    <row r="121" spans="1:13">
      <c r="A121" s="21">
        <v>42795</v>
      </c>
      <c r="B121" s="71"/>
      <c r="C121" s="106" t="s">
        <v>218</v>
      </c>
      <c r="D121" s="107"/>
      <c r="E121" s="21" t="s">
        <v>219</v>
      </c>
      <c r="F121" s="33" t="s">
        <v>219</v>
      </c>
      <c r="G121" s="57"/>
      <c r="H121" s="54"/>
      <c r="I121" s="68"/>
      <c r="J121" s="57">
        <f t="shared" ref="J121:J124" si="9">(G121*H121*0.98)-I121</f>
        <v>0</v>
      </c>
      <c r="K121" s="57">
        <f>(J3+J4+J5+J6+J7+J8+J9+J10+J11+J12+J13+J16+J17+J22+J27+J29+J30+J31+J32+J33+J34+J35+J36+J37+J38+J39+J40+J41+J42+J43+J44+J45+J46+J47+J48+J49+J50+J51+J52+J53+J57+J60+J61+J62+J63+J64+J65+J66+J67+J68+J69+J70+J71+J72+J73+J74+J75+J76+J77+J78+J79+J81+J82+J83+J84+J85+J86+J87+J88+J89+J90+J91+J92+J95+J96+J97+J98+J99+J100+J101+J102+J103+J104+J105+J106+J107+J108+J109+J110+J111+J112+J113+J117+J118+J119+J120)*0.01*N2+(J14+J15+J18+J23+J24+J25+J26+J28)*0.07*N2+(J54+J55+J56+J58+J59)*0.04*N2+(J80)*0.08*N2</f>
        <v>0</v>
      </c>
      <c r="L121" s="57"/>
      <c r="M121" s="57"/>
    </row>
    <row r="122" spans="1:13">
      <c r="A122" s="21">
        <v>42795</v>
      </c>
      <c r="B122" s="72"/>
      <c r="C122" s="108"/>
      <c r="D122" s="109"/>
      <c r="E122" s="21" t="s">
        <v>220</v>
      </c>
      <c r="F122" s="33" t="s">
        <v>220</v>
      </c>
      <c r="G122" s="57"/>
      <c r="H122" s="54"/>
      <c r="I122" s="68"/>
      <c r="J122" s="57">
        <f t="shared" si="9"/>
        <v>0</v>
      </c>
      <c r="K122" s="57">
        <f>(J3+J4+J5+J6+J8+J9+J29)*0.06*N2+(J49)*0.03*N2+(J64+J65+J66+J90+J91+J92)*0.07*N2</f>
        <v>0</v>
      </c>
      <c r="L122" s="57"/>
      <c r="M122" s="57"/>
    </row>
    <row r="123" spans="1:13">
      <c r="A123" s="21">
        <v>42795</v>
      </c>
      <c r="B123" s="72"/>
      <c r="C123" s="108"/>
      <c r="D123" s="109"/>
      <c r="E123" s="21" t="s">
        <v>221</v>
      </c>
      <c r="F123" s="33" t="s">
        <v>221</v>
      </c>
      <c r="G123" s="57"/>
      <c r="H123" s="54"/>
      <c r="I123" s="68"/>
      <c r="J123" s="57">
        <f t="shared" si="9"/>
        <v>0</v>
      </c>
      <c r="K123" s="57">
        <f>(J7+J10+J30+J31)*0.06*N2+(J75+J76+J77+J78+J79+J81+J82+J83+J95+J96+J97+J98+J99+J112+J113)*0.07*N2+(J119+J120)*0.03*N2</f>
        <v>0</v>
      </c>
      <c r="L123" s="57"/>
      <c r="M123" s="57"/>
    </row>
    <row r="124" spans="1:13">
      <c r="A124" s="21">
        <v>42795</v>
      </c>
      <c r="B124" s="72"/>
      <c r="C124" s="108"/>
      <c r="D124" s="109"/>
      <c r="E124" s="21" t="s">
        <v>225</v>
      </c>
      <c r="F124" s="33" t="s">
        <v>225</v>
      </c>
      <c r="G124" s="57"/>
      <c r="H124" s="54"/>
      <c r="I124" s="68"/>
      <c r="J124" s="57">
        <f t="shared" si="9"/>
        <v>0</v>
      </c>
      <c r="K124" s="57">
        <f>(J16+J17)*0.06*N2+(J38+J39+J45+J46+J47+J48+J52+J53)*0.03*N2+(J87+J88+J89+J105+J106+J107)*0.07*N2</f>
        <v>0</v>
      </c>
      <c r="L124" s="57"/>
      <c r="M124" s="57"/>
    </row>
    <row r="125" spans="1:13">
      <c r="A125" s="21">
        <v>42795</v>
      </c>
      <c r="B125" s="72"/>
      <c r="C125" s="108"/>
      <c r="D125" s="109"/>
      <c r="E125" s="21" t="s">
        <v>223</v>
      </c>
      <c r="F125" s="33" t="s">
        <v>223</v>
      </c>
      <c r="G125" s="57"/>
      <c r="H125" s="54"/>
      <c r="I125" s="68"/>
      <c r="J125" s="57">
        <v>0</v>
      </c>
      <c r="K125" s="57">
        <f>(J11+J12+J13+J22)*0.06*N2</f>
        <v>0</v>
      </c>
      <c r="L125" s="57"/>
      <c r="M125" s="57"/>
    </row>
    <row r="126" spans="1:13">
      <c r="B126" s="72"/>
      <c r="C126" s="108"/>
      <c r="D126" s="109"/>
      <c r="E126" s="21" t="s">
        <v>224</v>
      </c>
      <c r="F126" s="33" t="s">
        <v>224</v>
      </c>
      <c r="G126" s="57"/>
      <c r="H126" s="54"/>
      <c r="I126" s="68"/>
      <c r="J126" s="57">
        <v>0</v>
      </c>
      <c r="K126" s="57">
        <f>(0)*0.06*N2+(J43+J44+J117+J118)*0.03*N2+(J67+J68+J69+J70+J71+J72+J73+J74+J108)*0.07*N2</f>
        <v>0</v>
      </c>
      <c r="L126" s="57"/>
      <c r="M126" s="57"/>
    </row>
    <row r="127" spans="1:13">
      <c r="B127" s="72"/>
      <c r="C127" s="108"/>
      <c r="D127" s="109"/>
      <c r="E127" s="21" t="s">
        <v>226</v>
      </c>
      <c r="F127" s="33" t="s">
        <v>226</v>
      </c>
      <c r="G127" s="57"/>
      <c r="H127" s="54"/>
      <c r="I127" s="68"/>
      <c r="J127" s="57">
        <v>0</v>
      </c>
      <c r="K127" s="57">
        <f>(J27)*0.06*N2+(J32+J33+J34+J35+J57)*0.03*N2+(J61+J62+J63+J84+J85+J86+J110)*0.07*N2</f>
        <v>0</v>
      </c>
      <c r="L127" s="57"/>
      <c r="M127" s="57"/>
    </row>
    <row r="128" spans="1:13">
      <c r="B128" s="73"/>
      <c r="C128" s="110"/>
      <c r="D128" s="111"/>
      <c r="E128" s="21" t="s">
        <v>222</v>
      </c>
      <c r="F128" s="33" t="s">
        <v>222</v>
      </c>
      <c r="G128" s="57"/>
      <c r="H128" s="54"/>
      <c r="I128" s="68"/>
      <c r="J128" s="57">
        <v>0</v>
      </c>
      <c r="K128" s="57">
        <f>(J36+J37+J40+J41+J42+J50+J51+J60)*0.03*N2+(J100+J101+J102+J103+J104+J111)*0.07*N2</f>
        <v>0</v>
      </c>
      <c r="L128" s="57"/>
      <c r="M128" s="57"/>
    </row>
    <row r="129" spans="1:13">
      <c r="A129" s="21">
        <v>42795</v>
      </c>
      <c r="F129" s="58" t="s">
        <v>227</v>
      </c>
      <c r="G129" s="65">
        <f>SUM(G3:G124)</f>
        <v>0</v>
      </c>
      <c r="H129" s="66"/>
      <c r="I129" s="69">
        <f>SUM(I3:I124)</f>
        <v>0</v>
      </c>
      <c r="J129" s="65">
        <f>SUM(J3:J128)</f>
        <v>0</v>
      </c>
      <c r="K129" s="65">
        <f>J129*N2</f>
        <v>0</v>
      </c>
      <c r="L129" s="57"/>
      <c r="M129" s="57"/>
    </row>
    <row r="130" spans="1:13">
      <c r="F130" s="58" t="s">
        <v>228</v>
      </c>
      <c r="G130" s="65"/>
      <c r="H130" s="66"/>
      <c r="I130" s="69"/>
      <c r="J130" s="65"/>
      <c r="K130" s="65">
        <f>K129*0.4</f>
        <v>0</v>
      </c>
      <c r="L130" s="57"/>
      <c r="M130" s="57"/>
    </row>
    <row r="131" spans="1:13">
      <c r="F131" s="58" t="s">
        <v>261</v>
      </c>
      <c r="G131" s="65"/>
      <c r="H131" s="66"/>
      <c r="I131" s="69"/>
      <c r="J131" s="65"/>
      <c r="K131" s="65">
        <f>K129*0.6</f>
        <v>0</v>
      </c>
      <c r="L131" s="57"/>
      <c r="M131" s="57"/>
    </row>
    <row r="132" spans="1:13">
      <c r="F132" s="33"/>
      <c r="G132" s="57"/>
      <c r="H132" s="54"/>
      <c r="I132" s="68"/>
      <c r="J132" s="57"/>
      <c r="K132" s="57"/>
      <c r="L132" s="57"/>
      <c r="M132" s="57"/>
    </row>
    <row r="133" spans="1:13">
      <c r="A133" s="21">
        <v>42795</v>
      </c>
      <c r="C133" s="21" t="s">
        <v>442</v>
      </c>
      <c r="E133" s="21" t="s">
        <v>230</v>
      </c>
      <c r="F133" s="33"/>
      <c r="G133" s="57"/>
      <c r="H133" s="54"/>
      <c r="I133" s="68"/>
      <c r="J133" s="57"/>
      <c r="K133" s="57">
        <f>(J8+J19+J20+J21+J9+J3)*0.05*N2+M10+M11+M14+M22+M29+M27+M4+M7+M28+M16</f>
        <v>0</v>
      </c>
      <c r="L133" s="57"/>
      <c r="M133" s="57"/>
    </row>
    <row r="134" spans="1:13">
      <c r="A134" s="21">
        <v>42795</v>
      </c>
      <c r="C134" s="21" t="s">
        <v>443</v>
      </c>
      <c r="E134" s="21" t="s">
        <v>230</v>
      </c>
      <c r="F134" s="33"/>
      <c r="G134" s="57"/>
      <c r="H134" s="54"/>
      <c r="I134" s="68"/>
      <c r="J134" s="57"/>
      <c r="K134" s="57">
        <f>M61+M67+M84+M87+M98+M100+M105+M94+M64+M70+M78</f>
        <v>0</v>
      </c>
      <c r="L134" s="57"/>
      <c r="M134" s="57"/>
    </row>
    <row r="135" spans="1:13">
      <c r="A135" s="21">
        <v>42795</v>
      </c>
      <c r="C135" s="21" t="s">
        <v>444</v>
      </c>
      <c r="E135" s="21" t="s">
        <v>230</v>
      </c>
      <c r="F135" s="33"/>
      <c r="G135" s="57"/>
      <c r="H135" s="54"/>
      <c r="I135" s="68"/>
      <c r="J135" s="57"/>
      <c r="K135" s="57">
        <f>M108+M112+(J112)*0.05*N2+M110</f>
        <v>0</v>
      </c>
      <c r="L135" s="57"/>
      <c r="M135" s="57"/>
    </row>
    <row r="136" spans="1:13">
      <c r="A136" s="21">
        <v>42795</v>
      </c>
      <c r="C136" s="21" t="s">
        <v>445</v>
      </c>
      <c r="E136" s="21" t="s">
        <v>230</v>
      </c>
      <c r="F136" s="33"/>
      <c r="G136" s="57"/>
      <c r="H136" s="54"/>
      <c r="I136" s="68"/>
      <c r="J136" s="57"/>
      <c r="K136" s="57">
        <f>(J32+J33)*0.05*N2+M34+M43+M45+M47+M54+M56+M36+M38</f>
        <v>0</v>
      </c>
      <c r="L136" s="57"/>
      <c r="M136" s="57"/>
    </row>
    <row r="137" spans="1:13">
      <c r="C137" s="21" t="s">
        <v>235</v>
      </c>
      <c r="E137" s="21" t="s">
        <v>230</v>
      </c>
      <c r="F137" s="33"/>
      <c r="G137" s="57"/>
      <c r="H137" s="54"/>
      <c r="I137" s="68"/>
      <c r="J137" s="57"/>
      <c r="K137" s="57">
        <f>M118+M120</f>
        <v>0</v>
      </c>
      <c r="L137" s="57"/>
      <c r="M137" s="57"/>
    </row>
    <row r="138" spans="1:13">
      <c r="A138" s="21">
        <v>42795</v>
      </c>
      <c r="C138" s="21" t="s">
        <v>363</v>
      </c>
      <c r="F138" s="33"/>
      <c r="G138" s="57"/>
      <c r="H138" s="54"/>
      <c r="I138" s="68"/>
      <c r="J138" s="57"/>
      <c r="K138" s="57">
        <v>0</v>
      </c>
      <c r="L138" s="57"/>
      <c r="M138" s="57"/>
    </row>
    <row r="139" spans="1:13">
      <c r="A139" s="21">
        <v>42795</v>
      </c>
      <c r="C139" s="21" t="s">
        <v>262</v>
      </c>
      <c r="E139" s="21" t="s">
        <v>230</v>
      </c>
      <c r="K139" s="59">
        <f>J129*0.07*N2</f>
        <v>0</v>
      </c>
    </row>
    <row r="140" spans="1:13">
      <c r="K140" s="59">
        <f>K133+K134+K136</f>
        <v>0</v>
      </c>
    </row>
    <row r="141" spans="1:13">
      <c r="K141" s="65">
        <f>K133+K134+K135+K136+K137</f>
        <v>0</v>
      </c>
    </row>
  </sheetData>
  <mergeCells count="6">
    <mergeCell ref="C121:D128"/>
    <mergeCell ref="C3:C31"/>
    <mergeCell ref="C32:C60"/>
    <mergeCell ref="C61:C107"/>
    <mergeCell ref="C108:C114"/>
    <mergeCell ref="C117:C120"/>
  </mergeCells>
  <phoneticPr fontId="37" type="noConversion"/>
  <conditionalFormatting sqref="E124">
    <cfRule type="containsText" dxfId="6" priority="1" operator="containsText" text="方泽斯">
      <formula>NOT(ISERROR(SEARCH("方泽斯",E124)))</formula>
    </cfRule>
  </conditionalFormatting>
  <pageMargins left="0" right="0" top="0" bottom="0" header="0.51" footer="0.51"/>
  <pageSetup paperSize="9" scale="6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enableFormatConditionsCalculation="0">
    <tabColor rgb="FF99CC00"/>
  </sheetPr>
  <dimension ref="A1:Y109"/>
  <sheetViews>
    <sheetView topLeftCell="C1" zoomScaleSheetLayoutView="100" workbookViewId="0">
      <selection activeCell="G3" sqref="G3:I93"/>
    </sheetView>
  </sheetViews>
  <sheetFormatPr defaultRowHeight="13.5"/>
  <cols>
    <col min="1" max="2" width="9.75" style="21" hidden="1" customWidth="1"/>
    <col min="3" max="3" width="10.875" style="21" customWidth="1"/>
    <col min="4" max="4" width="9" style="21"/>
    <col min="5" max="5" width="9" style="21" customWidth="1"/>
    <col min="6" max="6" width="20.375" style="21" customWidth="1"/>
    <col min="7" max="7" width="13.5" style="59" customWidth="1"/>
    <col min="8" max="8" width="14.125" style="60" bestFit="1" customWidth="1"/>
    <col min="9" max="9" width="16.625" style="61" customWidth="1"/>
    <col min="10" max="10" width="13.625" style="59" customWidth="1"/>
    <col min="11" max="11" width="19.125" style="59" customWidth="1"/>
    <col min="12" max="12" width="10" style="59" customWidth="1"/>
    <col min="13" max="13" width="10.5" style="59" customWidth="1"/>
    <col min="14" max="14" width="9" style="21"/>
    <col min="15" max="15" width="15.75" style="21" customWidth="1"/>
    <col min="16" max="16384" width="9" style="21"/>
  </cols>
  <sheetData>
    <row r="1" spans="1:25">
      <c r="C1" s="21" t="s">
        <v>446</v>
      </c>
    </row>
    <row r="2" spans="1:25" s="22" customFormat="1" ht="21" customHeight="1">
      <c r="A2" s="24"/>
      <c r="B2" s="24"/>
      <c r="C2" s="25" t="s">
        <v>1</v>
      </c>
      <c r="D2" s="25" t="s">
        <v>2</v>
      </c>
      <c r="E2" s="25"/>
      <c r="F2" s="26" t="s">
        <v>3</v>
      </c>
      <c r="G2" s="27" t="s">
        <v>4</v>
      </c>
      <c r="H2" s="28" t="s">
        <v>5</v>
      </c>
      <c r="I2" s="29" t="s">
        <v>6</v>
      </c>
      <c r="J2" s="29" t="s">
        <v>7</v>
      </c>
      <c r="K2" s="38" t="s">
        <v>8</v>
      </c>
      <c r="L2" s="39"/>
      <c r="M2" s="40" t="s">
        <v>9</v>
      </c>
      <c r="N2" s="41">
        <v>7.01</v>
      </c>
      <c r="O2" s="42"/>
      <c r="P2" s="43"/>
      <c r="Q2" s="44"/>
      <c r="R2" s="45"/>
      <c r="S2" s="45"/>
      <c r="W2" s="46"/>
      <c r="X2" s="46"/>
      <c r="Y2" s="46"/>
    </row>
    <row r="3" spans="1:25" ht="15" customHeight="1">
      <c r="A3" s="64">
        <v>43556</v>
      </c>
      <c r="B3" s="21" t="s">
        <v>446</v>
      </c>
      <c r="C3" s="102" t="s">
        <v>10</v>
      </c>
      <c r="D3" s="21" t="s">
        <v>32</v>
      </c>
      <c r="E3" s="21" t="s">
        <v>33</v>
      </c>
      <c r="F3" s="33" t="s">
        <v>34</v>
      </c>
      <c r="G3" s="74"/>
      <c r="H3" s="54"/>
      <c r="I3" s="68"/>
      <c r="J3" s="57">
        <f t="shared" ref="J3:J66" si="0">G3*H3*1-I3</f>
        <v>0</v>
      </c>
      <c r="K3" s="57">
        <f>J3*0.2*N2</f>
        <v>0</v>
      </c>
      <c r="L3" s="57"/>
      <c r="M3" s="57"/>
    </row>
    <row r="4" spans="1:25" ht="15" customHeight="1">
      <c r="A4" s="64">
        <v>43556</v>
      </c>
      <c r="B4" s="21" t="s">
        <v>446</v>
      </c>
      <c r="C4" s="103"/>
      <c r="D4" s="21" t="s">
        <v>39</v>
      </c>
      <c r="E4" s="21" t="s">
        <v>40</v>
      </c>
      <c r="F4" s="33" t="s">
        <v>41</v>
      </c>
      <c r="G4" s="57"/>
      <c r="H4" s="54"/>
      <c r="I4" s="67"/>
      <c r="J4" s="57">
        <f t="shared" si="0"/>
        <v>0</v>
      </c>
      <c r="K4" s="57">
        <f>(J4+J5)*0.05*N2</f>
        <v>0</v>
      </c>
      <c r="L4" s="57">
        <f t="shared" ref="L4:L8" si="1">K4/0.05*0.25</f>
        <v>0</v>
      </c>
      <c r="M4" s="57">
        <f t="shared" ref="M4:M9" si="2">L4-K4</f>
        <v>0</v>
      </c>
    </row>
    <row r="5" spans="1:25" ht="15" customHeight="1">
      <c r="A5" s="64">
        <v>43556</v>
      </c>
      <c r="B5" s="21" t="s">
        <v>446</v>
      </c>
      <c r="C5" s="103"/>
      <c r="D5" s="21" t="s">
        <v>39</v>
      </c>
      <c r="E5" s="21" t="s">
        <v>40</v>
      </c>
      <c r="F5" s="33" t="s">
        <v>42</v>
      </c>
      <c r="G5" s="57"/>
      <c r="H5" s="54"/>
      <c r="I5" s="67"/>
      <c r="J5" s="57">
        <f t="shared" si="0"/>
        <v>0</v>
      </c>
      <c r="K5" s="57"/>
      <c r="L5" s="57"/>
      <c r="M5" s="57"/>
    </row>
    <row r="6" spans="1:25" ht="15" customHeight="1">
      <c r="A6" s="64">
        <v>43556</v>
      </c>
      <c r="B6" s="21" t="s">
        <v>446</v>
      </c>
      <c r="C6" s="103"/>
      <c r="D6" s="21" t="s">
        <v>77</v>
      </c>
      <c r="E6" s="21" t="s">
        <v>12</v>
      </c>
      <c r="F6" s="33" t="s">
        <v>13</v>
      </c>
      <c r="G6" s="57"/>
      <c r="H6" s="54"/>
      <c r="I6" s="68"/>
      <c r="J6" s="57">
        <f t="shared" si="0"/>
        <v>0</v>
      </c>
      <c r="K6" s="57">
        <f>J6*0.05*N2</f>
        <v>0</v>
      </c>
      <c r="L6" s="57">
        <f t="shared" si="1"/>
        <v>0</v>
      </c>
      <c r="M6" s="57">
        <f t="shared" si="2"/>
        <v>0</v>
      </c>
    </row>
    <row r="7" spans="1:25" ht="15" customHeight="1">
      <c r="A7" s="64">
        <v>43556</v>
      </c>
      <c r="B7" s="21" t="s">
        <v>446</v>
      </c>
      <c r="C7" s="103"/>
      <c r="D7" s="21" t="s">
        <v>66</v>
      </c>
      <c r="E7" s="21" t="s">
        <v>63</v>
      </c>
      <c r="F7" s="33" t="s">
        <v>64</v>
      </c>
      <c r="G7" s="57"/>
      <c r="H7" s="54"/>
      <c r="I7" s="67"/>
      <c r="J7" s="57">
        <f t="shared" si="0"/>
        <v>0</v>
      </c>
      <c r="K7" s="57"/>
      <c r="L7" s="57"/>
      <c r="M7" s="57"/>
    </row>
    <row r="8" spans="1:25" ht="15" customHeight="1">
      <c r="A8" s="64">
        <v>43556</v>
      </c>
      <c r="B8" s="21" t="s">
        <v>446</v>
      </c>
      <c r="C8" s="103"/>
      <c r="D8" s="21" t="s">
        <v>62</v>
      </c>
      <c r="E8" s="21" t="s">
        <v>63</v>
      </c>
      <c r="F8" s="33" t="s">
        <v>64</v>
      </c>
      <c r="G8" s="57"/>
      <c r="H8" s="54"/>
      <c r="I8" s="67"/>
      <c r="J8" s="57">
        <f t="shared" si="0"/>
        <v>0</v>
      </c>
      <c r="K8" s="57">
        <f>(J8+J7)*0.05*N2</f>
        <v>0</v>
      </c>
      <c r="L8" s="57">
        <f t="shared" si="1"/>
        <v>0</v>
      </c>
      <c r="M8" s="57">
        <f t="shared" si="2"/>
        <v>0</v>
      </c>
    </row>
    <row r="9" spans="1:25" ht="15" customHeight="1">
      <c r="A9" s="64">
        <v>43556</v>
      </c>
      <c r="B9" s="21" t="s">
        <v>446</v>
      </c>
      <c r="C9" s="103"/>
      <c r="D9" s="21" t="s">
        <v>45</v>
      </c>
      <c r="E9" s="21" t="s">
        <v>298</v>
      </c>
      <c r="F9" s="33" t="s">
        <v>299</v>
      </c>
      <c r="G9" s="57"/>
      <c r="H9" s="54"/>
      <c r="I9" s="67"/>
      <c r="J9" s="57">
        <f t="shared" si="0"/>
        <v>0</v>
      </c>
      <c r="K9" s="57">
        <f>(J9+J10)*0.03*N2</f>
        <v>0</v>
      </c>
      <c r="L9" s="57">
        <f>K9/0.03*0.25</f>
        <v>0</v>
      </c>
      <c r="M9" s="57">
        <f t="shared" si="2"/>
        <v>0</v>
      </c>
    </row>
    <row r="10" spans="1:25" ht="15" customHeight="1">
      <c r="A10" s="64">
        <v>43556</v>
      </c>
      <c r="B10" s="21" t="s">
        <v>446</v>
      </c>
      <c r="C10" s="103"/>
      <c r="D10" s="21" t="s">
        <v>45</v>
      </c>
      <c r="E10" s="21" t="s">
        <v>298</v>
      </c>
      <c r="F10" s="33" t="s">
        <v>301</v>
      </c>
      <c r="G10" s="57"/>
      <c r="H10" s="54"/>
      <c r="I10" s="68"/>
      <c r="J10" s="57">
        <f t="shared" si="0"/>
        <v>0</v>
      </c>
      <c r="K10" s="57"/>
      <c r="L10" s="57"/>
      <c r="M10" s="57"/>
    </row>
    <row r="11" spans="1:25" ht="15" customHeight="1">
      <c r="A11" s="64">
        <v>43556</v>
      </c>
      <c r="B11" s="21" t="s">
        <v>446</v>
      </c>
      <c r="C11" s="103"/>
      <c r="D11" s="21" t="s">
        <v>31</v>
      </c>
      <c r="E11" s="21" t="s">
        <v>238</v>
      </c>
      <c r="F11" s="33" t="s">
        <v>239</v>
      </c>
      <c r="G11" s="74"/>
      <c r="H11" s="54"/>
      <c r="I11" s="68"/>
      <c r="J11" s="57">
        <f t="shared" si="0"/>
        <v>0</v>
      </c>
      <c r="K11" s="57"/>
      <c r="L11" s="57"/>
      <c r="M11" s="57"/>
    </row>
    <row r="12" spans="1:25" ht="15" customHeight="1">
      <c r="A12" s="64">
        <v>43556</v>
      </c>
      <c r="B12" s="21" t="s">
        <v>446</v>
      </c>
      <c r="C12" s="103"/>
      <c r="D12" s="21" t="s">
        <v>67</v>
      </c>
      <c r="E12" s="21" t="s">
        <v>68</v>
      </c>
      <c r="F12" s="33" t="s">
        <v>69</v>
      </c>
      <c r="G12" s="57"/>
      <c r="H12" s="54"/>
      <c r="I12" s="68"/>
      <c r="J12" s="57">
        <f t="shared" si="0"/>
        <v>0</v>
      </c>
      <c r="K12" s="57">
        <f>(J12+J13+J14)*0.05*N2</f>
        <v>0</v>
      </c>
      <c r="L12" s="57">
        <f>K12/0.05*0.25</f>
        <v>0</v>
      </c>
      <c r="M12" s="57">
        <f t="shared" ref="M12:M17" si="3">L12-K12</f>
        <v>0</v>
      </c>
    </row>
    <row r="13" spans="1:25" ht="15" customHeight="1">
      <c r="A13" s="64"/>
      <c r="C13" s="103"/>
      <c r="D13" s="21" t="s">
        <v>272</v>
      </c>
      <c r="E13" s="21" t="s">
        <v>68</v>
      </c>
      <c r="F13" s="33" t="s">
        <v>69</v>
      </c>
      <c r="G13" s="57"/>
      <c r="H13" s="54"/>
      <c r="I13" s="68"/>
      <c r="J13" s="57">
        <f t="shared" si="0"/>
        <v>0</v>
      </c>
      <c r="K13" s="57"/>
      <c r="L13" s="57"/>
      <c r="M13" s="57"/>
    </row>
    <row r="14" spans="1:25" ht="15" customHeight="1">
      <c r="A14" s="64"/>
      <c r="C14" s="103"/>
      <c r="D14" s="21" t="s">
        <v>272</v>
      </c>
      <c r="E14" s="21" t="s">
        <v>68</v>
      </c>
      <c r="F14" s="33" t="s">
        <v>303</v>
      </c>
      <c r="G14" s="57"/>
      <c r="H14" s="54"/>
      <c r="I14" s="68"/>
      <c r="J14" s="57">
        <f t="shared" si="0"/>
        <v>0</v>
      </c>
      <c r="K14" s="57"/>
      <c r="L14" s="57"/>
      <c r="M14" s="57"/>
    </row>
    <row r="15" spans="1:25" ht="15" customHeight="1">
      <c r="A15" s="64">
        <v>43556</v>
      </c>
      <c r="B15" s="21" t="s">
        <v>446</v>
      </c>
      <c r="C15" s="103"/>
      <c r="D15" s="21" t="s">
        <v>318</v>
      </c>
      <c r="E15" s="21" t="s">
        <v>278</v>
      </c>
      <c r="F15" s="33" t="s">
        <v>302</v>
      </c>
      <c r="G15" s="57"/>
      <c r="H15" s="54"/>
      <c r="I15" s="68"/>
      <c r="J15" s="57">
        <f t="shared" si="0"/>
        <v>0</v>
      </c>
      <c r="K15" s="57">
        <f>J15*0.2*N2</f>
        <v>0</v>
      </c>
      <c r="L15" s="57"/>
      <c r="M15" s="57"/>
    </row>
    <row r="16" spans="1:25" ht="15" customHeight="1">
      <c r="A16" s="64">
        <v>43556</v>
      </c>
      <c r="B16" s="21" t="s">
        <v>446</v>
      </c>
      <c r="C16" s="103"/>
      <c r="D16" s="21" t="s">
        <v>51</v>
      </c>
      <c r="E16" s="21" t="s">
        <v>52</v>
      </c>
      <c r="F16" s="33" t="s">
        <v>53</v>
      </c>
      <c r="G16" s="57"/>
      <c r="H16" s="54"/>
      <c r="I16" s="68"/>
      <c r="J16" s="57">
        <f t="shared" si="0"/>
        <v>0</v>
      </c>
      <c r="K16" s="57">
        <f>J16*0.05*N2</f>
        <v>0</v>
      </c>
      <c r="L16" s="57">
        <f>K16/0.05*0.25</f>
        <v>0</v>
      </c>
      <c r="M16" s="57">
        <f t="shared" si="3"/>
        <v>0</v>
      </c>
    </row>
    <row r="17" spans="1:13" ht="15" customHeight="1">
      <c r="A17" s="64">
        <v>43556</v>
      </c>
      <c r="B17" s="21" t="s">
        <v>446</v>
      </c>
      <c r="C17" s="103"/>
      <c r="D17" s="21" t="s">
        <v>61</v>
      </c>
      <c r="E17" s="21" t="s">
        <v>238</v>
      </c>
      <c r="F17" s="33" t="s">
        <v>239</v>
      </c>
      <c r="G17" s="57"/>
      <c r="H17" s="54"/>
      <c r="I17" s="67"/>
      <c r="J17" s="57">
        <f t="shared" si="0"/>
        <v>0</v>
      </c>
      <c r="K17" s="57">
        <f>(J17+J18+J19+J11)*0.05*N2</f>
        <v>0</v>
      </c>
      <c r="L17" s="57">
        <f>K17/0.05*0.25</f>
        <v>0</v>
      </c>
      <c r="M17" s="57">
        <f t="shared" si="3"/>
        <v>0</v>
      </c>
    </row>
    <row r="18" spans="1:13" ht="15" customHeight="1">
      <c r="A18" s="64">
        <v>43556</v>
      </c>
      <c r="B18" s="21" t="s">
        <v>446</v>
      </c>
      <c r="C18" s="103"/>
      <c r="D18" s="21" t="s">
        <v>61</v>
      </c>
      <c r="E18" s="21" t="s">
        <v>238</v>
      </c>
      <c r="F18" s="33" t="s">
        <v>317</v>
      </c>
      <c r="G18" s="57"/>
      <c r="H18" s="54"/>
      <c r="I18" s="68"/>
      <c r="J18" s="57">
        <f t="shared" si="0"/>
        <v>0</v>
      </c>
      <c r="K18" s="57"/>
      <c r="L18" s="57"/>
      <c r="M18" s="57"/>
    </row>
    <row r="19" spans="1:13" ht="15" customHeight="1">
      <c r="A19" s="64"/>
      <c r="C19" s="103"/>
      <c r="D19" s="21" t="s">
        <v>70</v>
      </c>
      <c r="E19" s="21" t="s">
        <v>238</v>
      </c>
      <c r="F19" s="33" t="s">
        <v>239</v>
      </c>
      <c r="G19" s="57"/>
      <c r="H19" s="54"/>
      <c r="I19" s="68"/>
      <c r="J19" s="57">
        <f t="shared" si="0"/>
        <v>0</v>
      </c>
      <c r="K19" s="57"/>
      <c r="L19" s="57"/>
      <c r="M19" s="57"/>
    </row>
    <row r="20" spans="1:13" ht="15" customHeight="1">
      <c r="A20" s="64"/>
      <c r="C20" s="103"/>
      <c r="D20" s="21" t="s">
        <v>79</v>
      </c>
      <c r="E20" s="75" t="s">
        <v>80</v>
      </c>
      <c r="F20" s="75" t="s">
        <v>81</v>
      </c>
      <c r="G20" s="76"/>
      <c r="H20" s="77"/>
      <c r="I20" s="68"/>
      <c r="J20" s="57">
        <f t="shared" si="0"/>
        <v>0</v>
      </c>
      <c r="K20" s="57">
        <f>(J20)*0.025*N2</f>
        <v>0</v>
      </c>
      <c r="L20" s="57"/>
      <c r="M20" s="57"/>
    </row>
    <row r="21" spans="1:13" ht="15" customHeight="1">
      <c r="A21" s="64"/>
      <c r="C21" s="103"/>
      <c r="D21" s="21" t="s">
        <v>78</v>
      </c>
      <c r="E21" s="21" t="s">
        <v>240</v>
      </c>
      <c r="F21" s="33" t="s">
        <v>241</v>
      </c>
      <c r="G21" s="57"/>
      <c r="H21" s="54"/>
      <c r="I21" s="68"/>
      <c r="J21" s="57">
        <f t="shared" si="0"/>
        <v>0</v>
      </c>
      <c r="K21" s="57">
        <f>(J21)*0.04*N2</f>
        <v>0</v>
      </c>
      <c r="L21" s="57">
        <f>K21/0.04*0.25</f>
        <v>0</v>
      </c>
      <c r="M21" s="57">
        <f>L21-K21</f>
        <v>0</v>
      </c>
    </row>
    <row r="22" spans="1:13" ht="15" customHeight="1">
      <c r="A22" s="64"/>
      <c r="C22" s="103"/>
      <c r="D22" s="21" t="s">
        <v>72</v>
      </c>
      <c r="E22" s="21" t="s">
        <v>268</v>
      </c>
      <c r="F22" s="33" t="s">
        <v>269</v>
      </c>
      <c r="G22" s="57"/>
      <c r="H22" s="54"/>
      <c r="I22" s="68"/>
      <c r="J22" s="57">
        <f t="shared" si="0"/>
        <v>0</v>
      </c>
      <c r="K22" s="57">
        <f>(J22)*0.03*N2</f>
        <v>0</v>
      </c>
      <c r="L22" s="57">
        <f>K22/0.03*0.25</f>
        <v>0</v>
      </c>
      <c r="M22" s="57">
        <f>L22-K22</f>
        <v>0</v>
      </c>
    </row>
    <row r="23" spans="1:13" ht="15" customHeight="1">
      <c r="A23" s="64">
        <v>43556</v>
      </c>
      <c r="B23" s="21" t="s">
        <v>446</v>
      </c>
      <c r="C23" s="103"/>
      <c r="D23" s="75" t="s">
        <v>38</v>
      </c>
      <c r="E23" s="75" t="s">
        <v>310</v>
      </c>
      <c r="F23" s="75" t="s">
        <v>311</v>
      </c>
      <c r="G23" s="78"/>
      <c r="H23" s="77"/>
      <c r="I23" s="67"/>
      <c r="J23" s="57">
        <f t="shared" si="0"/>
        <v>0</v>
      </c>
      <c r="K23" s="57">
        <f>(J23+J24+J25)*0.25*N2</f>
        <v>0</v>
      </c>
      <c r="L23" s="57"/>
      <c r="M23" s="57"/>
    </row>
    <row r="24" spans="1:13" ht="15" customHeight="1">
      <c r="A24" s="64">
        <v>43556</v>
      </c>
      <c r="B24" s="21" t="s">
        <v>446</v>
      </c>
      <c r="C24" s="103"/>
      <c r="D24" s="75" t="s">
        <v>38</v>
      </c>
      <c r="E24" s="75" t="s">
        <v>310</v>
      </c>
      <c r="F24" s="75" t="s">
        <v>313</v>
      </c>
      <c r="G24" s="78"/>
      <c r="H24" s="77"/>
      <c r="I24" s="68"/>
      <c r="J24" s="57">
        <f t="shared" si="0"/>
        <v>0</v>
      </c>
      <c r="K24" s="57"/>
      <c r="L24" s="57"/>
      <c r="M24" s="57"/>
    </row>
    <row r="25" spans="1:13" ht="15" customHeight="1">
      <c r="A25" s="64"/>
      <c r="C25" s="103"/>
      <c r="D25" s="75" t="s">
        <v>32</v>
      </c>
      <c r="E25" s="75" t="s">
        <v>310</v>
      </c>
      <c r="F25" s="75" t="s">
        <v>311</v>
      </c>
      <c r="G25" s="78"/>
      <c r="H25" s="77"/>
      <c r="I25" s="67"/>
      <c r="J25" s="57">
        <f t="shared" si="0"/>
        <v>0</v>
      </c>
      <c r="K25" s="57"/>
      <c r="L25" s="57"/>
      <c r="M25" s="57"/>
    </row>
    <row r="26" spans="1:13">
      <c r="A26" s="64">
        <v>43556</v>
      </c>
      <c r="B26" s="21" t="s">
        <v>446</v>
      </c>
      <c r="C26" s="102" t="s">
        <v>83</v>
      </c>
      <c r="D26" s="21" t="s">
        <v>105</v>
      </c>
      <c r="E26" s="21" t="s">
        <v>89</v>
      </c>
      <c r="F26" s="33" t="s">
        <v>90</v>
      </c>
      <c r="G26" s="57"/>
      <c r="H26" s="54"/>
      <c r="I26" s="68"/>
      <c r="J26" s="57">
        <f t="shared" si="0"/>
        <v>0</v>
      </c>
      <c r="K26" s="57">
        <f>(J26+J27)*0.05*N2</f>
        <v>0</v>
      </c>
      <c r="L26" s="57">
        <f>K26/0.03*0.25</f>
        <v>0</v>
      </c>
      <c r="M26" s="57">
        <f>L26-K26</f>
        <v>0</v>
      </c>
    </row>
    <row r="27" spans="1:13">
      <c r="A27" s="64">
        <v>43556</v>
      </c>
      <c r="B27" s="21" t="s">
        <v>446</v>
      </c>
      <c r="C27" s="103"/>
      <c r="D27" s="21" t="s">
        <v>255</v>
      </c>
      <c r="E27" s="21" t="s">
        <v>89</v>
      </c>
      <c r="F27" s="33" t="s">
        <v>90</v>
      </c>
      <c r="G27" s="57"/>
      <c r="H27" s="54"/>
      <c r="I27" s="68"/>
      <c r="J27" s="57">
        <f t="shared" si="0"/>
        <v>0</v>
      </c>
      <c r="K27" s="57"/>
      <c r="L27" s="57"/>
      <c r="M27" s="57"/>
    </row>
    <row r="28" spans="1:13">
      <c r="A28" s="64">
        <v>43556</v>
      </c>
      <c r="B28" s="21" t="s">
        <v>446</v>
      </c>
      <c r="C28" s="104"/>
      <c r="D28" s="21" t="s">
        <v>321</v>
      </c>
      <c r="E28" s="21" t="s">
        <v>99</v>
      </c>
      <c r="F28" s="33" t="s">
        <v>100</v>
      </c>
      <c r="G28" s="57"/>
      <c r="H28" s="54"/>
      <c r="I28" s="68"/>
      <c r="J28" s="57">
        <f t="shared" si="0"/>
        <v>0</v>
      </c>
      <c r="K28" s="57">
        <f>J28*0.03*N2</f>
        <v>0</v>
      </c>
      <c r="L28" s="57">
        <f>K28/0.03*0.25</f>
        <v>0</v>
      </c>
      <c r="M28" s="57">
        <f>L28-K28</f>
        <v>0</v>
      </c>
    </row>
    <row r="29" spans="1:13">
      <c r="A29" s="64">
        <v>43556</v>
      </c>
      <c r="B29" s="21" t="s">
        <v>446</v>
      </c>
      <c r="C29" s="103" t="s">
        <v>243</v>
      </c>
      <c r="D29" s="21" t="s">
        <v>120</v>
      </c>
      <c r="E29" s="21" t="s">
        <v>121</v>
      </c>
      <c r="F29" s="33" t="s">
        <v>122</v>
      </c>
      <c r="G29" s="57"/>
      <c r="H29" s="54"/>
      <c r="I29" s="67"/>
      <c r="J29" s="57">
        <f t="shared" si="0"/>
        <v>0</v>
      </c>
      <c r="K29" s="57"/>
      <c r="L29" s="57"/>
      <c r="M29" s="57"/>
    </row>
    <row r="30" spans="1:13">
      <c r="A30" s="64"/>
      <c r="C30" s="103"/>
      <c r="D30" s="21" t="s">
        <v>120</v>
      </c>
      <c r="E30" s="21" t="s">
        <v>121</v>
      </c>
      <c r="F30" s="33" t="s">
        <v>124</v>
      </c>
      <c r="G30" s="57"/>
      <c r="H30" s="54"/>
      <c r="I30" s="67"/>
      <c r="J30" s="57">
        <f t="shared" si="0"/>
        <v>0</v>
      </c>
      <c r="K30" s="57"/>
      <c r="L30" s="57"/>
      <c r="M30" s="57"/>
    </row>
    <row r="31" spans="1:13">
      <c r="A31" s="64">
        <v>43556</v>
      </c>
      <c r="B31" s="21" t="s">
        <v>446</v>
      </c>
      <c r="C31" s="103"/>
      <c r="D31" s="21" t="s">
        <v>123</v>
      </c>
      <c r="E31" s="21" t="s">
        <v>121</v>
      </c>
      <c r="F31" s="33" t="s">
        <v>122</v>
      </c>
      <c r="G31" s="57"/>
      <c r="H31" s="54"/>
      <c r="I31" s="67"/>
      <c r="J31" s="57">
        <f t="shared" si="0"/>
        <v>0</v>
      </c>
      <c r="K31" s="57">
        <f>(J31+J33+J29+J32+J30+J34)*0.05*N2</f>
        <v>0</v>
      </c>
      <c r="L31" s="57">
        <f>K31/0.05*0.25</f>
        <v>0</v>
      </c>
      <c r="M31" s="57">
        <f>L31-K31</f>
        <v>0</v>
      </c>
    </row>
    <row r="32" spans="1:13">
      <c r="A32" s="64"/>
      <c r="C32" s="103"/>
      <c r="D32" s="21" t="s">
        <v>123</v>
      </c>
      <c r="E32" s="21" t="s">
        <v>121</v>
      </c>
      <c r="F32" s="33" t="s">
        <v>124</v>
      </c>
      <c r="G32" s="57"/>
      <c r="H32" s="54"/>
      <c r="I32" s="67"/>
      <c r="J32" s="57">
        <f t="shared" si="0"/>
        <v>0</v>
      </c>
      <c r="K32" s="57"/>
      <c r="L32" s="57"/>
      <c r="M32" s="57"/>
    </row>
    <row r="33" spans="1:13">
      <c r="A33" s="64">
        <v>43556</v>
      </c>
      <c r="B33" s="21" t="s">
        <v>446</v>
      </c>
      <c r="C33" s="103"/>
      <c r="D33" s="21" t="s">
        <v>125</v>
      </c>
      <c r="E33" s="21" t="s">
        <v>121</v>
      </c>
      <c r="F33" s="33" t="s">
        <v>122</v>
      </c>
      <c r="G33" s="57"/>
      <c r="H33" s="54"/>
      <c r="I33" s="67"/>
      <c r="J33" s="57">
        <f t="shared" si="0"/>
        <v>0</v>
      </c>
      <c r="K33" s="57"/>
      <c r="L33" s="57"/>
      <c r="M33" s="57"/>
    </row>
    <row r="34" spans="1:13">
      <c r="A34" s="64"/>
      <c r="C34" s="103"/>
      <c r="D34" s="21" t="s">
        <v>125</v>
      </c>
      <c r="E34" s="21" t="s">
        <v>121</v>
      </c>
      <c r="F34" s="33" t="s">
        <v>124</v>
      </c>
      <c r="G34" s="57"/>
      <c r="H34" s="54"/>
      <c r="I34" s="68"/>
      <c r="J34" s="57">
        <f t="shared" si="0"/>
        <v>0</v>
      </c>
      <c r="K34" s="57"/>
      <c r="L34" s="57"/>
      <c r="M34" s="57"/>
    </row>
    <row r="35" spans="1:13">
      <c r="A35" s="64">
        <v>43556</v>
      </c>
      <c r="B35" s="21" t="s">
        <v>446</v>
      </c>
      <c r="C35" s="103"/>
      <c r="D35" s="21" t="s">
        <v>127</v>
      </c>
      <c r="E35" s="21" t="s">
        <v>117</v>
      </c>
      <c r="F35" s="33" t="s">
        <v>118</v>
      </c>
      <c r="G35" s="57"/>
      <c r="H35" s="54"/>
      <c r="I35" s="67"/>
      <c r="J35" s="57">
        <f t="shared" si="0"/>
        <v>0</v>
      </c>
      <c r="K35" s="57">
        <f>(J35+J36)*0.15*N2</f>
        <v>0</v>
      </c>
      <c r="L35" s="57"/>
      <c r="M35" s="57"/>
    </row>
    <row r="36" spans="1:13">
      <c r="A36" s="64"/>
      <c r="C36" s="103"/>
      <c r="D36" s="21" t="s">
        <v>116</v>
      </c>
      <c r="E36" s="21" t="s">
        <v>117</v>
      </c>
      <c r="F36" s="33" t="s">
        <v>118</v>
      </c>
      <c r="G36" s="57"/>
      <c r="H36" s="54"/>
      <c r="I36" s="67"/>
      <c r="J36" s="57">
        <f t="shared" si="0"/>
        <v>0</v>
      </c>
      <c r="K36" s="57"/>
      <c r="L36" s="57"/>
      <c r="M36" s="57"/>
    </row>
    <row r="37" spans="1:13">
      <c r="A37" s="64">
        <v>43556</v>
      </c>
      <c r="B37" s="21" t="s">
        <v>446</v>
      </c>
      <c r="C37" s="103"/>
      <c r="D37" s="21" t="s">
        <v>112</v>
      </c>
      <c r="E37" s="21" t="s">
        <v>113</v>
      </c>
      <c r="F37" s="33" t="s">
        <v>114</v>
      </c>
      <c r="G37" s="57"/>
      <c r="H37" s="54"/>
      <c r="I37" s="67"/>
      <c r="J37" s="57">
        <f t="shared" si="0"/>
        <v>0</v>
      </c>
      <c r="K37" s="57"/>
      <c r="L37" s="57">
        <f>K37/0.03*0.25</f>
        <v>0</v>
      </c>
      <c r="M37" s="57">
        <f t="shared" ref="M37:M41" si="4">L37-K37</f>
        <v>0</v>
      </c>
    </row>
    <row r="38" spans="1:13">
      <c r="A38" s="64">
        <v>43556</v>
      </c>
      <c r="B38" s="21" t="s">
        <v>446</v>
      </c>
      <c r="C38" s="103"/>
      <c r="D38" s="21" t="s">
        <v>137</v>
      </c>
      <c r="E38" s="21" t="s">
        <v>113</v>
      </c>
      <c r="F38" s="33" t="s">
        <v>114</v>
      </c>
      <c r="G38" s="57"/>
      <c r="H38" s="54"/>
      <c r="I38" s="67"/>
      <c r="J38" s="57">
        <f t="shared" si="0"/>
        <v>0</v>
      </c>
      <c r="K38" s="57"/>
      <c r="L38" s="57"/>
      <c r="M38" s="57"/>
    </row>
    <row r="39" spans="1:13">
      <c r="A39" s="64">
        <v>43556</v>
      </c>
      <c r="B39" s="21" t="s">
        <v>446</v>
      </c>
      <c r="C39" s="103"/>
      <c r="D39" s="21" t="s">
        <v>107</v>
      </c>
      <c r="E39" s="21" t="s">
        <v>108</v>
      </c>
      <c r="F39" s="33" t="s">
        <v>109</v>
      </c>
      <c r="G39" s="57"/>
      <c r="H39" s="54"/>
      <c r="I39" s="67"/>
      <c r="J39" s="57">
        <f t="shared" si="0"/>
        <v>0</v>
      </c>
      <c r="K39" s="57">
        <f>(J39+J40+J48+J49)*0.03*N2</f>
        <v>0</v>
      </c>
      <c r="L39" s="57">
        <f>K39/0.03*0.25</f>
        <v>0</v>
      </c>
      <c r="M39" s="57">
        <f t="shared" si="4"/>
        <v>0</v>
      </c>
    </row>
    <row r="40" spans="1:13">
      <c r="A40" s="64">
        <v>43556</v>
      </c>
      <c r="B40" s="21" t="s">
        <v>446</v>
      </c>
      <c r="C40" s="103"/>
      <c r="D40" s="21" t="s">
        <v>111</v>
      </c>
      <c r="E40" s="21" t="s">
        <v>108</v>
      </c>
      <c r="F40" s="33" t="s">
        <v>109</v>
      </c>
      <c r="G40" s="57"/>
      <c r="H40" s="54"/>
      <c r="I40" s="67"/>
      <c r="J40" s="57">
        <f t="shared" si="0"/>
        <v>0</v>
      </c>
      <c r="K40" s="57"/>
      <c r="L40" s="57"/>
      <c r="M40" s="57"/>
    </row>
    <row r="41" spans="1:13">
      <c r="A41" s="64">
        <v>43556</v>
      </c>
      <c r="B41" s="21" t="s">
        <v>446</v>
      </c>
      <c r="C41" s="103"/>
      <c r="D41" s="21" t="s">
        <v>128</v>
      </c>
      <c r="E41" s="21" t="s">
        <v>129</v>
      </c>
      <c r="F41" s="33" t="s">
        <v>130</v>
      </c>
      <c r="G41" s="57"/>
      <c r="H41" s="54"/>
      <c r="I41" s="67"/>
      <c r="J41" s="57">
        <f t="shared" si="0"/>
        <v>0</v>
      </c>
      <c r="K41" s="57"/>
      <c r="L41" s="57">
        <f>K41/0.05*0.25</f>
        <v>0</v>
      </c>
      <c r="M41" s="57">
        <f t="shared" si="4"/>
        <v>0</v>
      </c>
    </row>
    <row r="42" spans="1:13">
      <c r="A42" s="64"/>
      <c r="C42" s="103"/>
      <c r="D42" s="21" t="s">
        <v>128</v>
      </c>
      <c r="E42" s="21" t="s">
        <v>129</v>
      </c>
      <c r="F42" s="33" t="s">
        <v>131</v>
      </c>
      <c r="G42" s="57"/>
      <c r="H42" s="54"/>
      <c r="I42" s="67"/>
      <c r="J42" s="57">
        <f t="shared" si="0"/>
        <v>0</v>
      </c>
      <c r="K42" s="57"/>
      <c r="L42" s="57"/>
      <c r="M42" s="57"/>
    </row>
    <row r="43" spans="1:13">
      <c r="A43" s="64"/>
      <c r="C43" s="103"/>
      <c r="D43" s="21" t="s">
        <v>280</v>
      </c>
      <c r="E43" s="21" t="s">
        <v>113</v>
      </c>
      <c r="F43" s="33" t="s">
        <v>135</v>
      </c>
      <c r="G43" s="57"/>
      <c r="H43" s="54"/>
      <c r="I43" s="67"/>
      <c r="J43" s="57">
        <f t="shared" si="0"/>
        <v>0</v>
      </c>
      <c r="K43" s="57"/>
      <c r="L43" s="57"/>
      <c r="M43" s="57"/>
    </row>
    <row r="44" spans="1:13">
      <c r="A44" s="64">
        <v>43556</v>
      </c>
      <c r="B44" s="21" t="s">
        <v>446</v>
      </c>
      <c r="C44" s="103"/>
      <c r="D44" s="21" t="s">
        <v>134</v>
      </c>
      <c r="E44" s="21" t="s">
        <v>113</v>
      </c>
      <c r="F44" s="33" t="s">
        <v>135</v>
      </c>
      <c r="G44" s="57"/>
      <c r="H44" s="54"/>
      <c r="I44" s="67"/>
      <c r="J44" s="57">
        <f t="shared" si="0"/>
        <v>0</v>
      </c>
      <c r="K44" s="57"/>
      <c r="L44" s="57"/>
      <c r="M44" s="57"/>
    </row>
    <row r="45" spans="1:13">
      <c r="A45" s="64"/>
      <c r="C45" s="103"/>
      <c r="D45" s="21" t="s">
        <v>126</v>
      </c>
      <c r="E45" s="21" t="s">
        <v>113</v>
      </c>
      <c r="F45" s="33" t="s">
        <v>114</v>
      </c>
      <c r="G45" s="57"/>
      <c r="H45" s="54"/>
      <c r="I45" s="67"/>
      <c r="J45" s="57">
        <f t="shared" si="0"/>
        <v>0</v>
      </c>
      <c r="K45" s="57"/>
      <c r="L45" s="57"/>
      <c r="M45" s="57"/>
    </row>
    <row r="46" spans="1:13">
      <c r="A46" s="64">
        <v>43556</v>
      </c>
      <c r="B46" s="21" t="s">
        <v>446</v>
      </c>
      <c r="C46" s="103"/>
      <c r="D46" s="21" t="s">
        <v>133</v>
      </c>
      <c r="E46" s="21" t="s">
        <v>129</v>
      </c>
      <c r="F46" s="33" t="s">
        <v>130</v>
      </c>
      <c r="G46" s="57"/>
      <c r="H46" s="54"/>
      <c r="I46" s="68"/>
      <c r="J46" s="57">
        <f t="shared" si="0"/>
        <v>0</v>
      </c>
      <c r="K46" s="57">
        <f>(J46+J47+J41+J42)*0.05*N2</f>
        <v>0</v>
      </c>
      <c r="L46" s="57">
        <f>K46/0.03*0.25</f>
        <v>0</v>
      </c>
      <c r="M46" s="57">
        <f t="shared" ref="M46:M50" si="5">L46-K46</f>
        <v>0</v>
      </c>
    </row>
    <row r="47" spans="1:13">
      <c r="A47" s="64">
        <v>43556</v>
      </c>
      <c r="B47" s="21" t="s">
        <v>446</v>
      </c>
      <c r="C47" s="103"/>
      <c r="D47" s="21" t="s">
        <v>133</v>
      </c>
      <c r="E47" s="21" t="s">
        <v>129</v>
      </c>
      <c r="F47" s="33" t="s">
        <v>131</v>
      </c>
      <c r="G47" s="57"/>
      <c r="H47" s="54"/>
      <c r="I47" s="67"/>
      <c r="J47" s="57">
        <f t="shared" si="0"/>
        <v>0</v>
      </c>
      <c r="K47" s="57"/>
      <c r="L47" s="57"/>
      <c r="M47" s="57"/>
    </row>
    <row r="48" spans="1:13">
      <c r="A48" s="64">
        <v>43556</v>
      </c>
      <c r="B48" s="21" t="s">
        <v>446</v>
      </c>
      <c r="C48" s="103"/>
      <c r="D48" s="21" t="s">
        <v>138</v>
      </c>
      <c r="E48" s="21" t="s">
        <v>108</v>
      </c>
      <c r="F48" s="33" t="s">
        <v>109</v>
      </c>
      <c r="G48" s="57"/>
      <c r="H48" s="54"/>
      <c r="I48" s="68"/>
      <c r="J48" s="57">
        <f t="shared" si="0"/>
        <v>0</v>
      </c>
      <c r="K48" s="57"/>
      <c r="L48" s="57">
        <f>K48/0.03*0.25</f>
        <v>0</v>
      </c>
      <c r="M48" s="57">
        <f t="shared" si="5"/>
        <v>0</v>
      </c>
    </row>
    <row r="49" spans="1:13">
      <c r="A49" s="64"/>
      <c r="C49" s="103"/>
      <c r="D49" s="21" t="s">
        <v>285</v>
      </c>
      <c r="E49" s="21" t="s">
        <v>108</v>
      </c>
      <c r="F49" s="33" t="s">
        <v>109</v>
      </c>
      <c r="G49" s="57"/>
      <c r="H49" s="54"/>
      <c r="I49" s="67"/>
      <c r="J49" s="57">
        <f t="shared" si="0"/>
        <v>0</v>
      </c>
      <c r="K49" s="57"/>
      <c r="L49" s="57"/>
      <c r="M49" s="57"/>
    </row>
    <row r="50" spans="1:13">
      <c r="A50" s="64">
        <v>43556</v>
      </c>
      <c r="B50" s="21" t="s">
        <v>446</v>
      </c>
      <c r="C50" s="102" t="s">
        <v>397</v>
      </c>
      <c r="D50" s="21" t="s">
        <v>174</v>
      </c>
      <c r="E50" s="21" t="s">
        <v>170</v>
      </c>
      <c r="F50" s="33" t="s">
        <v>171</v>
      </c>
      <c r="G50" s="74"/>
      <c r="H50" s="54"/>
      <c r="I50" s="79"/>
      <c r="J50" s="57">
        <f t="shared" si="0"/>
        <v>0</v>
      </c>
      <c r="K50" s="57">
        <f>(J50+J52+J51+J58+J59+J60)*0.04*N2</f>
        <v>0</v>
      </c>
      <c r="L50" s="57">
        <f>K50/0.04*0.25</f>
        <v>0</v>
      </c>
      <c r="M50" s="57">
        <f t="shared" si="5"/>
        <v>0</v>
      </c>
    </row>
    <row r="51" spans="1:13">
      <c r="A51" s="64"/>
      <c r="C51" s="103"/>
      <c r="D51" s="21" t="s">
        <v>174</v>
      </c>
      <c r="E51" s="21" t="s">
        <v>170</v>
      </c>
      <c r="F51" s="33" t="s">
        <v>172</v>
      </c>
      <c r="G51" s="74"/>
      <c r="H51" s="54"/>
      <c r="I51" s="67"/>
      <c r="J51" s="57">
        <f t="shared" si="0"/>
        <v>0</v>
      </c>
      <c r="K51" s="57"/>
      <c r="L51" s="57"/>
      <c r="M51" s="57"/>
    </row>
    <row r="52" spans="1:13">
      <c r="A52" s="64">
        <v>43556</v>
      </c>
      <c r="B52" s="21" t="s">
        <v>446</v>
      </c>
      <c r="C52" s="103"/>
      <c r="D52" s="21" t="s">
        <v>174</v>
      </c>
      <c r="E52" s="21" t="s">
        <v>170</v>
      </c>
      <c r="F52" s="33" t="s">
        <v>173</v>
      </c>
      <c r="G52" s="74"/>
      <c r="H52" s="54"/>
      <c r="I52" s="67"/>
      <c r="J52" s="57">
        <f t="shared" si="0"/>
        <v>0</v>
      </c>
      <c r="K52" s="57"/>
      <c r="L52" s="57"/>
      <c r="M52" s="57"/>
    </row>
    <row r="53" spans="1:13">
      <c r="A53" s="64">
        <v>43556</v>
      </c>
      <c r="B53" s="21" t="s">
        <v>446</v>
      </c>
      <c r="C53" s="103"/>
      <c r="D53" s="21" t="s">
        <v>88</v>
      </c>
      <c r="E53" s="21" t="s">
        <v>181</v>
      </c>
      <c r="F53" s="33" t="s">
        <v>182</v>
      </c>
      <c r="G53" s="74"/>
      <c r="H53" s="54"/>
      <c r="I53" s="68"/>
      <c r="J53" s="57">
        <f t="shared" si="0"/>
        <v>0</v>
      </c>
      <c r="K53" s="57"/>
      <c r="L53" s="57"/>
      <c r="M53" s="57"/>
    </row>
    <row r="54" spans="1:13">
      <c r="A54" s="64">
        <v>43556</v>
      </c>
      <c r="B54" s="21" t="s">
        <v>446</v>
      </c>
      <c r="C54" s="103"/>
      <c r="D54" s="21" t="s">
        <v>88</v>
      </c>
      <c r="E54" s="21" t="s">
        <v>181</v>
      </c>
      <c r="F54" s="33" t="s">
        <v>183</v>
      </c>
      <c r="G54" s="74"/>
      <c r="H54" s="54"/>
      <c r="I54" s="67"/>
      <c r="J54" s="57">
        <f t="shared" si="0"/>
        <v>0</v>
      </c>
      <c r="K54" s="57"/>
      <c r="L54" s="57"/>
      <c r="M54" s="57"/>
    </row>
    <row r="55" spans="1:13">
      <c r="A55" s="64">
        <v>43556</v>
      </c>
      <c r="B55" s="21" t="s">
        <v>446</v>
      </c>
      <c r="C55" s="103"/>
      <c r="D55" s="21" t="s">
        <v>154</v>
      </c>
      <c r="E55" s="21" t="s">
        <v>181</v>
      </c>
      <c r="F55" s="33" t="s">
        <v>182</v>
      </c>
      <c r="G55" s="57"/>
      <c r="H55" s="54"/>
      <c r="I55" s="68"/>
      <c r="J55" s="57">
        <f t="shared" si="0"/>
        <v>0</v>
      </c>
      <c r="K55" s="57">
        <f>(J55+J56+J57+J53+J54)*0.05*N2</f>
        <v>0</v>
      </c>
      <c r="L55" s="57">
        <f>K55/0.05*0.25</f>
        <v>0</v>
      </c>
      <c r="M55" s="57">
        <f>L55-K55</f>
        <v>0</v>
      </c>
    </row>
    <row r="56" spans="1:13">
      <c r="A56" s="64">
        <v>43556</v>
      </c>
      <c r="B56" s="21" t="s">
        <v>446</v>
      </c>
      <c r="C56" s="103"/>
      <c r="D56" s="21" t="s">
        <v>154</v>
      </c>
      <c r="E56" s="21" t="s">
        <v>181</v>
      </c>
      <c r="F56" s="33" t="s">
        <v>183</v>
      </c>
      <c r="G56" s="57"/>
      <c r="H56" s="54"/>
      <c r="I56" s="67"/>
      <c r="J56" s="57">
        <f t="shared" si="0"/>
        <v>0</v>
      </c>
      <c r="K56" s="57"/>
      <c r="L56" s="57"/>
      <c r="M56" s="57"/>
    </row>
    <row r="57" spans="1:13">
      <c r="A57" s="64">
        <v>43556</v>
      </c>
      <c r="B57" s="21" t="s">
        <v>446</v>
      </c>
      <c r="C57" s="103"/>
      <c r="D57" s="21" t="s">
        <v>154</v>
      </c>
      <c r="E57" s="21" t="s">
        <v>181</v>
      </c>
      <c r="F57" s="33" t="s">
        <v>184</v>
      </c>
      <c r="G57" s="57"/>
      <c r="H57" s="54"/>
      <c r="I57" s="68"/>
      <c r="J57" s="57">
        <f t="shared" si="0"/>
        <v>0</v>
      </c>
      <c r="K57" s="57"/>
      <c r="L57" s="57"/>
      <c r="M57" s="57"/>
    </row>
    <row r="58" spans="1:13">
      <c r="A58" s="64">
        <v>43556</v>
      </c>
      <c r="B58" s="21" t="s">
        <v>446</v>
      </c>
      <c r="C58" s="103"/>
      <c r="D58" s="21" t="s">
        <v>169</v>
      </c>
      <c r="E58" s="21" t="s">
        <v>170</v>
      </c>
      <c r="F58" s="33" t="s">
        <v>171</v>
      </c>
      <c r="G58" s="57"/>
      <c r="H58" s="54"/>
      <c r="I58" s="68"/>
      <c r="J58" s="57">
        <f t="shared" si="0"/>
        <v>0</v>
      </c>
      <c r="K58" s="57"/>
      <c r="L58" s="57">
        <f>K58/0.03*0.25</f>
        <v>0</v>
      </c>
      <c r="M58" s="57">
        <f>L58-K58</f>
        <v>0</v>
      </c>
    </row>
    <row r="59" spans="1:13">
      <c r="A59" s="64"/>
      <c r="C59" s="103"/>
      <c r="D59" s="21" t="s">
        <v>169</v>
      </c>
      <c r="E59" s="21" t="s">
        <v>170</v>
      </c>
      <c r="F59" s="33" t="s">
        <v>172</v>
      </c>
      <c r="G59" s="57"/>
      <c r="H59" s="54"/>
      <c r="I59" s="67"/>
      <c r="J59" s="57">
        <f t="shared" si="0"/>
        <v>0</v>
      </c>
      <c r="K59" s="57"/>
      <c r="L59" s="57"/>
      <c r="M59" s="57"/>
    </row>
    <row r="60" spans="1:13">
      <c r="A60" s="64"/>
      <c r="C60" s="103"/>
      <c r="D60" s="21" t="s">
        <v>169</v>
      </c>
      <c r="E60" s="21" t="s">
        <v>170</v>
      </c>
      <c r="F60" s="33" t="s">
        <v>173</v>
      </c>
      <c r="G60" s="57"/>
      <c r="H60" s="54"/>
      <c r="I60" s="67"/>
      <c r="J60" s="57">
        <f t="shared" si="0"/>
        <v>0</v>
      </c>
      <c r="K60" s="57"/>
      <c r="L60" s="57"/>
      <c r="M60" s="57"/>
    </row>
    <row r="61" spans="1:13">
      <c r="A61" s="64">
        <v>43556</v>
      </c>
      <c r="B61" s="21" t="s">
        <v>446</v>
      </c>
      <c r="C61" s="103"/>
      <c r="D61" s="21" t="s">
        <v>175</v>
      </c>
      <c r="E61" s="21" t="s">
        <v>176</v>
      </c>
      <c r="F61" s="33" t="s">
        <v>177</v>
      </c>
      <c r="G61" s="57"/>
      <c r="H61" s="54"/>
      <c r="I61" s="67"/>
      <c r="J61" s="57">
        <f t="shared" si="0"/>
        <v>0</v>
      </c>
      <c r="K61" s="57">
        <f>(J61+J62+J63+J64)*0.03*N2</f>
        <v>0</v>
      </c>
      <c r="L61" s="57">
        <f>K61/0.03*0.25</f>
        <v>0</v>
      </c>
      <c r="M61" s="57">
        <f>L61-K61</f>
        <v>0</v>
      </c>
    </row>
    <row r="62" spans="1:13">
      <c r="A62" s="64">
        <v>43556</v>
      </c>
      <c r="B62" s="21" t="s">
        <v>446</v>
      </c>
      <c r="C62" s="103"/>
      <c r="D62" s="21" t="s">
        <v>175</v>
      </c>
      <c r="E62" s="21" t="s">
        <v>176</v>
      </c>
      <c r="F62" s="33" t="s">
        <v>179</v>
      </c>
      <c r="G62" s="57"/>
      <c r="H62" s="54"/>
      <c r="I62" s="68"/>
      <c r="J62" s="57">
        <f t="shared" si="0"/>
        <v>0</v>
      </c>
      <c r="K62" s="57"/>
      <c r="L62" s="57"/>
      <c r="M62" s="57"/>
    </row>
    <row r="63" spans="1:13">
      <c r="A63" s="64"/>
      <c r="C63" s="103"/>
      <c r="D63" s="21" t="s">
        <v>180</v>
      </c>
      <c r="E63" s="21" t="s">
        <v>176</v>
      </c>
      <c r="F63" s="33" t="s">
        <v>177</v>
      </c>
      <c r="G63" s="57"/>
      <c r="H63" s="54"/>
      <c r="I63" s="68"/>
      <c r="J63" s="57">
        <f t="shared" si="0"/>
        <v>0</v>
      </c>
      <c r="K63" s="57"/>
      <c r="L63" s="57"/>
      <c r="M63" s="57"/>
    </row>
    <row r="64" spans="1:13">
      <c r="A64" s="64"/>
      <c r="C64" s="103"/>
      <c r="D64" s="21" t="s">
        <v>180</v>
      </c>
      <c r="E64" s="21" t="s">
        <v>176</v>
      </c>
      <c r="F64" s="33" t="s">
        <v>178</v>
      </c>
      <c r="G64" s="57"/>
      <c r="H64" s="54"/>
      <c r="I64" s="68"/>
      <c r="J64" s="57">
        <f t="shared" si="0"/>
        <v>0</v>
      </c>
      <c r="K64" s="57"/>
      <c r="L64" s="57"/>
      <c r="M64" s="57"/>
    </row>
    <row r="65" spans="1:13">
      <c r="A65" s="64">
        <v>43556</v>
      </c>
      <c r="B65" s="21" t="s">
        <v>446</v>
      </c>
      <c r="C65" s="103"/>
      <c r="D65" s="21" t="s">
        <v>342</v>
      </c>
      <c r="E65" s="21" t="s">
        <v>161</v>
      </c>
      <c r="F65" s="33" t="s">
        <v>162</v>
      </c>
      <c r="G65" s="57"/>
      <c r="H65" s="54"/>
      <c r="I65" s="68"/>
      <c r="J65" s="57">
        <f t="shared" si="0"/>
        <v>0</v>
      </c>
      <c r="K65" s="57"/>
      <c r="L65" s="57"/>
      <c r="M65" s="57"/>
    </row>
    <row r="66" spans="1:13">
      <c r="A66" s="64">
        <v>43556</v>
      </c>
      <c r="B66" s="21" t="s">
        <v>446</v>
      </c>
      <c r="C66" s="103"/>
      <c r="D66" s="21" t="s">
        <v>342</v>
      </c>
      <c r="E66" s="21" t="s">
        <v>161</v>
      </c>
      <c r="F66" s="33" t="s">
        <v>162</v>
      </c>
      <c r="G66" s="57"/>
      <c r="H66" s="54"/>
      <c r="I66" s="68"/>
      <c r="J66" s="57">
        <f t="shared" si="0"/>
        <v>0</v>
      </c>
      <c r="K66" s="57"/>
      <c r="L66" s="57"/>
      <c r="M66" s="57"/>
    </row>
    <row r="67" spans="1:13" ht="14.25">
      <c r="A67" s="64">
        <v>43556</v>
      </c>
      <c r="B67" s="21" t="s">
        <v>446</v>
      </c>
      <c r="C67" s="103"/>
      <c r="D67" s="21" t="s">
        <v>160</v>
      </c>
      <c r="E67" s="21" t="s">
        <v>161</v>
      </c>
      <c r="F67" s="33" t="s">
        <v>290</v>
      </c>
      <c r="G67" s="57"/>
      <c r="H67" s="54"/>
      <c r="I67" s="82"/>
      <c r="J67" s="57">
        <f t="shared" ref="J67:J90" si="6">G67*H67*1-I67</f>
        <v>0</v>
      </c>
      <c r="K67" s="57">
        <f>(J67+J69+J66+J65+J68)*0.04*N2</f>
        <v>0</v>
      </c>
      <c r="L67" s="57">
        <f>K67/0.04*0.25</f>
        <v>0</v>
      </c>
      <c r="M67" s="57">
        <f>L67-K67</f>
        <v>0</v>
      </c>
    </row>
    <row r="68" spans="1:13">
      <c r="A68" s="64"/>
      <c r="C68" s="103"/>
      <c r="D68" s="21" t="s">
        <v>160</v>
      </c>
      <c r="E68" s="21" t="s">
        <v>161</v>
      </c>
      <c r="F68" s="33" t="s">
        <v>162</v>
      </c>
      <c r="G68" s="57"/>
      <c r="H68" s="54"/>
      <c r="I68" s="68"/>
      <c r="J68" s="57">
        <f t="shared" si="6"/>
        <v>0</v>
      </c>
      <c r="K68" s="57"/>
      <c r="L68" s="57"/>
      <c r="M68" s="57"/>
    </row>
    <row r="69" spans="1:13">
      <c r="A69" s="64">
        <v>43556</v>
      </c>
      <c r="B69" s="21" t="s">
        <v>446</v>
      </c>
      <c r="C69" s="103"/>
      <c r="D69" s="21" t="s">
        <v>160</v>
      </c>
      <c r="E69" s="21" t="s">
        <v>161</v>
      </c>
      <c r="F69" s="33" t="s">
        <v>163</v>
      </c>
      <c r="G69" s="57"/>
      <c r="H69" s="54"/>
      <c r="I69" s="68"/>
      <c r="J69" s="57">
        <f t="shared" si="6"/>
        <v>0</v>
      </c>
      <c r="K69" s="57"/>
      <c r="L69" s="57"/>
      <c r="M69" s="57"/>
    </row>
    <row r="70" spans="1:13">
      <c r="A70" s="64">
        <v>43556</v>
      </c>
      <c r="B70" s="21" t="s">
        <v>446</v>
      </c>
      <c r="C70" s="103"/>
      <c r="D70" s="21" t="s">
        <v>166</v>
      </c>
      <c r="E70" s="21" t="s">
        <v>144</v>
      </c>
      <c r="F70" s="33" t="s">
        <v>167</v>
      </c>
      <c r="G70" s="57"/>
      <c r="H70" s="54"/>
      <c r="I70" s="68"/>
      <c r="J70" s="57">
        <f t="shared" si="6"/>
        <v>0</v>
      </c>
      <c r="K70" s="57">
        <f>(J70+J71+J79)*0.05*N2</f>
        <v>0</v>
      </c>
      <c r="L70" s="57">
        <f>K70/0.05*0.25</f>
        <v>0</v>
      </c>
      <c r="M70" s="57">
        <f>L70-K70</f>
        <v>0</v>
      </c>
    </row>
    <row r="71" spans="1:13">
      <c r="A71" s="64"/>
      <c r="C71" s="103"/>
      <c r="D71" s="21" t="s">
        <v>166</v>
      </c>
      <c r="E71" s="21" t="s">
        <v>144</v>
      </c>
      <c r="F71" s="33" t="s">
        <v>145</v>
      </c>
      <c r="G71" s="57"/>
      <c r="H71" s="54"/>
      <c r="I71" s="68"/>
      <c r="J71" s="57">
        <f t="shared" si="6"/>
        <v>0</v>
      </c>
      <c r="K71" s="57"/>
      <c r="L71" s="57"/>
      <c r="M71" s="57"/>
    </row>
    <row r="72" spans="1:13">
      <c r="A72" s="64">
        <v>43556</v>
      </c>
      <c r="B72" s="21" t="s">
        <v>446</v>
      </c>
      <c r="C72" s="103"/>
      <c r="D72" s="75" t="s">
        <v>148</v>
      </c>
      <c r="E72" s="75" t="s">
        <v>149</v>
      </c>
      <c r="F72" s="75" t="s">
        <v>159</v>
      </c>
      <c r="G72" s="76"/>
      <c r="H72" s="77"/>
      <c r="I72" s="67"/>
      <c r="J72" s="57">
        <f t="shared" si="6"/>
        <v>0</v>
      </c>
      <c r="K72" s="57">
        <f>(J72+J73+J77+J78+J80+J81)*0.25*N2</f>
        <v>0</v>
      </c>
      <c r="L72" s="57"/>
      <c r="M72" s="57"/>
    </row>
    <row r="73" spans="1:13">
      <c r="A73" s="64"/>
      <c r="C73" s="103"/>
      <c r="D73" s="75" t="s">
        <v>148</v>
      </c>
      <c r="E73" s="75" t="s">
        <v>149</v>
      </c>
      <c r="F73" s="75" t="s">
        <v>150</v>
      </c>
      <c r="G73" s="76"/>
      <c r="H73" s="77"/>
      <c r="I73" s="68"/>
      <c r="J73" s="57">
        <f t="shared" si="6"/>
        <v>0</v>
      </c>
      <c r="K73" s="57"/>
      <c r="L73" s="57"/>
      <c r="M73" s="57"/>
    </row>
    <row r="74" spans="1:13">
      <c r="A74" s="64">
        <v>43556</v>
      </c>
      <c r="B74" s="21" t="s">
        <v>446</v>
      </c>
      <c r="C74" s="103"/>
      <c r="D74" s="21" t="s">
        <v>152</v>
      </c>
      <c r="E74" s="21" t="s">
        <v>141</v>
      </c>
      <c r="F74" s="33" t="s">
        <v>153</v>
      </c>
      <c r="G74" s="57"/>
      <c r="H74" s="54"/>
      <c r="I74" s="68"/>
      <c r="J74" s="57">
        <f t="shared" si="6"/>
        <v>0</v>
      </c>
      <c r="K74" s="57">
        <f>(J74+J75+J76)*0.03*N2</f>
        <v>0</v>
      </c>
      <c r="L74" s="57">
        <f>K74/0.03*0.25</f>
        <v>0</v>
      </c>
      <c r="M74" s="57">
        <f>L74-K74</f>
        <v>0</v>
      </c>
    </row>
    <row r="75" spans="1:13">
      <c r="A75" s="64">
        <v>43556</v>
      </c>
      <c r="B75" s="21" t="s">
        <v>446</v>
      </c>
      <c r="C75" s="103"/>
      <c r="D75" s="21" t="s">
        <v>140</v>
      </c>
      <c r="E75" s="21" t="s">
        <v>141</v>
      </c>
      <c r="F75" s="33" t="s">
        <v>153</v>
      </c>
      <c r="G75" s="57"/>
      <c r="H75" s="54"/>
      <c r="I75" s="68"/>
      <c r="J75" s="57">
        <f t="shared" si="6"/>
        <v>0</v>
      </c>
      <c r="K75" s="57"/>
      <c r="L75" s="57">
        <f>K75/0.04*0.25</f>
        <v>0</v>
      </c>
      <c r="M75" s="57">
        <f>L75-K75</f>
        <v>0</v>
      </c>
    </row>
    <row r="76" spans="1:13">
      <c r="A76" s="64">
        <v>43556</v>
      </c>
      <c r="B76" s="21" t="s">
        <v>446</v>
      </c>
      <c r="C76" s="103"/>
      <c r="D76" s="21" t="s">
        <v>140</v>
      </c>
      <c r="E76" s="21" t="s">
        <v>141</v>
      </c>
      <c r="F76" s="33" t="s">
        <v>142</v>
      </c>
      <c r="G76" s="57"/>
      <c r="H76" s="54"/>
      <c r="I76" s="68"/>
      <c r="J76" s="57">
        <f t="shared" si="6"/>
        <v>0</v>
      </c>
      <c r="K76" s="57"/>
      <c r="L76" s="57"/>
      <c r="M76" s="57"/>
    </row>
    <row r="77" spans="1:13">
      <c r="A77" s="64"/>
      <c r="C77" s="103"/>
      <c r="D77" s="75" t="s">
        <v>158</v>
      </c>
      <c r="E77" s="75" t="s">
        <v>149</v>
      </c>
      <c r="F77" s="75" t="s">
        <v>159</v>
      </c>
      <c r="G77" s="76"/>
      <c r="H77" s="77"/>
      <c r="I77" s="68"/>
      <c r="J77" s="57">
        <f t="shared" si="6"/>
        <v>0</v>
      </c>
      <c r="K77" s="57"/>
      <c r="L77" s="57"/>
      <c r="M77" s="57"/>
    </row>
    <row r="78" spans="1:13">
      <c r="A78" s="64"/>
      <c r="C78" s="103"/>
      <c r="D78" s="75" t="s">
        <v>158</v>
      </c>
      <c r="E78" s="75" t="s">
        <v>149</v>
      </c>
      <c r="F78" s="75" t="s">
        <v>150</v>
      </c>
      <c r="G78" s="76"/>
      <c r="H78" s="77"/>
      <c r="I78" s="68"/>
      <c r="J78" s="57">
        <f t="shared" si="6"/>
        <v>0</v>
      </c>
      <c r="K78" s="57"/>
      <c r="L78" s="57"/>
      <c r="M78" s="57"/>
    </row>
    <row r="79" spans="1:13">
      <c r="A79" s="64"/>
      <c r="C79" s="103"/>
      <c r="D79" s="21" t="s">
        <v>146</v>
      </c>
      <c r="E79" s="21" t="s">
        <v>144</v>
      </c>
      <c r="F79" s="33" t="s">
        <v>167</v>
      </c>
      <c r="G79" s="57"/>
      <c r="H79" s="54"/>
      <c r="I79" s="68"/>
      <c r="J79" s="57">
        <f t="shared" si="6"/>
        <v>0</v>
      </c>
      <c r="K79" s="57"/>
      <c r="L79" s="57"/>
      <c r="M79" s="57"/>
    </row>
    <row r="80" spans="1:13">
      <c r="A80" s="64">
        <v>43556</v>
      </c>
      <c r="B80" s="21" t="s">
        <v>446</v>
      </c>
      <c r="C80" s="103"/>
      <c r="D80" s="75" t="s">
        <v>164</v>
      </c>
      <c r="E80" s="75" t="s">
        <v>149</v>
      </c>
      <c r="F80" s="75" t="s">
        <v>159</v>
      </c>
      <c r="G80" s="76"/>
      <c r="H80" s="77"/>
      <c r="I80" s="67"/>
      <c r="J80" s="57">
        <f t="shared" si="6"/>
        <v>0</v>
      </c>
      <c r="K80" s="57"/>
      <c r="L80" s="57"/>
      <c r="M80" s="57"/>
    </row>
    <row r="81" spans="1:13">
      <c r="A81" s="64"/>
      <c r="C81" s="104"/>
      <c r="D81" s="75" t="s">
        <v>164</v>
      </c>
      <c r="E81" s="75" t="s">
        <v>149</v>
      </c>
      <c r="F81" s="75" t="s">
        <v>150</v>
      </c>
      <c r="G81" s="76"/>
      <c r="H81" s="77"/>
      <c r="I81" s="68"/>
      <c r="J81" s="57">
        <f t="shared" si="6"/>
        <v>0</v>
      </c>
      <c r="K81" s="57"/>
      <c r="L81" s="57"/>
      <c r="M81" s="57"/>
    </row>
    <row r="82" spans="1:13">
      <c r="A82" s="64">
        <v>43556</v>
      </c>
      <c r="B82" s="21" t="s">
        <v>446</v>
      </c>
      <c r="C82" s="34" t="s">
        <v>257</v>
      </c>
      <c r="D82" s="21" t="s">
        <v>258</v>
      </c>
      <c r="E82" s="21" t="s">
        <v>291</v>
      </c>
      <c r="F82" s="33" t="s">
        <v>292</v>
      </c>
      <c r="G82" s="57"/>
      <c r="H82" s="54"/>
      <c r="I82" s="68"/>
      <c r="J82" s="57">
        <f t="shared" si="6"/>
        <v>0</v>
      </c>
      <c r="K82" s="57">
        <f>J82*0.05*N2</f>
        <v>0</v>
      </c>
      <c r="L82" s="57"/>
      <c r="M82" s="57"/>
    </row>
    <row r="83" spans="1:13">
      <c r="A83" s="64">
        <v>43556</v>
      </c>
      <c r="B83" s="21" t="s">
        <v>446</v>
      </c>
      <c r="C83" s="21" t="s">
        <v>413</v>
      </c>
      <c r="D83" s="21" t="s">
        <v>202</v>
      </c>
      <c r="E83" s="21" t="s">
        <v>93</v>
      </c>
      <c r="F83" s="33" t="s">
        <v>94</v>
      </c>
      <c r="G83" s="57"/>
      <c r="H83" s="54"/>
      <c r="I83" s="68"/>
      <c r="J83" s="57">
        <f t="shared" si="6"/>
        <v>0</v>
      </c>
      <c r="K83" s="57">
        <f>J83*0.25*N2</f>
        <v>0</v>
      </c>
      <c r="L83" s="57"/>
      <c r="M83" s="57"/>
    </row>
    <row r="84" spans="1:13">
      <c r="A84" s="64"/>
      <c r="C84" s="30" t="s">
        <v>447</v>
      </c>
      <c r="D84" s="21" t="s">
        <v>209</v>
      </c>
      <c r="E84" s="21" t="s">
        <v>144</v>
      </c>
      <c r="F84" s="33" t="s">
        <v>167</v>
      </c>
      <c r="G84" s="57"/>
      <c r="H84" s="54"/>
      <c r="I84" s="68"/>
      <c r="J84" s="57">
        <f t="shared" si="6"/>
        <v>0</v>
      </c>
      <c r="K84" s="57">
        <f>J84*0.05*N2</f>
        <v>0</v>
      </c>
      <c r="L84" s="57"/>
      <c r="M84" s="57"/>
    </row>
    <row r="85" spans="1:13">
      <c r="A85" s="64"/>
      <c r="C85" s="105" t="s">
        <v>235</v>
      </c>
      <c r="D85" s="21" t="s">
        <v>186</v>
      </c>
      <c r="E85" s="21" t="s">
        <v>191</v>
      </c>
      <c r="F85" s="33" t="s">
        <v>192</v>
      </c>
      <c r="G85" s="57"/>
      <c r="H85" s="54"/>
      <c r="I85" s="68"/>
      <c r="J85" s="57">
        <f t="shared" si="6"/>
        <v>0</v>
      </c>
      <c r="K85" s="57"/>
      <c r="L85" s="57"/>
      <c r="M85" s="57"/>
    </row>
    <row r="86" spans="1:13">
      <c r="A86" s="64"/>
      <c r="C86" s="105"/>
      <c r="D86" s="21" t="s">
        <v>186</v>
      </c>
      <c r="E86" s="21" t="s">
        <v>191</v>
      </c>
      <c r="F86" s="33" t="s">
        <v>193</v>
      </c>
      <c r="G86" s="57"/>
      <c r="H86" s="54"/>
      <c r="I86" s="67"/>
      <c r="J86" s="57">
        <f t="shared" si="6"/>
        <v>0</v>
      </c>
      <c r="K86" s="57"/>
      <c r="L86" s="57"/>
      <c r="M86" s="57"/>
    </row>
    <row r="87" spans="1:13">
      <c r="A87" s="64"/>
      <c r="C87" s="105"/>
      <c r="D87" s="21" t="s">
        <v>189</v>
      </c>
      <c r="E87" s="21" t="s">
        <v>349</v>
      </c>
      <c r="F87" s="33" t="s">
        <v>350</v>
      </c>
      <c r="G87" s="57"/>
      <c r="H87" s="54"/>
      <c r="I87" s="67"/>
      <c r="J87" s="57">
        <f t="shared" si="6"/>
        <v>0</v>
      </c>
      <c r="K87" s="57"/>
      <c r="L87" s="57"/>
      <c r="M87" s="57"/>
    </row>
    <row r="88" spans="1:13">
      <c r="A88" s="64">
        <v>43556</v>
      </c>
      <c r="B88" s="21" t="s">
        <v>446</v>
      </c>
      <c r="C88" s="105"/>
      <c r="D88" s="21" t="s">
        <v>189</v>
      </c>
      <c r="E88" s="21" t="s">
        <v>349</v>
      </c>
      <c r="F88" s="33" t="s">
        <v>351</v>
      </c>
      <c r="G88" s="57"/>
      <c r="H88" s="54"/>
      <c r="I88" s="67"/>
      <c r="J88" s="57">
        <f t="shared" si="6"/>
        <v>0</v>
      </c>
      <c r="K88" s="57">
        <f>(J88+J89+J87)*0.05*N2</f>
        <v>0</v>
      </c>
      <c r="L88" s="57">
        <f>K88/0.05*0.25</f>
        <v>0</v>
      </c>
      <c r="M88" s="57">
        <f>L88-K88</f>
        <v>0</v>
      </c>
    </row>
    <row r="89" spans="1:13">
      <c r="A89" s="64">
        <v>43556</v>
      </c>
      <c r="B89" s="21" t="s">
        <v>446</v>
      </c>
      <c r="C89" s="105"/>
      <c r="D89" s="80" t="s">
        <v>197</v>
      </c>
      <c r="E89" s="21" t="s">
        <v>349</v>
      </c>
      <c r="F89" s="33" t="s">
        <v>351</v>
      </c>
      <c r="G89" s="57"/>
      <c r="H89" s="54"/>
      <c r="I89" s="67"/>
      <c r="J89" s="57">
        <f t="shared" si="6"/>
        <v>0</v>
      </c>
      <c r="K89" s="57"/>
      <c r="L89" s="57"/>
      <c r="M89" s="57"/>
    </row>
    <row r="90" spans="1:13">
      <c r="A90" s="64"/>
      <c r="C90" s="105"/>
      <c r="D90" s="81" t="s">
        <v>197</v>
      </c>
      <c r="E90" s="21" t="s">
        <v>191</v>
      </c>
      <c r="F90" s="33" t="s">
        <v>193</v>
      </c>
      <c r="G90" s="57"/>
      <c r="H90" s="54"/>
      <c r="I90" s="68"/>
      <c r="J90" s="57">
        <f t="shared" si="6"/>
        <v>0</v>
      </c>
      <c r="K90" s="57">
        <f>(J90+J86+J85)*0.05*N2</f>
        <v>0</v>
      </c>
      <c r="L90" s="57">
        <f>K90/0.05*0.25</f>
        <v>0</v>
      </c>
      <c r="M90" s="57">
        <f>L90-K90</f>
        <v>0</v>
      </c>
    </row>
    <row r="91" spans="1:13">
      <c r="A91" s="21">
        <v>42795</v>
      </c>
      <c r="C91" s="105" t="s">
        <v>218</v>
      </c>
      <c r="D91" s="105"/>
      <c r="E91" s="21" t="s">
        <v>219</v>
      </c>
      <c r="F91" s="33" t="s">
        <v>219</v>
      </c>
      <c r="G91" s="57"/>
      <c r="H91" s="54"/>
      <c r="I91" s="68"/>
      <c r="J91" s="57">
        <f t="shared" ref="J91:J94" si="7">(G91*H91*0.98)-I91</f>
        <v>0</v>
      </c>
      <c r="K91" s="57">
        <f>(J3+J4+J6+J16+J23+J24+J31+J35+J39+J40+J41+J53+J54+J55+J56+J58+J65+J67+J69+J72+J89+J9+J29+J37+J52+J61+J70+J75+J5+J7+J8+J10+J12+J38+J44+J50+J80+J33+J43+J45+J51+J77+J88+J90+J25+J32+J36+J63+J86+J28+J46+J59+J64+J68+J71+J74+J76+J79+J81+J85+J13+J14+J20+J21+J30+J34+J42+J60+J62+J73+J78+J87)*0.01*N2+(J11+J15+J17+J18+J19+J22)*0.07*N2+(J48+J49)*0.04*N2+(0)*0.08*N2</f>
        <v>0</v>
      </c>
      <c r="L91" s="57"/>
      <c r="M91" s="57"/>
    </row>
    <row r="92" spans="1:13">
      <c r="A92" s="21">
        <v>42795</v>
      </c>
      <c r="C92" s="105"/>
      <c r="D92" s="105"/>
      <c r="E92" s="21" t="s">
        <v>220</v>
      </c>
      <c r="F92" s="33" t="s">
        <v>220</v>
      </c>
      <c r="G92" s="57"/>
      <c r="H92" s="54"/>
      <c r="I92" s="68"/>
      <c r="J92" s="57">
        <f t="shared" si="7"/>
        <v>0</v>
      </c>
      <c r="K92" s="57">
        <f>(J3+J16+J25)*0.06*N2+(J38+J36)*0.03*N2+(J58+J70+J59+J71+J60)*0.07*N2</f>
        <v>0</v>
      </c>
      <c r="L92" s="57"/>
      <c r="M92" s="57"/>
    </row>
    <row r="93" spans="1:13">
      <c r="A93" s="21">
        <v>42795</v>
      </c>
      <c r="C93" s="105"/>
      <c r="D93" s="105"/>
      <c r="E93" s="21" t="s">
        <v>221</v>
      </c>
      <c r="F93" s="33" t="s">
        <v>221</v>
      </c>
      <c r="G93" s="57"/>
      <c r="H93" s="54"/>
      <c r="I93" s="68"/>
      <c r="J93" s="57">
        <f t="shared" si="7"/>
        <v>0</v>
      </c>
      <c r="K93" s="57">
        <f>(J26+J72+J80+J81+J77+J78+J73)*0.07*N2+(J4+J5+J23+J24+J21)*0.06*N2+(J88+J87)*0.03*N2</f>
        <v>0</v>
      </c>
      <c r="L93" s="57"/>
      <c r="M93" s="57"/>
    </row>
    <row r="94" spans="1:13">
      <c r="A94" s="21">
        <v>42795</v>
      </c>
      <c r="C94" s="105"/>
      <c r="D94" s="105"/>
      <c r="E94" s="21" t="s">
        <v>222</v>
      </c>
      <c r="F94" s="33" t="s">
        <v>222</v>
      </c>
      <c r="G94" s="57"/>
      <c r="H94" s="54"/>
      <c r="I94" s="68"/>
      <c r="J94" s="57">
        <f t="shared" si="7"/>
        <v>0</v>
      </c>
      <c r="K94" s="57">
        <f>(J65+J67+J69+J66)*0.07*N2+(J40+J41+J29+J45+J44+J30+J42)*0.03*N2+(J13+J14)*0.06*N2</f>
        <v>0</v>
      </c>
      <c r="L94" s="57"/>
      <c r="M94" s="57"/>
    </row>
    <row r="95" spans="1:13">
      <c r="A95" s="21">
        <v>42795</v>
      </c>
      <c r="C95" s="105"/>
      <c r="D95" s="105"/>
      <c r="E95" s="21" t="s">
        <v>223</v>
      </c>
      <c r="F95" s="33" t="s">
        <v>223</v>
      </c>
      <c r="G95" s="57"/>
      <c r="H95" s="54"/>
      <c r="I95" s="68"/>
      <c r="J95" s="57">
        <v>0</v>
      </c>
      <c r="K95" s="57">
        <f>(J7+J8+J12+J20)*0.06*N2</f>
        <v>0</v>
      </c>
      <c r="L95" s="57"/>
      <c r="M95" s="57"/>
    </row>
    <row r="96" spans="1:13">
      <c r="C96" s="105"/>
      <c r="D96" s="105"/>
      <c r="E96" s="21" t="s">
        <v>224</v>
      </c>
      <c r="F96" s="33" t="s">
        <v>224</v>
      </c>
      <c r="G96" s="57"/>
      <c r="H96" s="54"/>
      <c r="I96" s="68"/>
      <c r="J96" s="57">
        <v>0</v>
      </c>
      <c r="K96" s="57">
        <f>(J27+J54+J53+J50+J52+J63+J51+J64)*0.07*N2+(J31+J32+J85+J86+J89+J90)*0.03*N2+(0)*0.06*N2</f>
        <v>0</v>
      </c>
      <c r="L96" s="57"/>
      <c r="M96" s="57"/>
    </row>
    <row r="97" spans="1:13">
      <c r="C97" s="105"/>
      <c r="D97" s="105"/>
      <c r="E97" s="21" t="s">
        <v>225</v>
      </c>
      <c r="F97" s="33" t="s">
        <v>225</v>
      </c>
      <c r="G97" s="57"/>
      <c r="H97" s="54"/>
      <c r="I97" s="68"/>
      <c r="J97" s="57">
        <v>0</v>
      </c>
      <c r="K97" s="57">
        <f>(J55+J56+J57+J61+J62)*0.07*N2+(J9+J10)*0.06*N2+(J33+J34+J46+J47+J37)*0.03*N2</f>
        <v>0</v>
      </c>
      <c r="L97" s="57"/>
      <c r="M97" s="57"/>
    </row>
    <row r="98" spans="1:13">
      <c r="A98" s="21">
        <v>42795</v>
      </c>
      <c r="F98" s="58" t="s">
        <v>227</v>
      </c>
      <c r="G98" s="65">
        <f>SUM(G3:G94)</f>
        <v>0</v>
      </c>
      <c r="H98" s="66"/>
      <c r="I98" s="69">
        <f>SUM(I3:I92)</f>
        <v>0</v>
      </c>
      <c r="J98" s="65">
        <f>SUM(J3:J97)</f>
        <v>0</v>
      </c>
      <c r="K98" s="65">
        <f>J98*N2</f>
        <v>0</v>
      </c>
      <c r="L98" s="57"/>
      <c r="M98" s="57"/>
    </row>
    <row r="99" spans="1:13">
      <c r="F99" s="58" t="s">
        <v>228</v>
      </c>
      <c r="G99" s="65"/>
      <c r="H99" s="66"/>
      <c r="I99" s="69"/>
      <c r="J99" s="65"/>
      <c r="K99" s="65">
        <f>K98*0.4</f>
        <v>0</v>
      </c>
      <c r="L99" s="57"/>
      <c r="M99" s="57"/>
    </row>
    <row r="100" spans="1:13">
      <c r="F100" s="58" t="s">
        <v>261</v>
      </c>
      <c r="G100" s="65"/>
      <c r="H100" s="66"/>
      <c r="I100" s="69"/>
      <c r="J100" s="65"/>
      <c r="K100" s="65">
        <f>K98*0.6</f>
        <v>0</v>
      </c>
      <c r="L100" s="57"/>
      <c r="M100" s="57"/>
    </row>
    <row r="101" spans="1:13">
      <c r="F101" s="33"/>
      <c r="G101" s="57"/>
      <c r="H101" s="54"/>
      <c r="I101" s="68"/>
      <c r="J101" s="57"/>
      <c r="K101" s="57"/>
      <c r="L101" s="57"/>
      <c r="M101" s="57"/>
    </row>
    <row r="102" spans="1:13">
      <c r="A102" s="21">
        <v>42795</v>
      </c>
      <c r="C102" s="21" t="s">
        <v>442</v>
      </c>
      <c r="E102" s="21" t="s">
        <v>230</v>
      </c>
      <c r="F102" s="33"/>
      <c r="G102" s="57"/>
      <c r="H102" s="54"/>
      <c r="I102" s="68"/>
      <c r="J102" s="57"/>
      <c r="K102" s="57">
        <f>(J15+J3)*0.05*N2+M15+M12+M8+M6+M4+M16+M17+M9+M21+M22</f>
        <v>0</v>
      </c>
      <c r="L102" s="57"/>
      <c r="M102" s="57"/>
    </row>
    <row r="103" spans="1:13">
      <c r="A103" s="21">
        <v>42795</v>
      </c>
      <c r="C103" s="21" t="s">
        <v>443</v>
      </c>
      <c r="E103" s="21" t="s">
        <v>230</v>
      </c>
      <c r="F103" s="33"/>
      <c r="G103" s="57"/>
      <c r="H103" s="54"/>
      <c r="I103" s="68"/>
      <c r="J103" s="57"/>
      <c r="K103" s="57">
        <f>M50+M55+M70+M61+M72+M65+M75+M67+M58+M80+M74</f>
        <v>0</v>
      </c>
      <c r="L103" s="57"/>
      <c r="M103" s="57"/>
    </row>
    <row r="104" spans="1:13">
      <c r="A104" s="21">
        <v>42795</v>
      </c>
      <c r="C104" s="21" t="s">
        <v>444</v>
      </c>
      <c r="E104" s="21" t="s">
        <v>233</v>
      </c>
      <c r="F104" s="33"/>
      <c r="G104" s="57"/>
      <c r="H104" s="54"/>
      <c r="I104" s="68"/>
      <c r="J104" s="57"/>
      <c r="K104" s="57">
        <f>M26+M28+(0)*0.05*N2</f>
        <v>0</v>
      </c>
      <c r="L104" s="57"/>
      <c r="M104" s="57"/>
    </row>
    <row r="105" spans="1:13">
      <c r="A105" s="21">
        <v>42795</v>
      </c>
      <c r="C105" s="21" t="s">
        <v>445</v>
      </c>
      <c r="E105" s="21" t="s">
        <v>230</v>
      </c>
      <c r="F105" s="33"/>
      <c r="G105" s="57"/>
      <c r="H105" s="54"/>
      <c r="I105" s="68"/>
      <c r="J105" s="57"/>
      <c r="K105" s="57">
        <f>M31+M39+M37+M48+M46+M41</f>
        <v>0</v>
      </c>
      <c r="L105" s="57"/>
      <c r="M105" s="57"/>
    </row>
    <row r="106" spans="1:13">
      <c r="C106" s="21" t="s">
        <v>235</v>
      </c>
      <c r="E106" s="21" t="s">
        <v>230</v>
      </c>
      <c r="F106" s="33"/>
      <c r="G106" s="57"/>
      <c r="H106" s="54"/>
      <c r="I106" s="68"/>
      <c r="J106" s="57"/>
      <c r="K106" s="57">
        <f>M88+M90</f>
        <v>0</v>
      </c>
      <c r="L106" s="57"/>
      <c r="M106" s="57"/>
    </row>
    <row r="107" spans="1:13">
      <c r="A107" s="21">
        <v>42795</v>
      </c>
      <c r="C107" s="21" t="s">
        <v>363</v>
      </c>
      <c r="F107" s="33"/>
      <c r="G107" s="57"/>
      <c r="H107" s="54"/>
      <c r="I107" s="68"/>
      <c r="J107" s="57"/>
      <c r="K107" s="57">
        <v>0</v>
      </c>
      <c r="L107" s="57"/>
      <c r="M107" s="57"/>
    </row>
    <row r="108" spans="1:13">
      <c r="A108" s="21">
        <v>42795</v>
      </c>
      <c r="C108" s="21" t="s">
        <v>262</v>
      </c>
      <c r="E108" s="21" t="s">
        <v>230</v>
      </c>
      <c r="F108" s="33"/>
      <c r="G108" s="57"/>
      <c r="H108" s="54"/>
      <c r="I108" s="68"/>
      <c r="J108" s="57"/>
      <c r="K108" s="57">
        <f>J98*0.07*N2</f>
        <v>0</v>
      </c>
      <c r="L108" s="57"/>
      <c r="M108" s="57"/>
    </row>
    <row r="109" spans="1:13">
      <c r="K109" s="65">
        <f>K102+K103+K104+K105+K106</f>
        <v>0</v>
      </c>
    </row>
  </sheetData>
  <autoFilter ref="A1:K100"/>
  <mergeCells count="6">
    <mergeCell ref="C91:D97"/>
    <mergeCell ref="C3:C25"/>
    <mergeCell ref="C26:C28"/>
    <mergeCell ref="C29:C49"/>
    <mergeCell ref="C50:C81"/>
    <mergeCell ref="C85:C90"/>
  </mergeCells>
  <phoneticPr fontId="37" type="noConversion"/>
  <conditionalFormatting sqref="E97">
    <cfRule type="containsText" dxfId="5" priority="2" operator="containsText" text="方泽斯">
      <formula>NOT(ISERROR(SEARCH("方泽斯",E97)))</formula>
    </cfRule>
  </conditionalFormatting>
  <conditionalFormatting sqref="E104">
    <cfRule type="containsText" dxfId="4" priority="1" operator="containsText" text="方泽斯">
      <formula>NOT(ISERROR(SEARCH("方泽斯",E104)))</formula>
    </cfRule>
  </conditionalFormatting>
  <pageMargins left="0.75" right="0.75" top="1" bottom="1" header="0.51" footer="0.51"/>
  <pageSetup paperSize="9" scale="70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Y44"/>
  <sheetViews>
    <sheetView topLeftCell="C1" zoomScaleSheetLayoutView="100" workbookViewId="0">
      <selection activeCell="G3" sqref="G3:I28"/>
    </sheetView>
  </sheetViews>
  <sheetFormatPr defaultRowHeight="13.5"/>
  <cols>
    <col min="1" max="2" width="10.375" style="21" hidden="1" customWidth="1"/>
    <col min="3" max="3" width="10.875" style="21" customWidth="1"/>
    <col min="4" max="4" width="9" style="21"/>
    <col min="5" max="5" width="9" style="21" customWidth="1"/>
    <col min="6" max="6" width="12.625" style="21" customWidth="1"/>
    <col min="7" max="7" width="13.5" style="59" customWidth="1"/>
    <col min="8" max="8" width="11" style="60" customWidth="1"/>
    <col min="9" max="9" width="16.625" style="61" customWidth="1"/>
    <col min="10" max="10" width="12.125" style="59" customWidth="1"/>
    <col min="11" max="11" width="19.125" style="59" customWidth="1"/>
    <col min="12" max="12" width="10" style="59" customWidth="1"/>
    <col min="13" max="13" width="10.5" style="59" customWidth="1"/>
    <col min="14" max="14" width="9" style="21"/>
    <col min="15" max="15" width="15.75" style="21" customWidth="1"/>
    <col min="16" max="16384" width="9" style="21"/>
  </cols>
  <sheetData>
    <row r="1" spans="1:25">
      <c r="C1" s="21" t="s">
        <v>448</v>
      </c>
    </row>
    <row r="2" spans="1:25" s="22" customFormat="1" ht="21" customHeight="1">
      <c r="A2" s="24"/>
      <c r="B2" s="24"/>
      <c r="C2" s="25" t="s">
        <v>1</v>
      </c>
      <c r="D2" s="25" t="s">
        <v>2</v>
      </c>
      <c r="E2" s="25"/>
      <c r="F2" s="26" t="s">
        <v>3</v>
      </c>
      <c r="G2" s="27" t="s">
        <v>4</v>
      </c>
      <c r="H2" s="28" t="s">
        <v>5</v>
      </c>
      <c r="I2" s="29" t="s">
        <v>6</v>
      </c>
      <c r="J2" s="29" t="s">
        <v>7</v>
      </c>
      <c r="K2" s="38" t="s">
        <v>8</v>
      </c>
      <c r="L2" s="39"/>
      <c r="M2" s="40" t="s">
        <v>9</v>
      </c>
      <c r="N2" s="41">
        <v>7.01</v>
      </c>
      <c r="O2" s="42"/>
      <c r="P2" s="43"/>
      <c r="Q2" s="44"/>
      <c r="R2" s="45"/>
      <c r="S2" s="45"/>
      <c r="W2" s="46"/>
      <c r="X2" s="46"/>
      <c r="Y2" s="46"/>
    </row>
    <row r="3" spans="1:25" ht="15" customHeight="1">
      <c r="A3" s="64">
        <v>43556</v>
      </c>
      <c r="B3" s="21" t="s">
        <v>448</v>
      </c>
      <c r="C3" s="112" t="s">
        <v>10</v>
      </c>
      <c r="D3" s="21" t="s">
        <v>39</v>
      </c>
      <c r="E3" s="21" t="s">
        <v>40</v>
      </c>
      <c r="F3" s="33" t="s">
        <v>41</v>
      </c>
      <c r="G3" s="57"/>
      <c r="H3" s="54"/>
      <c r="I3" s="67"/>
      <c r="J3" s="57">
        <f t="shared" ref="J3:J14" si="0">G3*H3*1-I3</f>
        <v>0</v>
      </c>
      <c r="K3" s="57">
        <f>(J3)*0.05*N2</f>
        <v>0</v>
      </c>
      <c r="L3" s="57">
        <f t="shared" ref="L3:L7" si="1">K3/0.05*0.25</f>
        <v>0</v>
      </c>
      <c r="M3" s="57">
        <f t="shared" ref="M3:M8" si="2">L3-K3</f>
        <v>0</v>
      </c>
    </row>
    <row r="4" spans="1:25" ht="15" customHeight="1">
      <c r="A4" s="64">
        <v>43556</v>
      </c>
      <c r="B4" s="21" t="s">
        <v>448</v>
      </c>
      <c r="C4" s="113"/>
      <c r="D4" s="21" t="s">
        <v>77</v>
      </c>
      <c r="E4" s="21" t="s">
        <v>12</v>
      </c>
      <c r="F4" s="33" t="s">
        <v>13</v>
      </c>
      <c r="G4" s="57"/>
      <c r="H4" s="54"/>
      <c r="I4" s="67"/>
      <c r="J4" s="57">
        <f t="shared" si="0"/>
        <v>0</v>
      </c>
      <c r="K4" s="57">
        <f>J4*0.05*N2</f>
        <v>0</v>
      </c>
      <c r="L4" s="57">
        <f>K4/0.03*0.25</f>
        <v>0</v>
      </c>
      <c r="M4" s="57">
        <f t="shared" si="2"/>
        <v>0</v>
      </c>
    </row>
    <row r="5" spans="1:25" ht="15" customHeight="1">
      <c r="A5" s="64">
        <v>43556</v>
      </c>
      <c r="B5" s="21" t="s">
        <v>448</v>
      </c>
      <c r="C5" s="113"/>
      <c r="D5" s="21" t="s">
        <v>67</v>
      </c>
      <c r="E5" s="21" t="s">
        <v>68</v>
      </c>
      <c r="F5" s="33" t="s">
        <v>69</v>
      </c>
      <c r="G5" s="57"/>
      <c r="H5" s="54"/>
      <c r="I5" s="67"/>
      <c r="J5" s="57">
        <f t="shared" si="0"/>
        <v>0</v>
      </c>
      <c r="K5" s="57">
        <f>J5*0.05*N2</f>
        <v>0</v>
      </c>
      <c r="L5" s="57">
        <f t="shared" si="1"/>
        <v>0</v>
      </c>
      <c r="M5" s="57">
        <f t="shared" si="2"/>
        <v>0</v>
      </c>
    </row>
    <row r="6" spans="1:25" ht="15" customHeight="1">
      <c r="A6" s="64">
        <v>43556</v>
      </c>
      <c r="B6" s="21" t="s">
        <v>448</v>
      </c>
      <c r="C6" s="113"/>
      <c r="D6" s="21" t="s">
        <v>51</v>
      </c>
      <c r="E6" s="21" t="s">
        <v>52</v>
      </c>
      <c r="F6" s="33" t="s">
        <v>53</v>
      </c>
      <c r="G6" s="57"/>
      <c r="H6" s="54"/>
      <c r="I6" s="67"/>
      <c r="J6" s="57">
        <f t="shared" si="0"/>
        <v>0</v>
      </c>
      <c r="K6" s="57">
        <f>J6*0.04*N2</f>
        <v>0</v>
      </c>
      <c r="L6" s="57">
        <f>K6/0.04*0.25</f>
        <v>0</v>
      </c>
      <c r="M6" s="57">
        <f t="shared" si="2"/>
        <v>0</v>
      </c>
    </row>
    <row r="7" spans="1:25" ht="15" customHeight="1">
      <c r="A7" s="64"/>
      <c r="C7" s="113"/>
      <c r="D7" s="21" t="s">
        <v>32</v>
      </c>
      <c r="E7" s="21" t="s">
        <v>314</v>
      </c>
      <c r="F7" s="33" t="s">
        <v>315</v>
      </c>
      <c r="G7" s="57"/>
      <c r="H7" s="54"/>
      <c r="I7" s="67"/>
      <c r="J7" s="57">
        <f t="shared" si="0"/>
        <v>0</v>
      </c>
      <c r="K7" s="57">
        <f>J7*0.05*N2</f>
        <v>0</v>
      </c>
      <c r="L7" s="57">
        <f t="shared" si="1"/>
        <v>0</v>
      </c>
      <c r="M7" s="57">
        <f t="shared" si="2"/>
        <v>0</v>
      </c>
    </row>
    <row r="8" spans="1:25" ht="15" customHeight="1">
      <c r="A8" s="64"/>
      <c r="C8" s="113"/>
      <c r="D8" s="21" t="s">
        <v>45</v>
      </c>
      <c r="E8" s="21" t="s">
        <v>298</v>
      </c>
      <c r="F8" s="33" t="s">
        <v>299</v>
      </c>
      <c r="G8" s="57"/>
      <c r="H8" s="54"/>
      <c r="I8" s="67"/>
      <c r="J8" s="57">
        <f t="shared" si="0"/>
        <v>0</v>
      </c>
      <c r="K8" s="57">
        <f>J8*0.03*N2</f>
        <v>0</v>
      </c>
      <c r="L8" s="57">
        <f>K8/0.03*0.25</f>
        <v>0</v>
      </c>
      <c r="M8" s="57">
        <f t="shared" si="2"/>
        <v>0</v>
      </c>
    </row>
    <row r="9" spans="1:25" ht="15" customHeight="1">
      <c r="A9" s="64"/>
      <c r="C9" s="113"/>
      <c r="D9" s="21" t="s">
        <v>32</v>
      </c>
      <c r="E9" s="21" t="s">
        <v>33</v>
      </c>
      <c r="F9" s="33" t="s">
        <v>34</v>
      </c>
      <c r="G9" s="57"/>
      <c r="H9" s="54"/>
      <c r="I9" s="67"/>
      <c r="J9" s="57">
        <f t="shared" si="0"/>
        <v>0</v>
      </c>
      <c r="K9" s="57">
        <f>J9*0.2*N2</f>
        <v>0</v>
      </c>
      <c r="L9" s="57"/>
      <c r="M9" s="57"/>
    </row>
    <row r="10" spans="1:25">
      <c r="A10" s="64">
        <v>43556</v>
      </c>
      <c r="B10" s="21" t="s">
        <v>448</v>
      </c>
      <c r="C10" s="102" t="s">
        <v>83</v>
      </c>
      <c r="D10" s="21" t="s">
        <v>367</v>
      </c>
      <c r="E10" s="21" t="s">
        <v>249</v>
      </c>
      <c r="F10" s="33" t="s">
        <v>254</v>
      </c>
      <c r="G10" s="57"/>
      <c r="H10" s="54"/>
      <c r="I10" s="67"/>
      <c r="J10" s="57">
        <f t="shared" si="0"/>
        <v>0</v>
      </c>
      <c r="K10" s="57">
        <f>(J10)*0.25*N2</f>
        <v>0</v>
      </c>
      <c r="L10" s="57"/>
      <c r="M10" s="57"/>
    </row>
    <row r="11" spans="1:25">
      <c r="A11" s="64"/>
      <c r="C11" s="103"/>
      <c r="D11" s="21" t="s">
        <v>320</v>
      </c>
      <c r="E11" s="21" t="s">
        <v>99</v>
      </c>
      <c r="F11" s="33" t="s">
        <v>100</v>
      </c>
      <c r="G11" s="57"/>
      <c r="H11" s="54"/>
      <c r="I11" s="67"/>
      <c r="J11" s="57">
        <f t="shared" si="0"/>
        <v>0</v>
      </c>
      <c r="K11" s="57">
        <f>(J11)*0.03*N2</f>
        <v>0</v>
      </c>
      <c r="L11" s="57">
        <f>K11/0.03*0.25</f>
        <v>0</v>
      </c>
      <c r="M11" s="57">
        <f>L11-K11</f>
        <v>0</v>
      </c>
    </row>
    <row r="12" spans="1:25">
      <c r="A12" s="64">
        <v>43556</v>
      </c>
      <c r="B12" s="21" t="s">
        <v>448</v>
      </c>
      <c r="C12" s="102" t="s">
        <v>243</v>
      </c>
      <c r="D12" s="21" t="s">
        <v>133</v>
      </c>
      <c r="E12" s="21" t="s">
        <v>129</v>
      </c>
      <c r="F12" s="33" t="s">
        <v>130</v>
      </c>
      <c r="G12" s="57"/>
      <c r="H12" s="54"/>
      <c r="I12" s="67"/>
      <c r="J12" s="57">
        <f t="shared" si="0"/>
        <v>0</v>
      </c>
      <c r="K12" s="57">
        <f>J12*0.05*N2</f>
        <v>0</v>
      </c>
      <c r="L12" s="57">
        <f>K12/0.05*0.25</f>
        <v>0</v>
      </c>
      <c r="M12" s="57">
        <f>L12-K12</f>
        <v>0</v>
      </c>
    </row>
    <row r="13" spans="1:25">
      <c r="A13" s="64">
        <v>43556</v>
      </c>
      <c r="B13" s="21" t="s">
        <v>448</v>
      </c>
      <c r="C13" s="103"/>
      <c r="D13" s="21" t="s">
        <v>111</v>
      </c>
      <c r="E13" s="21" t="s">
        <v>129</v>
      </c>
      <c r="F13" s="33" t="s">
        <v>130</v>
      </c>
      <c r="G13" s="57"/>
      <c r="H13" s="54"/>
      <c r="I13" s="67"/>
      <c r="J13" s="57">
        <f t="shared" si="0"/>
        <v>0</v>
      </c>
      <c r="K13" s="57"/>
      <c r="L13" s="57">
        <f t="shared" ref="L13:L18" si="3">K13/0.03*0.25</f>
        <v>0</v>
      </c>
      <c r="M13" s="57">
        <f t="shared" ref="M13:M16" si="4">L13-K13</f>
        <v>0</v>
      </c>
    </row>
    <row r="14" spans="1:25">
      <c r="A14" s="64"/>
      <c r="C14" s="103"/>
      <c r="D14" s="21" t="s">
        <v>112</v>
      </c>
      <c r="E14" s="21" t="s">
        <v>246</v>
      </c>
      <c r="F14" s="33" t="s">
        <v>247</v>
      </c>
      <c r="G14" s="57"/>
      <c r="H14" s="54"/>
      <c r="I14" s="67"/>
      <c r="J14" s="57">
        <f t="shared" si="0"/>
        <v>0</v>
      </c>
      <c r="K14" s="57"/>
      <c r="L14" s="57"/>
      <c r="M14" s="57"/>
    </row>
    <row r="15" spans="1:25">
      <c r="A15" s="64"/>
      <c r="C15" s="103"/>
      <c r="D15" s="21" t="s">
        <v>137</v>
      </c>
      <c r="E15" s="21" t="s">
        <v>113</v>
      </c>
      <c r="F15" s="33" t="s">
        <v>114</v>
      </c>
      <c r="G15" s="57"/>
      <c r="H15" s="54"/>
      <c r="I15" s="67"/>
      <c r="J15" s="57">
        <f t="shared" ref="J15:J24" si="5">G15*H15*1-I15</f>
        <v>0</v>
      </c>
      <c r="K15" s="57"/>
      <c r="L15" s="57">
        <f t="shared" si="3"/>
        <v>0</v>
      </c>
      <c r="M15" s="57">
        <f t="shared" si="4"/>
        <v>0</v>
      </c>
    </row>
    <row r="16" spans="1:25">
      <c r="A16" s="64">
        <v>43556</v>
      </c>
      <c r="B16" s="21" t="s">
        <v>448</v>
      </c>
      <c r="C16" s="102" t="s">
        <v>397</v>
      </c>
      <c r="D16" s="21" t="s">
        <v>160</v>
      </c>
      <c r="E16" s="21" t="s">
        <v>161</v>
      </c>
      <c r="F16" s="33" t="s">
        <v>290</v>
      </c>
      <c r="G16" s="57"/>
      <c r="H16" s="54"/>
      <c r="I16" s="67"/>
      <c r="J16" s="57">
        <f t="shared" si="5"/>
        <v>0</v>
      </c>
      <c r="K16" s="57">
        <f>(J16+J17)*0.04*N2</f>
        <v>0</v>
      </c>
      <c r="L16" s="57">
        <f>K16/0.04*0.25</f>
        <v>0</v>
      </c>
      <c r="M16" s="57">
        <f t="shared" si="4"/>
        <v>0</v>
      </c>
    </row>
    <row r="17" spans="1:13">
      <c r="A17" s="64">
        <v>43556</v>
      </c>
      <c r="B17" s="21" t="s">
        <v>448</v>
      </c>
      <c r="C17" s="103"/>
      <c r="D17" s="21" t="s">
        <v>160</v>
      </c>
      <c r="E17" s="21" t="s">
        <v>161</v>
      </c>
      <c r="F17" s="33" t="s">
        <v>163</v>
      </c>
      <c r="G17" s="57"/>
      <c r="H17" s="54"/>
      <c r="I17" s="67"/>
      <c r="J17" s="57">
        <f t="shared" si="5"/>
        <v>0</v>
      </c>
      <c r="K17" s="57"/>
      <c r="L17" s="57"/>
      <c r="M17" s="57"/>
    </row>
    <row r="18" spans="1:13">
      <c r="A18" s="64">
        <v>43556</v>
      </c>
      <c r="B18" s="21" t="s">
        <v>448</v>
      </c>
      <c r="C18" s="103"/>
      <c r="D18" s="21" t="s">
        <v>175</v>
      </c>
      <c r="E18" s="21" t="s">
        <v>176</v>
      </c>
      <c r="F18" s="33" t="s">
        <v>177</v>
      </c>
      <c r="G18" s="57"/>
      <c r="H18" s="54"/>
      <c r="I18" s="67"/>
      <c r="J18" s="57">
        <f t="shared" si="5"/>
        <v>0</v>
      </c>
      <c r="K18" s="57">
        <f>J18*0.03*N2</f>
        <v>0</v>
      </c>
      <c r="L18" s="57">
        <f t="shared" si="3"/>
        <v>0</v>
      </c>
      <c r="M18" s="57">
        <f>L18-K18</f>
        <v>0</v>
      </c>
    </row>
    <row r="19" spans="1:13">
      <c r="A19" s="64">
        <v>43556</v>
      </c>
      <c r="B19" s="21" t="s">
        <v>448</v>
      </c>
      <c r="C19" s="103"/>
      <c r="D19" s="21" t="s">
        <v>148</v>
      </c>
      <c r="E19" s="21" t="s">
        <v>380</v>
      </c>
      <c r="F19" s="33" t="s">
        <v>381</v>
      </c>
      <c r="G19" s="57"/>
      <c r="H19" s="54"/>
      <c r="I19" s="67"/>
      <c r="J19" s="57">
        <f t="shared" si="5"/>
        <v>0</v>
      </c>
      <c r="K19" s="57"/>
      <c r="L19" s="57"/>
      <c r="M19" s="57"/>
    </row>
    <row r="20" spans="1:13">
      <c r="A20" s="64">
        <v>43556</v>
      </c>
      <c r="B20" s="21" t="s">
        <v>448</v>
      </c>
      <c r="C20" s="103"/>
      <c r="D20" s="21" t="s">
        <v>174</v>
      </c>
      <c r="E20" s="21" t="s">
        <v>170</v>
      </c>
      <c r="F20" s="33" t="s">
        <v>171</v>
      </c>
      <c r="G20" s="57"/>
      <c r="H20" s="54"/>
      <c r="I20" s="67"/>
      <c r="J20" s="57">
        <f t="shared" si="5"/>
        <v>0</v>
      </c>
      <c r="K20" s="57">
        <f>(J20+J21)*0.04*N2</f>
        <v>0</v>
      </c>
      <c r="L20" s="57">
        <f>K20/0.04*0.25</f>
        <v>0</v>
      </c>
      <c r="M20" s="57">
        <f>L20-K20</f>
        <v>0</v>
      </c>
    </row>
    <row r="21" spans="1:13">
      <c r="A21" s="64"/>
      <c r="C21" s="103"/>
      <c r="D21" s="21" t="s">
        <v>169</v>
      </c>
      <c r="E21" s="21" t="s">
        <v>170</v>
      </c>
      <c r="F21" s="33" t="s">
        <v>171</v>
      </c>
      <c r="G21" s="57"/>
      <c r="H21" s="54"/>
      <c r="I21" s="67"/>
      <c r="J21" s="57">
        <f t="shared" si="5"/>
        <v>0</v>
      </c>
      <c r="K21" s="57"/>
      <c r="L21" s="57">
        <f>K21/0.04*0.25</f>
        <v>0</v>
      </c>
      <c r="M21" s="57">
        <f>L21-K21</f>
        <v>0</v>
      </c>
    </row>
    <row r="22" spans="1:13">
      <c r="A22" s="64"/>
      <c r="C22" s="104"/>
      <c r="D22" s="21" t="s">
        <v>152</v>
      </c>
      <c r="E22" s="21" t="s">
        <v>141</v>
      </c>
      <c r="F22" s="33" t="s">
        <v>153</v>
      </c>
      <c r="G22" s="57"/>
      <c r="H22" s="54"/>
      <c r="I22" s="67"/>
      <c r="J22" s="57">
        <f t="shared" si="5"/>
        <v>0</v>
      </c>
      <c r="K22" s="57">
        <f>J22*0.03*N2</f>
        <v>0</v>
      </c>
      <c r="L22" s="57">
        <f>K22/0.03*0.25</f>
        <v>0</v>
      </c>
      <c r="M22" s="57">
        <f>L22-K22</f>
        <v>0</v>
      </c>
    </row>
    <row r="23" spans="1:13">
      <c r="A23" s="64"/>
      <c r="C23" s="102" t="s">
        <v>235</v>
      </c>
      <c r="D23" s="21" t="s">
        <v>186</v>
      </c>
      <c r="E23" s="21" t="s">
        <v>349</v>
      </c>
      <c r="F23" s="33" t="s">
        <v>351</v>
      </c>
      <c r="G23" s="57"/>
      <c r="H23" s="54"/>
      <c r="I23" s="67"/>
      <c r="J23" s="57">
        <f t="shared" si="5"/>
        <v>0</v>
      </c>
      <c r="K23" s="57">
        <f>J23*0.04*N2</f>
        <v>0</v>
      </c>
      <c r="L23" s="57">
        <f>K23/0.04*0.25</f>
        <v>0</v>
      </c>
      <c r="M23" s="57">
        <f>L23-K23</f>
        <v>0</v>
      </c>
    </row>
    <row r="24" spans="1:13">
      <c r="A24" s="64">
        <v>43556</v>
      </c>
      <c r="B24" s="21" t="s">
        <v>448</v>
      </c>
      <c r="C24" s="104"/>
      <c r="D24" s="21" t="s">
        <v>189</v>
      </c>
      <c r="E24" s="21" t="s">
        <v>187</v>
      </c>
      <c r="F24" s="33" t="s">
        <v>188</v>
      </c>
      <c r="G24" s="57"/>
      <c r="H24" s="54"/>
      <c r="I24" s="67"/>
      <c r="J24" s="57">
        <f t="shared" si="5"/>
        <v>0</v>
      </c>
      <c r="K24" s="57">
        <f>J24*0.05*N2</f>
        <v>0</v>
      </c>
      <c r="L24" s="57">
        <f>K24/0.05*0.25</f>
        <v>0</v>
      </c>
      <c r="M24" s="57">
        <f>L24-K24</f>
        <v>0</v>
      </c>
    </row>
    <row r="25" spans="1:13">
      <c r="C25" s="106" t="s">
        <v>218</v>
      </c>
      <c r="D25" s="107"/>
      <c r="E25" s="21" t="s">
        <v>219</v>
      </c>
      <c r="F25" s="33" t="s">
        <v>219</v>
      </c>
      <c r="G25" s="57"/>
      <c r="H25" s="54"/>
      <c r="I25" s="67"/>
      <c r="J25" s="57">
        <f t="shared" ref="J25:J28" si="6">(G25*H25*0.98)-I25</f>
        <v>0</v>
      </c>
      <c r="K25" s="57">
        <f>(J3+J4+J5+J6+J7+J8+J9+J11+J13+J14+J15+J16+J17+J18+J20+J24)*0.01*N2+(0)*0.07*N2+(J12)*0.04*N2+(J10+J22)*0.08*N2</f>
        <v>0</v>
      </c>
      <c r="L25" s="57"/>
      <c r="M25" s="57"/>
    </row>
    <row r="26" spans="1:13">
      <c r="C26" s="108"/>
      <c r="D26" s="109"/>
      <c r="E26" s="21" t="s">
        <v>220</v>
      </c>
      <c r="F26" s="33" t="s">
        <v>220</v>
      </c>
      <c r="G26" s="57"/>
      <c r="H26" s="54"/>
      <c r="I26" s="67"/>
      <c r="J26" s="57">
        <f t="shared" si="6"/>
        <v>0</v>
      </c>
      <c r="K26" s="57">
        <f>(J6+J7+J9)*0.06*N2+(J15)*0.03*N2+(J21)*0.07*N2</f>
        <v>0</v>
      </c>
      <c r="L26" s="57"/>
      <c r="M26" s="57"/>
    </row>
    <row r="27" spans="1:13">
      <c r="C27" s="108"/>
      <c r="D27" s="109"/>
      <c r="E27" s="21" t="s">
        <v>221</v>
      </c>
      <c r="F27" s="33" t="s">
        <v>221</v>
      </c>
      <c r="G27" s="57"/>
      <c r="H27" s="54"/>
      <c r="I27" s="67"/>
      <c r="J27" s="57">
        <f t="shared" si="6"/>
        <v>0</v>
      </c>
      <c r="K27" s="57">
        <f>(J3)*0.06*N2+(J19)*0.07*N2+(J23+J24)*0.03*N2</f>
        <v>0</v>
      </c>
      <c r="L27" s="57"/>
      <c r="M27" s="57"/>
    </row>
    <row r="28" spans="1:13">
      <c r="C28" s="108"/>
      <c r="D28" s="109"/>
      <c r="E28" s="21" t="s">
        <v>222</v>
      </c>
      <c r="F28" s="33" t="s">
        <v>222</v>
      </c>
      <c r="G28" s="57"/>
      <c r="H28" s="54"/>
      <c r="I28" s="68"/>
      <c r="J28" s="57">
        <f t="shared" si="6"/>
        <v>0</v>
      </c>
      <c r="K28" s="57">
        <f>(0)*0.06*N2+(J11+J16+J17)*0.07*N2+(J13)*0.03*N2</f>
        <v>0</v>
      </c>
      <c r="L28" s="57"/>
      <c r="M28" s="57"/>
    </row>
    <row r="29" spans="1:13">
      <c r="C29" s="108"/>
      <c r="D29" s="109"/>
      <c r="E29" s="21" t="s">
        <v>226</v>
      </c>
      <c r="F29" s="33" t="s">
        <v>226</v>
      </c>
      <c r="G29" s="57"/>
      <c r="H29" s="54"/>
      <c r="I29" s="68"/>
      <c r="J29" s="57">
        <v>0</v>
      </c>
      <c r="K29" s="57">
        <f>(J4)*0.06*N2+(J22)*0.07*N2</f>
        <v>0</v>
      </c>
      <c r="L29" s="57"/>
      <c r="M29" s="57"/>
    </row>
    <row r="30" spans="1:13">
      <c r="C30" s="108"/>
      <c r="D30" s="109"/>
      <c r="E30" s="21" t="s">
        <v>224</v>
      </c>
      <c r="F30" s="33" t="s">
        <v>224</v>
      </c>
      <c r="G30" s="57"/>
      <c r="H30" s="54"/>
      <c r="I30" s="68"/>
      <c r="J30" s="57">
        <v>0</v>
      </c>
      <c r="K30" s="57">
        <f>(0)*0.06*N2+(J20)*0.07*N2+(J23)*0.03*N2</f>
        <v>0</v>
      </c>
      <c r="L30" s="57"/>
      <c r="M30" s="57"/>
    </row>
    <row r="31" spans="1:13">
      <c r="C31" s="108"/>
      <c r="D31" s="109"/>
      <c r="E31" s="21" t="s">
        <v>225</v>
      </c>
      <c r="F31" s="33" t="s">
        <v>225</v>
      </c>
      <c r="G31" s="57"/>
      <c r="H31" s="54"/>
      <c r="I31" s="68"/>
      <c r="J31" s="57">
        <v>0</v>
      </c>
      <c r="K31" s="57">
        <f>(J8)*0.06*N2+(J12+J14)*0.03*N2+(J18)*0.07*N2</f>
        <v>0</v>
      </c>
      <c r="L31" s="57"/>
      <c r="M31" s="57"/>
    </row>
    <row r="32" spans="1:13">
      <c r="C32" s="110"/>
      <c r="D32" s="111"/>
      <c r="E32" s="21" t="s">
        <v>223</v>
      </c>
      <c r="F32" s="33" t="s">
        <v>223</v>
      </c>
      <c r="G32" s="57"/>
      <c r="H32" s="54"/>
      <c r="I32" s="68"/>
      <c r="J32" s="57">
        <v>0</v>
      </c>
      <c r="K32" s="57">
        <f>(J5)*0.06*N2</f>
        <v>0</v>
      </c>
      <c r="L32" s="57"/>
      <c r="M32" s="57"/>
    </row>
    <row r="33" spans="3:13">
      <c r="F33" s="58" t="s">
        <v>227</v>
      </c>
      <c r="G33" s="65">
        <f>SUM(G3:G32)</f>
        <v>0</v>
      </c>
      <c r="H33" s="66"/>
      <c r="I33" s="69">
        <f>SUM(I3:I32)</f>
        <v>0</v>
      </c>
      <c r="J33" s="65">
        <f>SUM(J3:J32)</f>
        <v>0</v>
      </c>
      <c r="K33" s="65">
        <f>J33*N2</f>
        <v>0</v>
      </c>
      <c r="L33" s="57"/>
      <c r="M33" s="57"/>
    </row>
    <row r="34" spans="3:13">
      <c r="F34" s="58" t="s">
        <v>228</v>
      </c>
      <c r="G34" s="65"/>
      <c r="H34" s="66"/>
      <c r="I34" s="69"/>
      <c r="J34" s="65"/>
      <c r="K34" s="65">
        <f>K33*0.4</f>
        <v>0</v>
      </c>
      <c r="L34" s="57"/>
      <c r="M34" s="57"/>
    </row>
    <row r="35" spans="3:13">
      <c r="F35" s="58" t="s">
        <v>261</v>
      </c>
      <c r="G35" s="65"/>
      <c r="H35" s="66"/>
      <c r="I35" s="69"/>
      <c r="J35" s="65"/>
      <c r="K35" s="65">
        <f>K33*0.6</f>
        <v>0</v>
      </c>
      <c r="L35" s="57"/>
      <c r="M35" s="57"/>
    </row>
    <row r="36" spans="3:13">
      <c r="F36" s="33"/>
      <c r="G36" s="57"/>
      <c r="H36" s="54"/>
      <c r="I36" s="68"/>
      <c r="J36" s="57"/>
      <c r="K36" s="57"/>
      <c r="L36" s="57"/>
      <c r="M36" s="57"/>
    </row>
    <row r="37" spans="3:13">
      <c r="C37" s="21" t="s">
        <v>442</v>
      </c>
      <c r="E37" s="21" t="s">
        <v>230</v>
      </c>
      <c r="F37" s="33"/>
      <c r="G37" s="57"/>
      <c r="H37" s="54"/>
      <c r="I37" s="68"/>
      <c r="J37" s="57"/>
      <c r="K37" s="57">
        <f>M3+M4+M5+M6+M7+M8</f>
        <v>0</v>
      </c>
      <c r="L37" s="57"/>
      <c r="M37" s="57"/>
    </row>
    <row r="38" spans="3:13">
      <c r="C38" s="21" t="s">
        <v>443</v>
      </c>
      <c r="E38" s="21" t="s">
        <v>230</v>
      </c>
      <c r="F38" s="33"/>
      <c r="G38" s="57"/>
      <c r="H38" s="54"/>
      <c r="I38" s="68"/>
      <c r="J38" s="57"/>
      <c r="K38" s="57">
        <f>M18+M20+M21+M22</f>
        <v>0</v>
      </c>
      <c r="L38" s="57"/>
      <c r="M38" s="57"/>
    </row>
    <row r="39" spans="3:13">
      <c r="C39" s="21" t="s">
        <v>444</v>
      </c>
      <c r="E39" s="21" t="s">
        <v>233</v>
      </c>
      <c r="F39" s="33"/>
      <c r="G39" s="57"/>
      <c r="H39" s="54"/>
      <c r="I39" s="68"/>
      <c r="J39" s="57"/>
      <c r="K39" s="57">
        <f>M11</f>
        <v>0</v>
      </c>
      <c r="L39" s="57"/>
      <c r="M39" s="57"/>
    </row>
    <row r="40" spans="3:13">
      <c r="C40" s="21" t="s">
        <v>445</v>
      </c>
      <c r="E40" s="21" t="s">
        <v>230</v>
      </c>
      <c r="F40" s="33"/>
      <c r="G40" s="57"/>
      <c r="H40" s="54"/>
      <c r="I40" s="68"/>
      <c r="J40" s="57"/>
      <c r="K40" s="57">
        <f>M15+M12</f>
        <v>0</v>
      </c>
      <c r="L40" s="57"/>
      <c r="M40" s="57"/>
    </row>
    <row r="41" spans="3:13">
      <c r="C41" s="21" t="s">
        <v>235</v>
      </c>
      <c r="E41" s="21" t="s">
        <v>230</v>
      </c>
      <c r="F41" s="33"/>
      <c r="G41" s="57"/>
      <c r="H41" s="54"/>
      <c r="I41" s="68"/>
      <c r="J41" s="57"/>
      <c r="K41" s="57">
        <f>M24+M23</f>
        <v>0</v>
      </c>
      <c r="L41" s="57"/>
      <c r="M41" s="57"/>
    </row>
    <row r="42" spans="3:13">
      <c r="C42" s="21" t="s">
        <v>363</v>
      </c>
      <c r="F42" s="33"/>
      <c r="G42" s="57"/>
      <c r="H42" s="54"/>
      <c r="I42" s="68"/>
      <c r="J42" s="57"/>
      <c r="K42" s="57">
        <v>0</v>
      </c>
      <c r="L42" s="57"/>
      <c r="M42" s="57"/>
    </row>
    <row r="43" spans="3:13">
      <c r="C43" s="21" t="s">
        <v>262</v>
      </c>
      <c r="E43" s="21" t="s">
        <v>230</v>
      </c>
      <c r="F43" s="33"/>
      <c r="G43" s="57"/>
      <c r="H43" s="54"/>
      <c r="I43" s="68"/>
      <c r="J43" s="57"/>
      <c r="K43" s="57">
        <f>J33*0.07*N2</f>
        <v>0</v>
      </c>
      <c r="L43" s="57"/>
      <c r="M43" s="57"/>
    </row>
    <row r="44" spans="3:13">
      <c r="K44" s="65">
        <f>K37+K38+K39+K40+K41</f>
        <v>0</v>
      </c>
    </row>
  </sheetData>
  <mergeCells count="6">
    <mergeCell ref="C25:D32"/>
    <mergeCell ref="C3:C9"/>
    <mergeCell ref="C10:C11"/>
    <mergeCell ref="C12:C15"/>
    <mergeCell ref="C16:C22"/>
    <mergeCell ref="C23:C24"/>
  </mergeCells>
  <phoneticPr fontId="37" type="noConversion"/>
  <conditionalFormatting sqref="E39">
    <cfRule type="containsText" dxfId="3" priority="1" operator="containsText" text="方泽斯">
      <formula>NOT(ISERROR(SEARCH("方泽斯",E39)))</formula>
    </cfRule>
  </conditionalFormatting>
  <conditionalFormatting sqref="E31:E32">
    <cfRule type="containsText" dxfId="2" priority="2" operator="containsText" text="方泽斯">
      <formula>NOT(ISERROR(SEARCH("方泽斯",E31)))</formula>
    </cfRule>
  </conditionalFormatting>
  <pageMargins left="0.75" right="0.75" top="1" bottom="1" header="0.51" footer="0.51"/>
  <pageSetup paperSize="9" scale="80" orientation="landscape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Y37"/>
  <sheetViews>
    <sheetView topLeftCell="C1" zoomScaleSheetLayoutView="100" workbookViewId="0">
      <selection activeCell="N3" sqref="N3"/>
    </sheetView>
  </sheetViews>
  <sheetFormatPr defaultRowHeight="13.5"/>
  <cols>
    <col min="1" max="1" width="10.375" style="21" hidden="1" customWidth="1"/>
    <col min="2" max="2" width="7.125" style="21" hidden="1" customWidth="1"/>
    <col min="3" max="3" width="10.875" style="21" customWidth="1"/>
    <col min="4" max="4" width="9" style="21"/>
    <col min="5" max="5" width="9" style="21" customWidth="1"/>
    <col min="6" max="6" width="20.375" style="21" customWidth="1"/>
    <col min="7" max="7" width="13.5" style="59" customWidth="1"/>
    <col min="8" max="8" width="14.125" style="60" bestFit="1" customWidth="1"/>
    <col min="9" max="9" width="16.25" style="61" customWidth="1"/>
    <col min="10" max="10" width="13.625" style="59" customWidth="1"/>
    <col min="11" max="11" width="19.125" style="59" customWidth="1"/>
    <col min="12" max="12" width="10" style="59" customWidth="1"/>
    <col min="13" max="13" width="10.5" style="59" customWidth="1"/>
    <col min="14" max="14" width="9" style="21"/>
    <col min="15" max="15" width="15.75" style="21" customWidth="1"/>
    <col min="16" max="16384" width="9" style="21"/>
  </cols>
  <sheetData>
    <row r="1" spans="1:25">
      <c r="C1" s="21" t="s">
        <v>449</v>
      </c>
    </row>
    <row r="2" spans="1:25" s="22" customFormat="1" ht="21" customHeight="1">
      <c r="A2" s="24"/>
      <c r="B2" s="24"/>
      <c r="C2" s="25" t="s">
        <v>1</v>
      </c>
      <c r="D2" s="25" t="s">
        <v>2</v>
      </c>
      <c r="E2" s="25"/>
      <c r="F2" s="26" t="s">
        <v>3</v>
      </c>
      <c r="G2" s="27" t="s">
        <v>4</v>
      </c>
      <c r="H2" s="28" t="s">
        <v>5</v>
      </c>
      <c r="I2" s="29" t="s">
        <v>6</v>
      </c>
      <c r="J2" s="29" t="s">
        <v>7</v>
      </c>
      <c r="K2" s="38" t="s">
        <v>8</v>
      </c>
      <c r="L2" s="39"/>
      <c r="M2" s="40" t="s">
        <v>9</v>
      </c>
      <c r="N2" s="41">
        <v>7.01</v>
      </c>
      <c r="O2" s="42"/>
      <c r="P2" s="43"/>
      <c r="Q2" s="44"/>
      <c r="R2" s="45"/>
      <c r="S2" s="45"/>
      <c r="W2" s="46"/>
      <c r="X2" s="46"/>
      <c r="Y2" s="46"/>
    </row>
    <row r="3" spans="1:25" ht="15" customHeight="1">
      <c r="A3" s="24"/>
      <c r="B3" s="24"/>
      <c r="C3" s="114" t="s">
        <v>10</v>
      </c>
      <c r="D3" s="21" t="s">
        <v>45</v>
      </c>
      <c r="E3" s="21" t="s">
        <v>298</v>
      </c>
      <c r="F3" s="33" t="s">
        <v>299</v>
      </c>
      <c r="G3" s="57"/>
      <c r="H3" s="54"/>
      <c r="I3" s="57"/>
      <c r="J3" s="57">
        <f>G3*H3*1-I3</f>
        <v>0</v>
      </c>
      <c r="K3" s="57">
        <f>(J3)*0.04*N2</f>
        <v>0</v>
      </c>
      <c r="L3" s="57">
        <f>K3/0.05*0.25</f>
        <v>0</v>
      </c>
      <c r="M3" s="57">
        <f>L3-K3</f>
        <v>0</v>
      </c>
      <c r="N3" s="57"/>
      <c r="O3" s="57"/>
    </row>
    <row r="4" spans="1:25" ht="15" customHeight="1">
      <c r="A4" s="24"/>
      <c r="B4" s="24"/>
      <c r="C4" s="115"/>
      <c r="D4" s="21" t="s">
        <v>39</v>
      </c>
      <c r="E4" s="21" t="s">
        <v>40</v>
      </c>
      <c r="F4" s="33" t="s">
        <v>41</v>
      </c>
      <c r="G4" s="57"/>
      <c r="H4" s="54"/>
      <c r="I4" s="57"/>
      <c r="J4" s="57">
        <f>G4*H4*1-I4</f>
        <v>0</v>
      </c>
      <c r="K4" s="57">
        <f>(J4)*0.05*N2</f>
        <v>0</v>
      </c>
      <c r="L4" s="57">
        <f>K4/0.05*0.25</f>
        <v>0</v>
      </c>
      <c r="M4" s="57">
        <f>L4-K4</f>
        <v>0</v>
      </c>
      <c r="N4" s="57"/>
      <c r="O4" s="57"/>
    </row>
    <row r="5" spans="1:25" ht="15" customHeight="1">
      <c r="A5" s="24"/>
      <c r="B5" s="24"/>
      <c r="C5" s="63" t="s">
        <v>83</v>
      </c>
      <c r="D5" s="21" t="s">
        <v>320</v>
      </c>
      <c r="E5" s="21" t="s">
        <v>99</v>
      </c>
      <c r="F5" s="33" t="s">
        <v>100</v>
      </c>
      <c r="G5" s="57"/>
      <c r="H5" s="54"/>
      <c r="I5" s="57"/>
      <c r="J5" s="57">
        <f>G5*H5*1-I5</f>
        <v>0</v>
      </c>
      <c r="K5" s="57">
        <f>(J5)*0.03*N2</f>
        <v>0</v>
      </c>
      <c r="L5" s="57">
        <f>K5/0.03*0.25</f>
        <v>0</v>
      </c>
      <c r="M5" s="57">
        <f>L5-K5</f>
        <v>0</v>
      </c>
      <c r="N5" s="57"/>
      <c r="O5" s="57"/>
    </row>
    <row r="6" spans="1:25">
      <c r="A6" s="64">
        <v>43556</v>
      </c>
      <c r="B6" s="21" t="s">
        <v>449</v>
      </c>
      <c r="C6" s="105" t="s">
        <v>243</v>
      </c>
      <c r="D6" s="21" t="s">
        <v>128</v>
      </c>
      <c r="E6" s="21" t="s">
        <v>129</v>
      </c>
      <c r="F6" s="33" t="s">
        <v>130</v>
      </c>
      <c r="G6" s="57"/>
      <c r="H6" s="54"/>
      <c r="I6" s="67"/>
      <c r="J6" s="57">
        <f t="shared" ref="J6:J20" si="0">G6*H6*1-I6</f>
        <v>0</v>
      </c>
      <c r="K6" s="57">
        <f>(J6)*0.05*N2</f>
        <v>0</v>
      </c>
      <c r="L6" s="57">
        <f>K6/0.05*0.25</f>
        <v>0</v>
      </c>
      <c r="M6" s="57">
        <f>L6-K6</f>
        <v>0</v>
      </c>
    </row>
    <row r="7" spans="1:25">
      <c r="A7" s="64"/>
      <c r="C7" s="105"/>
      <c r="D7" s="21" t="s">
        <v>111</v>
      </c>
      <c r="E7" s="21" t="s">
        <v>108</v>
      </c>
      <c r="F7" s="33" t="s">
        <v>109</v>
      </c>
      <c r="G7" s="57"/>
      <c r="H7" s="54"/>
      <c r="I7" s="67"/>
      <c r="J7" s="57">
        <f t="shared" si="0"/>
        <v>0</v>
      </c>
      <c r="K7" s="57">
        <f>(J7+J9+J8)*0.03*N2</f>
        <v>0</v>
      </c>
      <c r="L7" s="57">
        <f>K7/0.03*0.25</f>
        <v>0</v>
      </c>
      <c r="M7" s="57">
        <f>L7-K7</f>
        <v>0</v>
      </c>
    </row>
    <row r="8" spans="1:25">
      <c r="A8" s="64"/>
      <c r="C8" s="105"/>
      <c r="D8" s="21" t="s">
        <v>107</v>
      </c>
      <c r="E8" s="21" t="s">
        <v>108</v>
      </c>
      <c r="F8" s="33" t="s">
        <v>109</v>
      </c>
      <c r="G8" s="57"/>
      <c r="H8" s="54"/>
      <c r="I8" s="67"/>
      <c r="J8" s="57">
        <f t="shared" si="0"/>
        <v>0</v>
      </c>
      <c r="K8" s="57"/>
      <c r="L8" s="57"/>
      <c r="M8" s="57"/>
    </row>
    <row r="9" spans="1:25">
      <c r="A9" s="64"/>
      <c r="C9" s="105"/>
      <c r="D9" s="21" t="s">
        <v>138</v>
      </c>
      <c r="E9" s="21" t="s">
        <v>108</v>
      </c>
      <c r="F9" s="33" t="s">
        <v>109</v>
      </c>
      <c r="G9" s="57"/>
      <c r="H9" s="54"/>
      <c r="I9" s="67"/>
      <c r="J9" s="57">
        <f t="shared" si="0"/>
        <v>0</v>
      </c>
      <c r="K9" s="57"/>
      <c r="L9" s="57"/>
      <c r="M9" s="57"/>
    </row>
    <row r="10" spans="1:25">
      <c r="A10" s="64"/>
      <c r="C10" s="105"/>
      <c r="D10" s="21" t="s">
        <v>127</v>
      </c>
      <c r="E10" s="21" t="s">
        <v>117</v>
      </c>
      <c r="F10" s="33" t="s">
        <v>118</v>
      </c>
      <c r="G10" s="57"/>
      <c r="H10" s="54"/>
      <c r="I10" s="67"/>
      <c r="J10" s="57">
        <f t="shared" si="0"/>
        <v>0</v>
      </c>
      <c r="K10" s="57">
        <f>(J10+J11)*0.15*N2</f>
        <v>0</v>
      </c>
      <c r="L10" s="57"/>
      <c r="M10" s="57"/>
    </row>
    <row r="11" spans="1:25">
      <c r="A11" s="64"/>
      <c r="C11" s="105"/>
      <c r="D11" s="21" t="s">
        <v>116</v>
      </c>
      <c r="E11" s="21" t="s">
        <v>117</v>
      </c>
      <c r="F11" s="33" t="s">
        <v>118</v>
      </c>
      <c r="G11" s="57"/>
      <c r="H11" s="54"/>
      <c r="I11" s="67"/>
      <c r="J11" s="57">
        <f t="shared" si="0"/>
        <v>0</v>
      </c>
      <c r="K11" s="57"/>
      <c r="L11" s="57"/>
      <c r="M11" s="57"/>
    </row>
    <row r="12" spans="1:25">
      <c r="A12" s="64"/>
      <c r="C12" s="105"/>
      <c r="D12" s="21" t="s">
        <v>120</v>
      </c>
      <c r="E12" s="21" t="s">
        <v>121</v>
      </c>
      <c r="F12" s="33" t="s">
        <v>122</v>
      </c>
      <c r="G12" s="57"/>
      <c r="H12" s="54"/>
      <c r="I12" s="67"/>
      <c r="J12" s="57">
        <f t="shared" si="0"/>
        <v>0</v>
      </c>
      <c r="K12" s="57">
        <f>(J12)*0.05*N2</f>
        <v>0</v>
      </c>
      <c r="L12" s="57">
        <f>K12/0.05*0.25</f>
        <v>0</v>
      </c>
      <c r="M12" s="57">
        <f t="shared" ref="M12:M16" si="1">L12-K12</f>
        <v>0</v>
      </c>
    </row>
    <row r="13" spans="1:25">
      <c r="A13" s="64"/>
      <c r="C13" s="105"/>
      <c r="D13" s="21" t="s">
        <v>133</v>
      </c>
      <c r="E13" s="21" t="s">
        <v>429</v>
      </c>
      <c r="F13" s="33" t="s">
        <v>430</v>
      </c>
      <c r="G13" s="57"/>
      <c r="H13" s="54"/>
      <c r="I13" s="67"/>
      <c r="J13" s="57">
        <f t="shared" si="0"/>
        <v>0</v>
      </c>
      <c r="K13" s="57">
        <f>(J13)*0.03*N2</f>
        <v>0</v>
      </c>
      <c r="L13" s="57">
        <f t="shared" ref="L13:L16" si="2">K13/0.03*0.25</f>
        <v>0</v>
      </c>
      <c r="M13" s="57">
        <f t="shared" si="1"/>
        <v>0</v>
      </c>
    </row>
    <row r="14" spans="1:25">
      <c r="A14" s="64"/>
      <c r="C14" s="105"/>
      <c r="D14" s="21" t="s">
        <v>112</v>
      </c>
      <c r="E14" s="21" t="s">
        <v>113</v>
      </c>
      <c r="F14" s="33" t="s">
        <v>114</v>
      </c>
      <c r="G14" s="57"/>
      <c r="H14" s="54"/>
      <c r="I14" s="67"/>
      <c r="J14" s="57">
        <f t="shared" si="0"/>
        <v>0</v>
      </c>
      <c r="K14" s="57"/>
      <c r="L14" s="57"/>
      <c r="M14" s="57"/>
    </row>
    <row r="15" spans="1:25">
      <c r="A15" s="64"/>
      <c r="B15" s="21" t="s">
        <v>449</v>
      </c>
      <c r="C15" s="105"/>
      <c r="D15" s="21" t="s">
        <v>137</v>
      </c>
      <c r="E15" s="21" t="s">
        <v>246</v>
      </c>
      <c r="F15" s="33" t="s">
        <v>247</v>
      </c>
      <c r="G15" s="57"/>
      <c r="H15" s="54"/>
      <c r="I15" s="67"/>
      <c r="J15" s="57">
        <f t="shared" si="0"/>
        <v>0</v>
      </c>
      <c r="K15" s="57">
        <f>(J15+J14)*0.03*N2</f>
        <v>0</v>
      </c>
      <c r="L15" s="57">
        <f t="shared" si="2"/>
        <v>0</v>
      </c>
      <c r="M15" s="57">
        <f t="shared" si="1"/>
        <v>0</v>
      </c>
    </row>
    <row r="16" spans="1:25">
      <c r="A16" s="64"/>
      <c r="C16" s="21" t="s">
        <v>397</v>
      </c>
      <c r="D16" s="21" t="s">
        <v>175</v>
      </c>
      <c r="E16" s="21" t="s">
        <v>176</v>
      </c>
      <c r="F16" s="33" t="s">
        <v>177</v>
      </c>
      <c r="G16" s="57"/>
      <c r="H16" s="54"/>
      <c r="I16" s="67"/>
      <c r="J16" s="57">
        <f t="shared" si="0"/>
        <v>0</v>
      </c>
      <c r="K16" s="57">
        <f>(J16)*0.03*N2</f>
        <v>0</v>
      </c>
      <c r="L16" s="57">
        <f t="shared" si="2"/>
        <v>0</v>
      </c>
      <c r="M16" s="57">
        <f t="shared" si="1"/>
        <v>0</v>
      </c>
    </row>
    <row r="17" spans="1:13">
      <c r="A17" s="64"/>
      <c r="C17" s="102" t="s">
        <v>413</v>
      </c>
      <c r="D17" s="21" t="s">
        <v>203</v>
      </c>
      <c r="E17" s="21" t="s">
        <v>93</v>
      </c>
      <c r="F17" s="33" t="s">
        <v>94</v>
      </c>
      <c r="G17" s="57"/>
      <c r="H17" s="54"/>
      <c r="I17" s="67"/>
      <c r="J17" s="57">
        <f t="shared" si="0"/>
        <v>0</v>
      </c>
      <c r="K17" s="57">
        <f>(J17+J18)*0.25*N2</f>
        <v>0</v>
      </c>
      <c r="L17" s="57"/>
      <c r="M17" s="57"/>
    </row>
    <row r="18" spans="1:13">
      <c r="A18" s="64"/>
      <c r="C18" s="104"/>
      <c r="D18" s="21" t="s">
        <v>200</v>
      </c>
      <c r="E18" s="21" t="s">
        <v>93</v>
      </c>
      <c r="F18" s="33" t="s">
        <v>94</v>
      </c>
      <c r="G18" s="57"/>
      <c r="H18" s="54"/>
      <c r="I18" s="67"/>
      <c r="J18" s="57">
        <f t="shared" si="0"/>
        <v>0</v>
      </c>
      <c r="K18" s="57">
        <f>(J18+J19)*0.25*N3</f>
        <v>0</v>
      </c>
      <c r="L18" s="57"/>
      <c r="M18" s="57"/>
    </row>
    <row r="19" spans="1:13">
      <c r="C19" s="105" t="s">
        <v>218</v>
      </c>
      <c r="D19" s="105"/>
      <c r="E19" s="21" t="s">
        <v>219</v>
      </c>
      <c r="F19" s="33" t="s">
        <v>219</v>
      </c>
      <c r="G19" s="57"/>
      <c r="H19" s="54"/>
      <c r="I19" s="67"/>
      <c r="J19" s="57">
        <f t="shared" si="0"/>
        <v>0</v>
      </c>
      <c r="K19" s="57">
        <f>(J3+J4+J5+J6+J7+J8+J10+J11+J12+J13+J14+J15+J16)*0.01*N2+(0)*0.07*N2+(J9)*0.04*N2</f>
        <v>0</v>
      </c>
      <c r="L19" s="57"/>
      <c r="M19" s="57"/>
    </row>
    <row r="20" spans="1:13">
      <c r="C20" s="105"/>
      <c r="D20" s="105"/>
      <c r="E20" s="21" t="s">
        <v>220</v>
      </c>
      <c r="F20" s="33" t="s">
        <v>220</v>
      </c>
      <c r="G20" s="57"/>
      <c r="H20" s="54"/>
      <c r="I20" s="67"/>
      <c r="J20" s="57">
        <f t="shared" si="0"/>
        <v>0</v>
      </c>
      <c r="K20" s="57">
        <f>(0)*0.06*N2+(J11+J15)*0.03*N2+(0)*0.07*N2</f>
        <v>0</v>
      </c>
      <c r="L20" s="57"/>
      <c r="M20" s="57"/>
    </row>
    <row r="21" spans="1:13">
      <c r="C21" s="105"/>
      <c r="D21" s="105"/>
      <c r="E21" s="21" t="s">
        <v>221</v>
      </c>
      <c r="F21" s="33" t="s">
        <v>221</v>
      </c>
      <c r="G21" s="57"/>
      <c r="H21" s="54"/>
      <c r="I21" s="67"/>
      <c r="J21" s="57">
        <f>(G21*H21*0.98)-I21</f>
        <v>0</v>
      </c>
      <c r="K21" s="57">
        <f>(0)*0.07*N2+(J4)*0.06*N2+(0)*0.03*N2</f>
        <v>0</v>
      </c>
      <c r="L21" s="57"/>
      <c r="M21" s="57"/>
    </row>
    <row r="22" spans="1:13">
      <c r="C22" s="105"/>
      <c r="D22" s="105"/>
      <c r="E22" s="21" t="s">
        <v>222</v>
      </c>
      <c r="F22" s="33" t="s">
        <v>222</v>
      </c>
      <c r="G22" s="57"/>
      <c r="H22" s="54"/>
      <c r="I22" s="68"/>
      <c r="J22" s="57">
        <f>(G22*H22*0.98)-I22</f>
        <v>0</v>
      </c>
      <c r="K22" s="57">
        <f>(J5+J6+J7+J12)*0.03*N2</f>
        <v>0</v>
      </c>
      <c r="L22" s="57"/>
      <c r="M22" s="57"/>
    </row>
    <row r="23" spans="1:13">
      <c r="C23" s="105"/>
      <c r="D23" s="105"/>
      <c r="E23" s="21" t="s">
        <v>226</v>
      </c>
      <c r="F23" s="33" t="s">
        <v>226</v>
      </c>
      <c r="G23" s="57"/>
      <c r="H23" s="54"/>
      <c r="I23" s="68"/>
      <c r="J23" s="57">
        <v>0</v>
      </c>
      <c r="K23" s="57">
        <f>(J8+J10)*0.03*N2</f>
        <v>0</v>
      </c>
      <c r="L23" s="57"/>
      <c r="M23" s="57"/>
    </row>
    <row r="24" spans="1:13">
      <c r="C24" s="105"/>
      <c r="D24" s="105"/>
      <c r="E24" s="21" t="s">
        <v>224</v>
      </c>
      <c r="F24" s="33" t="s">
        <v>224</v>
      </c>
      <c r="G24" s="57"/>
      <c r="H24" s="54"/>
      <c r="I24" s="68"/>
      <c r="J24" s="57">
        <v>0</v>
      </c>
      <c r="K24" s="57">
        <f>(J8+J10+J14)*0.03*N2</f>
        <v>0</v>
      </c>
      <c r="L24" s="57"/>
      <c r="M24" s="57"/>
    </row>
    <row r="25" spans="1:13">
      <c r="C25" s="105"/>
      <c r="D25" s="105"/>
      <c r="E25" s="21" t="s">
        <v>225</v>
      </c>
      <c r="F25" s="33" t="s">
        <v>225</v>
      </c>
      <c r="G25" s="57"/>
      <c r="H25" s="54"/>
      <c r="I25" s="68"/>
      <c r="J25" s="57">
        <v>0</v>
      </c>
      <c r="K25" s="57">
        <f>(J3+J13+J14)*0.03*N2+(J16)*0.07*N2</f>
        <v>0</v>
      </c>
      <c r="L25" s="57"/>
      <c r="M25" s="57"/>
    </row>
    <row r="26" spans="1:13">
      <c r="F26" s="58" t="s">
        <v>227</v>
      </c>
      <c r="G26" s="65">
        <f>SUM(G3:G22)</f>
        <v>0</v>
      </c>
      <c r="H26" s="66"/>
      <c r="I26" s="65">
        <f>SUM(I3:I22)</f>
        <v>0</v>
      </c>
      <c r="J26" s="65">
        <f>SUM(J3:J25)</f>
        <v>0</v>
      </c>
      <c r="K26" s="65">
        <f>J26*N2</f>
        <v>0</v>
      </c>
      <c r="L26" s="57"/>
      <c r="M26" s="57"/>
    </row>
    <row r="27" spans="1:13">
      <c r="F27" s="58" t="s">
        <v>228</v>
      </c>
      <c r="G27" s="65"/>
      <c r="H27" s="66"/>
      <c r="I27" s="69"/>
      <c r="J27" s="65"/>
      <c r="K27" s="65">
        <f>K26*0.4</f>
        <v>0</v>
      </c>
      <c r="L27" s="57"/>
      <c r="M27" s="57"/>
    </row>
    <row r="28" spans="1:13">
      <c r="F28" s="58" t="s">
        <v>261</v>
      </c>
      <c r="G28" s="65"/>
      <c r="H28" s="66"/>
      <c r="I28" s="69"/>
      <c r="J28" s="65"/>
      <c r="K28" s="65">
        <f>K26*0.6</f>
        <v>0</v>
      </c>
      <c r="L28" s="57"/>
      <c r="M28" s="57"/>
    </row>
    <row r="29" spans="1:13">
      <c r="F29" s="33"/>
      <c r="G29" s="57"/>
      <c r="H29" s="54"/>
      <c r="I29" s="68"/>
      <c r="J29" s="57"/>
      <c r="K29" s="57"/>
      <c r="L29" s="57"/>
      <c r="M29" s="57"/>
    </row>
    <row r="30" spans="1:13">
      <c r="C30" s="21" t="s">
        <v>442</v>
      </c>
      <c r="E30" s="21" t="s">
        <v>230</v>
      </c>
      <c r="F30" s="33"/>
      <c r="G30" s="57"/>
      <c r="H30" s="54"/>
      <c r="I30" s="68"/>
      <c r="J30" s="57"/>
      <c r="K30" s="57">
        <f>M3+M4</f>
        <v>0</v>
      </c>
      <c r="L30" s="57"/>
      <c r="M30" s="57"/>
    </row>
    <row r="31" spans="1:13">
      <c r="C31" s="21" t="s">
        <v>443</v>
      </c>
      <c r="E31" s="21" t="s">
        <v>230</v>
      </c>
      <c r="F31" s="33"/>
      <c r="G31" s="57"/>
      <c r="H31" s="54"/>
      <c r="I31" s="68"/>
      <c r="J31" s="57"/>
      <c r="K31" s="57">
        <f>M16</f>
        <v>0</v>
      </c>
      <c r="L31" s="57"/>
      <c r="M31" s="57"/>
    </row>
    <row r="32" spans="1:13">
      <c r="C32" s="21" t="s">
        <v>444</v>
      </c>
      <c r="E32" s="21" t="s">
        <v>233</v>
      </c>
      <c r="F32" s="33"/>
      <c r="G32" s="57"/>
      <c r="H32" s="54"/>
      <c r="I32" s="68"/>
      <c r="J32" s="57"/>
      <c r="K32" s="57">
        <f>M5</f>
        <v>0</v>
      </c>
      <c r="L32" s="57"/>
      <c r="M32" s="57"/>
    </row>
    <row r="33" spans="3:13">
      <c r="C33" s="21" t="s">
        <v>445</v>
      </c>
      <c r="E33" s="21" t="s">
        <v>230</v>
      </c>
      <c r="F33" s="33"/>
      <c r="G33" s="57"/>
      <c r="H33" s="54"/>
      <c r="I33" s="68"/>
      <c r="J33" s="57"/>
      <c r="K33" s="57">
        <f>M6+M12+M13+M15+(J10)*0.05*N2+M7</f>
        <v>0</v>
      </c>
      <c r="L33" s="57"/>
      <c r="M33" s="57"/>
    </row>
    <row r="34" spans="3:13">
      <c r="C34" s="21" t="s">
        <v>235</v>
      </c>
      <c r="E34" s="21" t="s">
        <v>230</v>
      </c>
      <c r="F34" s="33"/>
      <c r="G34" s="57"/>
      <c r="H34" s="54"/>
      <c r="I34" s="68"/>
      <c r="J34" s="57"/>
      <c r="K34" s="57"/>
      <c r="L34" s="57"/>
      <c r="M34" s="57"/>
    </row>
    <row r="35" spans="3:13">
      <c r="C35" s="21" t="s">
        <v>363</v>
      </c>
      <c r="F35" s="33"/>
      <c r="G35" s="57"/>
      <c r="H35" s="54"/>
      <c r="I35" s="68"/>
      <c r="J35" s="57"/>
      <c r="K35" s="57">
        <v>0</v>
      </c>
      <c r="L35" s="57"/>
      <c r="M35" s="57"/>
    </row>
    <row r="36" spans="3:13">
      <c r="C36" s="21" t="s">
        <v>262</v>
      </c>
      <c r="E36" s="21" t="s">
        <v>230</v>
      </c>
      <c r="F36" s="33"/>
      <c r="G36" s="57"/>
      <c r="H36" s="54"/>
      <c r="I36" s="68"/>
      <c r="J36" s="57"/>
      <c r="K36" s="57">
        <f>J26*0.07*N2</f>
        <v>0</v>
      </c>
      <c r="L36" s="57"/>
      <c r="M36" s="57"/>
    </row>
    <row r="37" spans="3:13">
      <c r="K37" s="65">
        <f>K30+K31+K32+K33+K34</f>
        <v>0</v>
      </c>
    </row>
  </sheetData>
  <mergeCells count="4">
    <mergeCell ref="C3:C4"/>
    <mergeCell ref="C6:C15"/>
    <mergeCell ref="C17:C18"/>
    <mergeCell ref="C19:D25"/>
  </mergeCells>
  <phoneticPr fontId="37" type="noConversion"/>
  <conditionalFormatting sqref="E25">
    <cfRule type="containsText" dxfId="1" priority="2" operator="containsText" text="方泽斯">
      <formula>NOT(ISERROR(SEARCH("方泽斯",E25)))</formula>
    </cfRule>
  </conditionalFormatting>
  <conditionalFormatting sqref="E32">
    <cfRule type="containsText" dxfId="0" priority="1" operator="containsText" text="方泽斯">
      <formula>NOT(ISERROR(SEARCH("方泽斯",E32)))</formula>
    </cfRule>
  </conditionalFormatting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07"/>
  <sheetViews>
    <sheetView tabSelected="1" topLeftCell="C1" zoomScaleSheetLayoutView="100" workbookViewId="0">
      <pane ySplit="2" topLeftCell="A31" activePane="bottomLeft" state="frozen"/>
      <selection pane="bottomLeft" activeCell="F57" sqref="F57"/>
    </sheetView>
  </sheetViews>
  <sheetFormatPr defaultRowHeight="13.5"/>
  <cols>
    <col min="1" max="1" width="12" style="21" hidden="1" customWidth="1"/>
    <col min="2" max="2" width="8" style="21" hidden="1" customWidth="1"/>
    <col min="3" max="3" width="10.75" style="21" customWidth="1"/>
    <col min="4" max="4" width="9.625" style="21" customWidth="1"/>
    <col min="5" max="5" width="9" style="21" customWidth="1"/>
    <col min="6" max="6" width="18.25" style="21" customWidth="1"/>
    <col min="7" max="7" width="14.625" style="59" customWidth="1"/>
    <col min="8" max="8" width="10" style="60" customWidth="1"/>
    <col min="9" max="9" width="15.5" style="88" customWidth="1"/>
    <col min="10" max="10" width="16.125" style="59" customWidth="1"/>
    <col min="11" max="11" width="14.125" style="59" customWidth="1"/>
    <col min="12" max="12" width="12.25" style="59" customWidth="1"/>
    <col min="13" max="13" width="13" style="59" customWidth="1"/>
    <col min="14" max="14" width="9" style="21"/>
    <col min="15" max="15" width="15.75" style="21" customWidth="1"/>
    <col min="16" max="16384" width="9" style="21"/>
  </cols>
  <sheetData>
    <row r="1" spans="1:25">
      <c r="C1" s="21" t="s">
        <v>237</v>
      </c>
    </row>
    <row r="2" spans="1:25" s="22" customFormat="1" ht="21" customHeight="1">
      <c r="A2" s="24"/>
      <c r="B2" s="24"/>
      <c r="C2" s="25" t="s">
        <v>1</v>
      </c>
      <c r="D2" s="25" t="s">
        <v>2</v>
      </c>
      <c r="E2" s="25"/>
      <c r="F2" s="26" t="s">
        <v>3</v>
      </c>
      <c r="G2" s="27" t="s">
        <v>4</v>
      </c>
      <c r="H2" s="28" t="s">
        <v>5</v>
      </c>
      <c r="I2" s="29" t="s">
        <v>6</v>
      </c>
      <c r="J2" s="29" t="s">
        <v>7</v>
      </c>
      <c r="K2" s="38" t="s">
        <v>8</v>
      </c>
      <c r="L2" s="39"/>
      <c r="M2" s="40" t="s">
        <v>9</v>
      </c>
      <c r="N2" s="41">
        <v>7.01</v>
      </c>
      <c r="O2" s="42"/>
      <c r="P2" s="43"/>
      <c r="Q2" s="44"/>
      <c r="R2" s="45"/>
      <c r="S2" s="45"/>
      <c r="W2" s="46"/>
      <c r="X2" s="46"/>
      <c r="Y2" s="46"/>
    </row>
    <row r="3" spans="1:25">
      <c r="A3" s="64">
        <v>43556</v>
      </c>
      <c r="B3" s="21" t="s">
        <v>237</v>
      </c>
      <c r="C3" s="102" t="s">
        <v>10</v>
      </c>
      <c r="D3" s="21" t="s">
        <v>19</v>
      </c>
      <c r="E3" s="21" t="s">
        <v>20</v>
      </c>
      <c r="F3" s="33" t="s">
        <v>21</v>
      </c>
      <c r="G3" s="57"/>
      <c r="H3" s="54"/>
      <c r="I3" s="67"/>
      <c r="J3" s="57">
        <f t="shared" ref="J3:J20" si="0">G3*H3*0.98-I3</f>
        <v>0</v>
      </c>
      <c r="K3" s="57">
        <f>(J3+J4+J5)*0.015*N2</f>
        <v>0</v>
      </c>
      <c r="L3" s="57">
        <f>K3/0.015*0.25</f>
        <v>0</v>
      </c>
      <c r="M3" s="57">
        <f>L3-K3</f>
        <v>0</v>
      </c>
    </row>
    <row r="4" spans="1:25">
      <c r="A4" s="64">
        <v>43556</v>
      </c>
      <c r="B4" s="21" t="s">
        <v>237</v>
      </c>
      <c r="C4" s="103"/>
      <c r="D4" s="21" t="s">
        <v>19</v>
      </c>
      <c r="E4" s="21" t="s">
        <v>20</v>
      </c>
      <c r="F4" s="33" t="s">
        <v>22</v>
      </c>
      <c r="G4" s="57"/>
      <c r="H4" s="54"/>
      <c r="I4" s="67"/>
      <c r="J4" s="57">
        <f t="shared" si="0"/>
        <v>0</v>
      </c>
      <c r="K4" s="57"/>
      <c r="L4" s="57"/>
      <c r="M4" s="57"/>
    </row>
    <row r="5" spans="1:25">
      <c r="A5" s="64">
        <v>43556</v>
      </c>
      <c r="B5" s="21" t="s">
        <v>237</v>
      </c>
      <c r="C5" s="103"/>
      <c r="D5" s="21" t="s">
        <v>19</v>
      </c>
      <c r="E5" s="21" t="s">
        <v>20</v>
      </c>
      <c r="F5" s="33" t="s">
        <v>23</v>
      </c>
      <c r="G5" s="57"/>
      <c r="H5" s="54"/>
      <c r="I5" s="67"/>
      <c r="J5" s="57">
        <f t="shared" si="0"/>
        <v>0</v>
      </c>
      <c r="K5" s="57"/>
      <c r="L5" s="57"/>
      <c r="M5" s="57"/>
    </row>
    <row r="6" spans="1:25">
      <c r="A6" s="64">
        <v>43556</v>
      </c>
      <c r="B6" s="21" t="s">
        <v>237</v>
      </c>
      <c r="C6" s="103"/>
      <c r="D6" s="21" t="s">
        <v>11</v>
      </c>
      <c r="E6" s="21" t="s">
        <v>12</v>
      </c>
      <c r="F6" s="33" t="s">
        <v>13</v>
      </c>
      <c r="G6" s="57"/>
      <c r="H6" s="54"/>
      <c r="I6" s="67"/>
      <c r="J6" s="57">
        <f t="shared" si="0"/>
        <v>0</v>
      </c>
      <c r="K6" s="57">
        <f>(J6+J7+J8)*0.025*N2</f>
        <v>0</v>
      </c>
      <c r="L6" s="57">
        <f>K6/0.025*0.25</f>
        <v>0</v>
      </c>
      <c r="M6" s="57">
        <f>L6-K6</f>
        <v>0</v>
      </c>
    </row>
    <row r="7" spans="1:25">
      <c r="A7" s="64">
        <v>43556</v>
      </c>
      <c r="B7" s="21" t="s">
        <v>237</v>
      </c>
      <c r="C7" s="103"/>
      <c r="D7" s="21" t="s">
        <v>11</v>
      </c>
      <c r="E7" s="21" t="s">
        <v>12</v>
      </c>
      <c r="F7" s="33" t="s">
        <v>14</v>
      </c>
      <c r="G7" s="57"/>
      <c r="H7" s="54"/>
      <c r="I7" s="67"/>
      <c r="J7" s="57">
        <f t="shared" si="0"/>
        <v>0</v>
      </c>
      <c r="K7" s="57"/>
      <c r="L7" s="57"/>
      <c r="M7" s="57"/>
    </row>
    <row r="8" spans="1:25">
      <c r="A8" s="64">
        <v>43556</v>
      </c>
      <c r="B8" s="21" t="s">
        <v>237</v>
      </c>
      <c r="C8" s="103"/>
      <c r="D8" s="21" t="s">
        <v>11</v>
      </c>
      <c r="E8" s="21" t="s">
        <v>12</v>
      </c>
      <c r="F8" s="33" t="s">
        <v>15</v>
      </c>
      <c r="G8" s="57"/>
      <c r="H8" s="54"/>
      <c r="I8" s="67"/>
      <c r="J8" s="57">
        <f t="shared" si="0"/>
        <v>0</v>
      </c>
      <c r="K8" s="57"/>
      <c r="L8" s="57"/>
      <c r="M8" s="57"/>
    </row>
    <row r="9" spans="1:25">
      <c r="A9" s="64">
        <v>43556</v>
      </c>
      <c r="B9" s="21" t="s">
        <v>237</v>
      </c>
      <c r="C9" s="103"/>
      <c r="D9" s="21" t="s">
        <v>39</v>
      </c>
      <c r="E9" s="21" t="s">
        <v>40</v>
      </c>
      <c r="F9" s="33" t="s">
        <v>41</v>
      </c>
      <c r="G9" s="57"/>
      <c r="H9" s="54"/>
      <c r="I9" s="67"/>
      <c r="J9" s="57">
        <f t="shared" si="0"/>
        <v>0</v>
      </c>
      <c r="K9" s="57">
        <f>(J9+J10+J12+J11)*0.05*N2</f>
        <v>0</v>
      </c>
      <c r="L9" s="57">
        <f>K9/0.05*0.25</f>
        <v>0</v>
      </c>
      <c r="M9" s="57">
        <f>L9-K9</f>
        <v>0</v>
      </c>
    </row>
    <row r="10" spans="1:25">
      <c r="A10" s="64">
        <v>43556</v>
      </c>
      <c r="B10" s="21" t="s">
        <v>237</v>
      </c>
      <c r="C10" s="103"/>
      <c r="D10" s="21" t="s">
        <v>39</v>
      </c>
      <c r="E10" s="21" t="s">
        <v>40</v>
      </c>
      <c r="F10" s="33" t="s">
        <v>42</v>
      </c>
      <c r="G10" s="57"/>
      <c r="H10" s="54"/>
      <c r="I10" s="67"/>
      <c r="J10" s="57">
        <f t="shared" si="0"/>
        <v>0</v>
      </c>
      <c r="K10" s="57"/>
      <c r="L10" s="57"/>
      <c r="M10" s="57"/>
    </row>
    <row r="11" spans="1:25">
      <c r="A11" s="64">
        <v>43556</v>
      </c>
      <c r="B11" s="21" t="s">
        <v>237</v>
      </c>
      <c r="C11" s="103"/>
      <c r="D11" s="21" t="s">
        <v>39</v>
      </c>
      <c r="E11" s="21" t="s">
        <v>40</v>
      </c>
      <c r="F11" s="33" t="s">
        <v>43</v>
      </c>
      <c r="G11" s="57"/>
      <c r="H11" s="54"/>
      <c r="I11" s="67"/>
      <c r="J11" s="57">
        <f t="shared" si="0"/>
        <v>0</v>
      </c>
      <c r="K11" s="57"/>
      <c r="L11" s="57"/>
      <c r="M11" s="57"/>
    </row>
    <row r="12" spans="1:25">
      <c r="A12" s="64">
        <v>43556</v>
      </c>
      <c r="B12" s="21" t="s">
        <v>237</v>
      </c>
      <c r="C12" s="103"/>
      <c r="D12" s="21" t="s">
        <v>44</v>
      </c>
      <c r="E12" s="21" t="s">
        <v>40</v>
      </c>
      <c r="F12" s="33" t="s">
        <v>41</v>
      </c>
      <c r="G12" s="57"/>
      <c r="H12" s="54"/>
      <c r="I12" s="85"/>
      <c r="J12" s="57">
        <f t="shared" si="0"/>
        <v>0</v>
      </c>
      <c r="K12" s="57"/>
      <c r="L12" s="57"/>
      <c r="M12" s="57"/>
    </row>
    <row r="13" spans="1:25">
      <c r="A13" s="64">
        <v>43556</v>
      </c>
      <c r="B13" s="21" t="s">
        <v>237</v>
      </c>
      <c r="C13" s="103"/>
      <c r="D13" s="21" t="s">
        <v>32</v>
      </c>
      <c r="E13" s="21" t="s">
        <v>33</v>
      </c>
      <c r="F13" s="33" t="s">
        <v>34</v>
      </c>
      <c r="G13" s="57"/>
      <c r="H13" s="54"/>
      <c r="I13" s="67"/>
      <c r="J13" s="57">
        <f t="shared" si="0"/>
        <v>0</v>
      </c>
      <c r="K13" s="57">
        <f>(J13+J15+J16+J14)*0.2*N2</f>
        <v>0</v>
      </c>
      <c r="L13" s="57"/>
      <c r="M13" s="57"/>
    </row>
    <row r="14" spans="1:25">
      <c r="A14" s="64">
        <v>43556</v>
      </c>
      <c r="B14" s="21" t="s">
        <v>237</v>
      </c>
      <c r="C14" s="103"/>
      <c r="D14" s="21" t="s">
        <v>32</v>
      </c>
      <c r="E14" s="21" t="s">
        <v>33</v>
      </c>
      <c r="F14" s="33" t="s">
        <v>35</v>
      </c>
      <c r="G14" s="57"/>
      <c r="H14" s="54"/>
      <c r="I14" s="67"/>
      <c r="J14" s="57">
        <f t="shared" si="0"/>
        <v>0</v>
      </c>
      <c r="K14" s="57"/>
      <c r="L14" s="57"/>
      <c r="M14" s="57"/>
    </row>
    <row r="15" spans="1:25">
      <c r="A15" s="64">
        <v>43556</v>
      </c>
      <c r="B15" s="21" t="s">
        <v>237</v>
      </c>
      <c r="C15" s="103"/>
      <c r="D15" s="21" t="s">
        <v>32</v>
      </c>
      <c r="E15" s="21" t="s">
        <v>33</v>
      </c>
      <c r="F15" s="33" t="s">
        <v>36</v>
      </c>
      <c r="G15" s="57"/>
      <c r="H15" s="54"/>
      <c r="I15" s="67"/>
      <c r="J15" s="57">
        <f t="shared" si="0"/>
        <v>0</v>
      </c>
      <c r="K15" s="57"/>
      <c r="L15" s="57"/>
      <c r="M15" s="57"/>
    </row>
    <row r="16" spans="1:25">
      <c r="A16" s="64">
        <v>43556</v>
      </c>
      <c r="B16" s="21" t="s">
        <v>237</v>
      </c>
      <c r="C16" s="103"/>
      <c r="D16" s="21" t="s">
        <v>38</v>
      </c>
      <c r="E16" s="21" t="s">
        <v>33</v>
      </c>
      <c r="F16" s="33" t="s">
        <v>35</v>
      </c>
      <c r="G16" s="57"/>
      <c r="H16" s="54"/>
      <c r="I16" s="67"/>
      <c r="J16" s="57">
        <f t="shared" si="0"/>
        <v>0</v>
      </c>
      <c r="K16" s="57"/>
      <c r="L16" s="57"/>
      <c r="M16" s="57"/>
    </row>
    <row r="17" spans="1:13">
      <c r="A17" s="64">
        <v>43556</v>
      </c>
      <c r="B17" s="21" t="s">
        <v>237</v>
      </c>
      <c r="C17" s="103"/>
      <c r="D17" s="21" t="s">
        <v>51</v>
      </c>
      <c r="E17" s="21" t="s">
        <v>52</v>
      </c>
      <c r="F17" s="33" t="s">
        <v>53</v>
      </c>
      <c r="G17" s="57"/>
      <c r="H17" s="54"/>
      <c r="I17" s="67"/>
      <c r="J17" s="57">
        <f t="shared" si="0"/>
        <v>0</v>
      </c>
      <c r="K17" s="57">
        <f>(J17+J18)*0.05*N2</f>
        <v>0</v>
      </c>
      <c r="L17" s="57">
        <f>K17/0.05*0.25</f>
        <v>0</v>
      </c>
      <c r="M17" s="57">
        <f>L17-K17</f>
        <v>0</v>
      </c>
    </row>
    <row r="18" spans="1:13">
      <c r="A18" s="64">
        <v>43556</v>
      </c>
      <c r="B18" s="21" t="s">
        <v>237</v>
      </c>
      <c r="C18" s="103"/>
      <c r="D18" s="21" t="s">
        <v>51</v>
      </c>
      <c r="E18" s="21" t="s">
        <v>52</v>
      </c>
      <c r="F18" s="33" t="s">
        <v>54</v>
      </c>
      <c r="G18" s="57"/>
      <c r="H18" s="54"/>
      <c r="I18" s="67"/>
      <c r="J18" s="57">
        <f t="shared" si="0"/>
        <v>0</v>
      </c>
      <c r="K18" s="57"/>
      <c r="L18" s="57"/>
      <c r="M18" s="57"/>
    </row>
    <row r="19" spans="1:13">
      <c r="A19" s="64">
        <v>43556</v>
      </c>
      <c r="B19" s="21" t="s">
        <v>237</v>
      </c>
      <c r="C19" s="103"/>
      <c r="D19" s="21" t="s">
        <v>45</v>
      </c>
      <c r="E19" s="21" t="s">
        <v>46</v>
      </c>
      <c r="F19" s="33" t="s">
        <v>47</v>
      </c>
      <c r="G19" s="57"/>
      <c r="H19" s="54"/>
      <c r="I19" s="67"/>
      <c r="J19" s="57">
        <f t="shared" si="0"/>
        <v>0</v>
      </c>
      <c r="K19" s="57">
        <f>(J19+J20)*0.03*N2</f>
        <v>0</v>
      </c>
      <c r="L19" s="57">
        <f>K19/0.03*0.25</f>
        <v>0</v>
      </c>
      <c r="M19" s="57">
        <f>L19-K19</f>
        <v>0</v>
      </c>
    </row>
    <row r="20" spans="1:13">
      <c r="A20" s="64">
        <v>43556</v>
      </c>
      <c r="B20" s="21" t="s">
        <v>237</v>
      </c>
      <c r="C20" s="103"/>
      <c r="D20" s="21" t="s">
        <v>45</v>
      </c>
      <c r="E20" s="21" t="s">
        <v>46</v>
      </c>
      <c r="F20" s="33" t="s">
        <v>48</v>
      </c>
      <c r="G20" s="57"/>
      <c r="H20" s="54"/>
      <c r="I20" s="67"/>
      <c r="J20" s="57">
        <f t="shared" si="0"/>
        <v>0</v>
      </c>
      <c r="K20" s="57"/>
      <c r="L20" s="57"/>
      <c r="M20" s="57"/>
    </row>
    <row r="21" spans="1:13">
      <c r="A21" s="64">
        <v>43556</v>
      </c>
      <c r="B21" s="21" t="s">
        <v>237</v>
      </c>
      <c r="C21" s="103"/>
      <c r="D21" s="21" t="s">
        <v>56</v>
      </c>
      <c r="E21" s="21" t="s">
        <v>57</v>
      </c>
      <c r="F21" s="33" t="s">
        <v>58</v>
      </c>
      <c r="G21" s="57"/>
      <c r="H21" s="54"/>
      <c r="I21" s="67"/>
      <c r="J21" s="57">
        <f t="shared" ref="J21:J51" si="1">G21*H21*0.98-I21</f>
        <v>0</v>
      </c>
      <c r="K21" s="57">
        <f>(J21+J22+J23+J24)*0.05*N2</f>
        <v>0</v>
      </c>
      <c r="L21" s="57">
        <f t="shared" ref="L21:L25" si="2">K21/0.05*0.25</f>
        <v>0</v>
      </c>
      <c r="M21" s="57">
        <f t="shared" ref="M21:M25" si="3">L21-K21</f>
        <v>0</v>
      </c>
    </row>
    <row r="22" spans="1:13">
      <c r="A22" s="64">
        <v>43556</v>
      </c>
      <c r="B22" s="21" t="s">
        <v>237</v>
      </c>
      <c r="C22" s="103"/>
      <c r="D22" s="21" t="s">
        <v>56</v>
      </c>
      <c r="E22" s="21" t="s">
        <v>57</v>
      </c>
      <c r="F22" s="33" t="s">
        <v>59</v>
      </c>
      <c r="G22" s="57"/>
      <c r="H22" s="54"/>
      <c r="I22" s="67"/>
      <c r="J22" s="57">
        <f t="shared" si="1"/>
        <v>0</v>
      </c>
      <c r="K22" s="57"/>
      <c r="L22" s="57"/>
      <c r="M22" s="57"/>
    </row>
    <row r="23" spans="1:13">
      <c r="A23" s="64">
        <v>43556</v>
      </c>
      <c r="B23" s="21" t="s">
        <v>237</v>
      </c>
      <c r="C23" s="103"/>
      <c r="D23" s="21" t="s">
        <v>61</v>
      </c>
      <c r="E23" s="21" t="s">
        <v>57</v>
      </c>
      <c r="F23" s="33" t="s">
        <v>58</v>
      </c>
      <c r="G23" s="57"/>
      <c r="H23" s="54"/>
      <c r="I23" s="67"/>
      <c r="J23" s="57">
        <f t="shared" si="1"/>
        <v>0</v>
      </c>
      <c r="K23" s="57"/>
      <c r="L23" s="57">
        <f t="shared" si="2"/>
        <v>0</v>
      </c>
      <c r="M23" s="57">
        <f t="shared" si="3"/>
        <v>0</v>
      </c>
    </row>
    <row r="24" spans="1:13">
      <c r="A24" s="64">
        <v>43556</v>
      </c>
      <c r="B24" s="21" t="s">
        <v>237</v>
      </c>
      <c r="C24" s="103"/>
      <c r="D24" s="21" t="s">
        <v>61</v>
      </c>
      <c r="E24" s="21" t="s">
        <v>57</v>
      </c>
      <c r="F24" s="33" t="s">
        <v>59</v>
      </c>
      <c r="G24" s="57"/>
      <c r="H24" s="54"/>
      <c r="I24" s="67"/>
      <c r="J24" s="57">
        <f t="shared" si="1"/>
        <v>0</v>
      </c>
      <c r="K24" s="57"/>
      <c r="L24" s="57"/>
      <c r="M24" s="57"/>
    </row>
    <row r="25" spans="1:13">
      <c r="A25" s="64">
        <v>43556</v>
      </c>
      <c r="B25" s="21" t="s">
        <v>237</v>
      </c>
      <c r="C25" s="103"/>
      <c r="D25" s="21" t="s">
        <v>62</v>
      </c>
      <c r="E25" s="21" t="s">
        <v>63</v>
      </c>
      <c r="F25" s="33" t="s">
        <v>64</v>
      </c>
      <c r="G25" s="57"/>
      <c r="H25" s="54"/>
      <c r="I25" s="68"/>
      <c r="J25" s="57">
        <f t="shared" si="1"/>
        <v>0</v>
      </c>
      <c r="K25" s="57">
        <f>(J25+J26+J27+J28)*0.05*N2</f>
        <v>0</v>
      </c>
      <c r="L25" s="57">
        <f t="shared" si="2"/>
        <v>0</v>
      </c>
      <c r="M25" s="57">
        <f t="shared" si="3"/>
        <v>0</v>
      </c>
    </row>
    <row r="26" spans="1:13">
      <c r="A26" s="64"/>
      <c r="C26" s="103"/>
      <c r="D26" s="21" t="s">
        <v>62</v>
      </c>
      <c r="E26" s="21" t="s">
        <v>63</v>
      </c>
      <c r="F26" s="33" t="s">
        <v>65</v>
      </c>
      <c r="G26" s="57"/>
      <c r="H26" s="54"/>
      <c r="I26" s="68"/>
      <c r="J26" s="57">
        <f t="shared" si="1"/>
        <v>0</v>
      </c>
      <c r="K26" s="57"/>
      <c r="L26" s="57"/>
      <c r="M26" s="57"/>
    </row>
    <row r="27" spans="1:13">
      <c r="A27" s="64">
        <v>43556</v>
      </c>
      <c r="B27" s="21" t="s">
        <v>237</v>
      </c>
      <c r="C27" s="103"/>
      <c r="D27" s="21" t="s">
        <v>66</v>
      </c>
      <c r="E27" s="21" t="s">
        <v>63</v>
      </c>
      <c r="F27" s="33" t="s">
        <v>64</v>
      </c>
      <c r="G27" s="57"/>
      <c r="H27" s="54"/>
      <c r="I27" s="68"/>
      <c r="J27" s="57">
        <f t="shared" si="1"/>
        <v>0</v>
      </c>
      <c r="K27" s="57"/>
      <c r="L27" s="57"/>
      <c r="M27" s="57"/>
    </row>
    <row r="28" spans="1:13">
      <c r="A28" s="64">
        <v>43556</v>
      </c>
      <c r="B28" s="21" t="s">
        <v>237</v>
      </c>
      <c r="C28" s="103"/>
      <c r="D28" s="21" t="s">
        <v>66</v>
      </c>
      <c r="E28" s="21" t="s">
        <v>63</v>
      </c>
      <c r="F28" s="33" t="s">
        <v>65</v>
      </c>
      <c r="G28" s="57"/>
      <c r="H28" s="54"/>
      <c r="I28" s="67"/>
      <c r="J28" s="57">
        <f t="shared" si="1"/>
        <v>0</v>
      </c>
      <c r="K28" s="57"/>
      <c r="L28" s="57"/>
      <c r="M28" s="57"/>
    </row>
    <row r="29" spans="1:13">
      <c r="A29" s="64"/>
      <c r="C29" s="103"/>
      <c r="D29" s="21" t="s">
        <v>67</v>
      </c>
      <c r="E29" s="21" t="s">
        <v>68</v>
      </c>
      <c r="F29" s="33" t="s">
        <v>69</v>
      </c>
      <c r="G29" s="57"/>
      <c r="H29" s="54"/>
      <c r="I29" s="67"/>
      <c r="J29" s="57">
        <f t="shared" si="1"/>
        <v>0</v>
      </c>
      <c r="K29" s="57">
        <f>(J29)*0.05*N2</f>
        <v>0</v>
      </c>
      <c r="L29" s="57"/>
      <c r="M29" s="57"/>
    </row>
    <row r="30" spans="1:13">
      <c r="A30" s="64">
        <v>43556</v>
      </c>
      <c r="B30" s="21" t="s">
        <v>237</v>
      </c>
      <c r="C30" s="103"/>
      <c r="D30" s="21" t="s">
        <v>61</v>
      </c>
      <c r="E30" s="21" t="s">
        <v>238</v>
      </c>
      <c r="F30" s="33" t="s">
        <v>239</v>
      </c>
      <c r="G30" s="57"/>
      <c r="H30" s="54"/>
      <c r="I30" s="67"/>
      <c r="J30" s="57">
        <f t="shared" si="1"/>
        <v>0</v>
      </c>
      <c r="K30" s="57"/>
      <c r="L30" s="57">
        <f t="shared" ref="L30:L34" si="4">K30/0.05*0.25</f>
        <v>0</v>
      </c>
      <c r="M30" s="57">
        <f t="shared" ref="M30:M34" si="5">L30-K30</f>
        <v>0</v>
      </c>
    </row>
    <row r="31" spans="1:13">
      <c r="A31" s="64">
        <v>43556</v>
      </c>
      <c r="B31" s="21" t="s">
        <v>237</v>
      </c>
      <c r="C31" s="103"/>
      <c r="D31" s="21" t="s">
        <v>77</v>
      </c>
      <c r="E31" s="21" t="s">
        <v>12</v>
      </c>
      <c r="F31" s="33" t="s">
        <v>13</v>
      </c>
      <c r="G31" s="57"/>
      <c r="H31" s="54"/>
      <c r="I31" s="67"/>
      <c r="J31" s="57">
        <f t="shared" si="1"/>
        <v>0</v>
      </c>
      <c r="K31" s="57">
        <f>(J31+J32)*0.05*N2</f>
        <v>0</v>
      </c>
      <c r="L31" s="57">
        <f t="shared" si="4"/>
        <v>0</v>
      </c>
      <c r="M31" s="57">
        <f t="shared" si="5"/>
        <v>0</v>
      </c>
    </row>
    <row r="32" spans="1:13">
      <c r="A32" s="64">
        <v>43556</v>
      </c>
      <c r="B32" s="21" t="s">
        <v>237</v>
      </c>
      <c r="C32" s="103"/>
      <c r="D32" s="21" t="s">
        <v>77</v>
      </c>
      <c r="E32" s="21" t="s">
        <v>12</v>
      </c>
      <c r="F32" s="33" t="s">
        <v>15</v>
      </c>
      <c r="G32" s="57"/>
      <c r="H32" s="54"/>
      <c r="I32" s="67"/>
      <c r="J32" s="57">
        <f t="shared" si="1"/>
        <v>0</v>
      </c>
      <c r="K32" s="57"/>
      <c r="L32" s="57"/>
      <c r="M32" s="57"/>
    </row>
    <row r="33" spans="1:13">
      <c r="A33" s="64">
        <v>43556</v>
      </c>
      <c r="B33" s="21" t="s">
        <v>237</v>
      </c>
      <c r="C33" s="103"/>
      <c r="D33" s="21" t="s">
        <v>30</v>
      </c>
      <c r="E33" s="21" t="s">
        <v>20</v>
      </c>
      <c r="F33" s="33" t="s">
        <v>21</v>
      </c>
      <c r="G33" s="57"/>
      <c r="H33" s="54"/>
      <c r="I33" s="67"/>
      <c r="J33" s="57">
        <f t="shared" si="1"/>
        <v>0</v>
      </c>
      <c r="K33" s="57"/>
      <c r="L33" s="57"/>
      <c r="M33" s="57"/>
    </row>
    <row r="34" spans="1:13">
      <c r="A34" s="64">
        <v>43556</v>
      </c>
      <c r="B34" s="21" t="s">
        <v>237</v>
      </c>
      <c r="C34" s="103"/>
      <c r="D34" s="21" t="s">
        <v>30</v>
      </c>
      <c r="E34" s="21" t="s">
        <v>20</v>
      </c>
      <c r="F34" s="33" t="s">
        <v>23</v>
      </c>
      <c r="G34" s="57"/>
      <c r="H34" s="54"/>
      <c r="I34" s="67"/>
      <c r="J34" s="57">
        <f t="shared" si="1"/>
        <v>0</v>
      </c>
      <c r="K34" s="57">
        <f>(J33+J34+J35+J36)*0.05*N2</f>
        <v>0</v>
      </c>
      <c r="L34" s="57">
        <f t="shared" si="4"/>
        <v>0</v>
      </c>
      <c r="M34" s="57">
        <f t="shared" si="5"/>
        <v>0</v>
      </c>
    </row>
    <row r="35" spans="1:13">
      <c r="A35" s="64">
        <v>43556</v>
      </c>
      <c r="B35" s="21" t="s">
        <v>237</v>
      </c>
      <c r="C35" s="103"/>
      <c r="D35" s="21" t="s">
        <v>31</v>
      </c>
      <c r="E35" s="21" t="s">
        <v>20</v>
      </c>
      <c r="F35" s="33" t="s">
        <v>21</v>
      </c>
      <c r="G35" s="57"/>
      <c r="H35" s="54"/>
      <c r="I35" s="67"/>
      <c r="J35" s="57">
        <f t="shared" si="1"/>
        <v>0</v>
      </c>
      <c r="K35" s="57"/>
      <c r="L35" s="57"/>
      <c r="M35" s="57"/>
    </row>
    <row r="36" spans="1:13">
      <c r="A36" s="64">
        <v>43556</v>
      </c>
      <c r="B36" s="21" t="s">
        <v>237</v>
      </c>
      <c r="C36" s="103"/>
      <c r="D36" s="21" t="s">
        <v>31</v>
      </c>
      <c r="E36" s="21" t="s">
        <v>20</v>
      </c>
      <c r="F36" s="33" t="s">
        <v>23</v>
      </c>
      <c r="G36" s="57"/>
      <c r="H36" s="54"/>
      <c r="I36" s="67"/>
      <c r="J36" s="57">
        <f t="shared" si="1"/>
        <v>0</v>
      </c>
      <c r="K36" s="57"/>
      <c r="L36" s="57"/>
      <c r="M36" s="57"/>
    </row>
    <row r="37" spans="1:13">
      <c r="A37" s="64">
        <v>43556</v>
      </c>
      <c r="B37" s="21" t="s">
        <v>237</v>
      </c>
      <c r="C37" s="103"/>
      <c r="D37" s="21" t="s">
        <v>78</v>
      </c>
      <c r="E37" s="21" t="s">
        <v>240</v>
      </c>
      <c r="F37" s="33" t="s">
        <v>241</v>
      </c>
      <c r="G37" s="57"/>
      <c r="H37" s="54"/>
      <c r="I37" s="67"/>
      <c r="J37" s="57">
        <f t="shared" si="1"/>
        <v>0</v>
      </c>
      <c r="K37" s="57">
        <f>(J37)*0.03*N2</f>
        <v>0</v>
      </c>
      <c r="L37" s="57"/>
      <c r="M37" s="57"/>
    </row>
    <row r="38" spans="1:13">
      <c r="A38" s="64">
        <v>43556</v>
      </c>
      <c r="B38" s="21" t="s">
        <v>237</v>
      </c>
      <c r="C38" s="103"/>
      <c r="D38" s="21" t="s">
        <v>24</v>
      </c>
      <c r="E38" s="21" t="s">
        <v>17</v>
      </c>
      <c r="F38" s="33" t="s">
        <v>242</v>
      </c>
      <c r="G38" s="57"/>
      <c r="H38" s="54"/>
      <c r="I38" s="67"/>
      <c r="J38" s="57">
        <f t="shared" si="1"/>
        <v>0</v>
      </c>
      <c r="K38" s="57">
        <f>(J38+J40+J39+J41)*0.2*N2</f>
        <v>0</v>
      </c>
      <c r="L38" s="57">
        <f>K38/0.05*0.25</f>
        <v>0</v>
      </c>
      <c r="M38" s="57">
        <f>L38-K38</f>
        <v>0</v>
      </c>
    </row>
    <row r="39" spans="1:13">
      <c r="A39" s="64">
        <v>43556</v>
      </c>
      <c r="B39" s="21" t="s">
        <v>237</v>
      </c>
      <c r="C39" s="103"/>
      <c r="D39" s="21" t="s">
        <v>24</v>
      </c>
      <c r="E39" s="21" t="s">
        <v>17</v>
      </c>
      <c r="F39" s="33" t="s">
        <v>74</v>
      </c>
      <c r="G39" s="57"/>
      <c r="H39" s="54"/>
      <c r="I39" s="67"/>
      <c r="J39" s="57">
        <f t="shared" si="1"/>
        <v>0</v>
      </c>
      <c r="K39" s="57"/>
      <c r="L39" s="57"/>
      <c r="M39" s="57"/>
    </row>
    <row r="40" spans="1:13">
      <c r="A40" s="64">
        <v>43556</v>
      </c>
      <c r="B40" s="21" t="s">
        <v>237</v>
      </c>
      <c r="C40" s="103"/>
      <c r="D40" s="21" t="s">
        <v>72</v>
      </c>
      <c r="E40" s="21" t="s">
        <v>17</v>
      </c>
      <c r="F40" s="33" t="s">
        <v>18</v>
      </c>
      <c r="G40" s="57"/>
      <c r="H40" s="54"/>
      <c r="I40" s="67"/>
      <c r="J40" s="57">
        <f t="shared" si="1"/>
        <v>0</v>
      </c>
      <c r="K40" s="57"/>
      <c r="L40" s="57"/>
      <c r="M40" s="57"/>
    </row>
    <row r="41" spans="1:13">
      <c r="A41" s="64">
        <v>43556</v>
      </c>
      <c r="B41" s="21" t="s">
        <v>237</v>
      </c>
      <c r="C41" s="103"/>
      <c r="D41" s="21" t="s">
        <v>29</v>
      </c>
      <c r="E41" s="21" t="s">
        <v>17</v>
      </c>
      <c r="F41" s="33" t="s">
        <v>18</v>
      </c>
      <c r="G41" s="57"/>
      <c r="H41" s="54"/>
      <c r="I41" s="67"/>
      <c r="J41" s="57">
        <f t="shared" si="1"/>
        <v>0</v>
      </c>
      <c r="K41" s="57"/>
      <c r="L41" s="57"/>
      <c r="M41" s="57"/>
    </row>
    <row r="42" spans="1:13">
      <c r="A42" s="64"/>
      <c r="C42" s="104"/>
      <c r="D42" s="75" t="s">
        <v>79</v>
      </c>
      <c r="E42" s="75" t="s">
        <v>80</v>
      </c>
      <c r="F42" s="75" t="s">
        <v>81</v>
      </c>
      <c r="G42" s="76"/>
      <c r="H42" s="77"/>
      <c r="I42" s="67"/>
      <c r="J42" s="57">
        <f t="shared" si="1"/>
        <v>0</v>
      </c>
      <c r="K42" s="57">
        <f>J42*0.25*N2</f>
        <v>0</v>
      </c>
      <c r="L42" s="57"/>
      <c r="M42" s="57"/>
    </row>
    <row r="43" spans="1:13">
      <c r="A43" s="64">
        <v>43556</v>
      </c>
      <c r="B43" s="21" t="s">
        <v>237</v>
      </c>
      <c r="C43" s="102" t="s">
        <v>243</v>
      </c>
      <c r="D43" s="21" t="s">
        <v>107</v>
      </c>
      <c r="E43" s="21" t="s">
        <v>108</v>
      </c>
      <c r="F43" s="33" t="s">
        <v>109</v>
      </c>
      <c r="G43" s="57"/>
      <c r="H43" s="54"/>
      <c r="I43" s="67"/>
      <c r="J43" s="57">
        <f t="shared" si="1"/>
        <v>0</v>
      </c>
      <c r="K43" s="57">
        <f>(J43+J44+J45+J46+J47)*0.03*N2</f>
        <v>0</v>
      </c>
      <c r="L43" s="57">
        <f>K43/0.03*0.25</f>
        <v>0</v>
      </c>
      <c r="M43" s="57">
        <f>L43-K43</f>
        <v>0</v>
      </c>
    </row>
    <row r="44" spans="1:13">
      <c r="A44" s="64">
        <v>43556</v>
      </c>
      <c r="B44" s="21" t="s">
        <v>237</v>
      </c>
      <c r="C44" s="103"/>
      <c r="D44" s="21" t="s">
        <v>107</v>
      </c>
      <c r="E44" s="21" t="s">
        <v>108</v>
      </c>
      <c r="F44" s="33" t="s">
        <v>110</v>
      </c>
      <c r="G44" s="57"/>
      <c r="H44" s="54"/>
      <c r="I44" s="67"/>
      <c r="J44" s="57">
        <f t="shared" si="1"/>
        <v>0</v>
      </c>
      <c r="K44" s="57"/>
      <c r="L44" s="57"/>
      <c r="M44" s="57"/>
    </row>
    <row r="45" spans="1:13">
      <c r="A45" s="64">
        <v>43556</v>
      </c>
      <c r="B45" s="21" t="s">
        <v>237</v>
      </c>
      <c r="C45" s="103"/>
      <c r="D45" s="21" t="s">
        <v>111</v>
      </c>
      <c r="E45" s="21" t="s">
        <v>108</v>
      </c>
      <c r="F45" s="33" t="s">
        <v>109</v>
      </c>
      <c r="G45" s="57"/>
      <c r="H45" s="54"/>
      <c r="I45" s="67"/>
      <c r="J45" s="57">
        <f t="shared" si="1"/>
        <v>0</v>
      </c>
      <c r="K45" s="57"/>
      <c r="L45" s="57"/>
      <c r="M45" s="57"/>
    </row>
    <row r="46" spans="1:13">
      <c r="A46" s="64">
        <v>43556</v>
      </c>
      <c r="B46" s="21" t="s">
        <v>237</v>
      </c>
      <c r="C46" s="103"/>
      <c r="D46" s="21" t="s">
        <v>111</v>
      </c>
      <c r="E46" s="21" t="s">
        <v>108</v>
      </c>
      <c r="F46" s="33" t="s">
        <v>110</v>
      </c>
      <c r="G46" s="57"/>
      <c r="H46" s="54"/>
      <c r="I46" s="67"/>
      <c r="J46" s="57">
        <f t="shared" si="1"/>
        <v>0</v>
      </c>
      <c r="K46" s="57"/>
      <c r="L46" s="57"/>
      <c r="M46" s="57"/>
    </row>
    <row r="47" spans="1:13">
      <c r="A47" s="64"/>
      <c r="C47" s="103"/>
      <c r="D47" s="21" t="s">
        <v>138</v>
      </c>
      <c r="E47" s="21" t="s">
        <v>108</v>
      </c>
      <c r="F47" s="33" t="s">
        <v>109</v>
      </c>
      <c r="G47" s="57"/>
      <c r="H47" s="54"/>
      <c r="I47" s="67"/>
      <c r="J47" s="57">
        <f t="shared" si="1"/>
        <v>0</v>
      </c>
      <c r="K47" s="57"/>
      <c r="L47" s="57"/>
      <c r="M47" s="57"/>
    </row>
    <row r="48" spans="1:13">
      <c r="A48" s="64">
        <v>43556</v>
      </c>
      <c r="B48" s="21" t="s">
        <v>237</v>
      </c>
      <c r="C48" s="103"/>
      <c r="D48" s="21" t="s">
        <v>120</v>
      </c>
      <c r="E48" s="21" t="s">
        <v>121</v>
      </c>
      <c r="F48" s="33" t="s">
        <v>122</v>
      </c>
      <c r="G48" s="57"/>
      <c r="H48" s="54"/>
      <c r="I48" s="67"/>
      <c r="J48" s="57">
        <f t="shared" si="1"/>
        <v>0</v>
      </c>
      <c r="K48" s="57">
        <f>(J48+J51+J49+J50)*0.05*N2</f>
        <v>0</v>
      </c>
      <c r="L48" s="57">
        <f>K48/0.05*0.25</f>
        <v>0</v>
      </c>
      <c r="M48" s="57">
        <f>L48-K48</f>
        <v>0</v>
      </c>
    </row>
    <row r="49" spans="1:13">
      <c r="A49" s="64">
        <v>43556</v>
      </c>
      <c r="B49" s="21" t="s">
        <v>237</v>
      </c>
      <c r="C49" s="103"/>
      <c r="D49" s="21" t="s">
        <v>123</v>
      </c>
      <c r="E49" s="21" t="s">
        <v>121</v>
      </c>
      <c r="F49" s="33" t="s">
        <v>122</v>
      </c>
      <c r="G49" s="57"/>
      <c r="H49" s="54"/>
      <c r="I49" s="67"/>
      <c r="J49" s="57">
        <f t="shared" si="1"/>
        <v>0</v>
      </c>
      <c r="K49" s="57"/>
      <c r="L49" s="57"/>
      <c r="M49" s="57"/>
    </row>
    <row r="50" spans="1:13">
      <c r="A50" s="64"/>
      <c r="C50" s="103"/>
      <c r="D50" s="21" t="s">
        <v>123</v>
      </c>
      <c r="E50" s="21" t="s">
        <v>121</v>
      </c>
      <c r="F50" s="33" t="s">
        <v>124</v>
      </c>
      <c r="G50" s="57"/>
      <c r="H50" s="54"/>
      <c r="I50" s="67"/>
      <c r="J50" s="57">
        <f t="shared" si="1"/>
        <v>0</v>
      </c>
      <c r="K50" s="57"/>
      <c r="L50" s="57"/>
      <c r="M50" s="57"/>
    </row>
    <row r="51" spans="1:13">
      <c r="A51" s="64">
        <v>43556</v>
      </c>
      <c r="B51" s="21" t="s">
        <v>237</v>
      </c>
      <c r="C51" s="103"/>
      <c r="D51" s="21" t="s">
        <v>125</v>
      </c>
      <c r="E51" s="21" t="s">
        <v>121</v>
      </c>
      <c r="F51" s="33" t="s">
        <v>122</v>
      </c>
      <c r="G51" s="57"/>
      <c r="H51" s="54"/>
      <c r="I51" s="67"/>
      <c r="J51" s="57">
        <f t="shared" si="1"/>
        <v>0</v>
      </c>
      <c r="K51" s="57"/>
      <c r="L51" s="57"/>
      <c r="M51" s="57"/>
    </row>
    <row r="52" spans="1:13">
      <c r="A52" s="64">
        <v>43556</v>
      </c>
      <c r="B52" s="21" t="s">
        <v>237</v>
      </c>
      <c r="C52" s="103"/>
      <c r="D52" s="21" t="s">
        <v>112</v>
      </c>
      <c r="E52" s="21" t="s">
        <v>244</v>
      </c>
      <c r="F52" s="33" t="s">
        <v>245</v>
      </c>
      <c r="G52" s="57"/>
      <c r="H52" s="54"/>
      <c r="I52" s="67"/>
      <c r="J52" s="57">
        <f t="shared" ref="J52:J73" si="6">G52*H52*0.98-I52</f>
        <v>0</v>
      </c>
      <c r="K52" s="57"/>
      <c r="L52" s="57"/>
      <c r="M52" s="57"/>
    </row>
    <row r="53" spans="1:13">
      <c r="A53" s="64">
        <v>43556</v>
      </c>
      <c r="B53" s="21" t="s">
        <v>237</v>
      </c>
      <c r="C53" s="103"/>
      <c r="D53" s="21" t="s">
        <v>134</v>
      </c>
      <c r="E53" s="21" t="s">
        <v>244</v>
      </c>
      <c r="F53" s="33" t="s">
        <v>245</v>
      </c>
      <c r="G53" s="57"/>
      <c r="H53" s="54"/>
      <c r="I53" s="67"/>
      <c r="J53" s="57">
        <f t="shared" si="6"/>
        <v>0</v>
      </c>
      <c r="K53" s="57"/>
      <c r="L53" s="57"/>
      <c r="M53" s="57"/>
    </row>
    <row r="54" spans="1:13">
      <c r="A54" s="64">
        <v>43556</v>
      </c>
      <c r="B54" s="21" t="s">
        <v>237</v>
      </c>
      <c r="C54" s="103"/>
      <c r="D54" s="21" t="s">
        <v>126</v>
      </c>
      <c r="E54" s="21" t="s">
        <v>246</v>
      </c>
      <c r="F54" s="33" t="s">
        <v>247</v>
      </c>
      <c r="G54" s="57"/>
      <c r="H54" s="54"/>
      <c r="I54" s="67"/>
      <c r="J54" s="57">
        <f t="shared" si="6"/>
        <v>0</v>
      </c>
      <c r="K54" s="57"/>
      <c r="L54" s="57"/>
      <c r="M54" s="57"/>
    </row>
    <row r="55" spans="1:13">
      <c r="A55" s="64">
        <v>43556</v>
      </c>
      <c r="B55" s="21" t="s">
        <v>237</v>
      </c>
      <c r="C55" s="103"/>
      <c r="D55" s="21" t="s">
        <v>128</v>
      </c>
      <c r="E55" s="21" t="s">
        <v>129</v>
      </c>
      <c r="F55" s="33" t="s">
        <v>130</v>
      </c>
      <c r="G55" s="57"/>
      <c r="H55" s="54"/>
      <c r="I55" s="67"/>
      <c r="J55" s="57">
        <f t="shared" si="6"/>
        <v>0</v>
      </c>
      <c r="K55" s="57">
        <f>(J55+J56+J58+J59)*0.05*N2</f>
        <v>0</v>
      </c>
      <c r="L55" s="57">
        <f>K55/0.05*0.25</f>
        <v>0</v>
      </c>
      <c r="M55" s="57">
        <f t="shared" ref="M55:M58" si="7">L55-K55</f>
        <v>0</v>
      </c>
    </row>
    <row r="56" spans="1:13">
      <c r="A56" s="64">
        <v>43556</v>
      </c>
      <c r="B56" s="21" t="s">
        <v>237</v>
      </c>
      <c r="C56" s="103"/>
      <c r="D56" s="21" t="s">
        <v>128</v>
      </c>
      <c r="E56" s="21" t="s">
        <v>129</v>
      </c>
      <c r="F56" s="33" t="s">
        <v>131</v>
      </c>
      <c r="G56" s="57"/>
      <c r="H56" s="54"/>
      <c r="I56" s="67"/>
      <c r="J56" s="57">
        <f t="shared" si="6"/>
        <v>0</v>
      </c>
      <c r="K56" s="57"/>
      <c r="L56" s="57"/>
      <c r="M56" s="57"/>
    </row>
    <row r="57" spans="1:13">
      <c r="A57" s="64">
        <v>43556</v>
      </c>
      <c r="B57" s="21" t="s">
        <v>237</v>
      </c>
      <c r="C57" s="103"/>
      <c r="D57" s="101" t="s">
        <v>501</v>
      </c>
      <c r="E57" s="21" t="s">
        <v>113</v>
      </c>
      <c r="F57" s="33" t="s">
        <v>248</v>
      </c>
      <c r="G57" s="57"/>
      <c r="H57" s="54"/>
      <c r="I57" s="67"/>
      <c r="J57" s="57">
        <f t="shared" si="6"/>
        <v>0</v>
      </c>
      <c r="K57" s="57"/>
      <c r="L57" s="57">
        <f>K57/0.03*0.25</f>
        <v>0</v>
      </c>
      <c r="M57" s="57">
        <f t="shared" si="7"/>
        <v>0</v>
      </c>
    </row>
    <row r="58" spans="1:13">
      <c r="A58" s="64">
        <v>43556</v>
      </c>
      <c r="B58" s="21" t="s">
        <v>237</v>
      </c>
      <c r="C58" s="103"/>
      <c r="D58" s="21" t="s">
        <v>133</v>
      </c>
      <c r="E58" s="21" t="s">
        <v>129</v>
      </c>
      <c r="F58" s="33" t="s">
        <v>130</v>
      </c>
      <c r="G58" s="57"/>
      <c r="H58" s="54"/>
      <c r="I58" s="67"/>
      <c r="J58" s="57">
        <f t="shared" si="6"/>
        <v>0</v>
      </c>
      <c r="K58" s="57"/>
      <c r="L58" s="57">
        <f>K58/0.03*0.25</f>
        <v>0</v>
      </c>
      <c r="M58" s="57">
        <f t="shared" si="7"/>
        <v>0</v>
      </c>
    </row>
    <row r="59" spans="1:13">
      <c r="A59" s="64">
        <v>43556</v>
      </c>
      <c r="B59" s="21" t="s">
        <v>237</v>
      </c>
      <c r="C59" s="103"/>
      <c r="D59" s="21" t="s">
        <v>133</v>
      </c>
      <c r="E59" s="21" t="s">
        <v>129</v>
      </c>
      <c r="F59" s="33" t="s">
        <v>131</v>
      </c>
      <c r="G59" s="57"/>
      <c r="H59" s="54"/>
      <c r="I59" s="67"/>
      <c r="J59" s="57">
        <f t="shared" si="6"/>
        <v>0</v>
      </c>
      <c r="K59" s="57"/>
      <c r="L59" s="57"/>
      <c r="M59" s="57"/>
    </row>
    <row r="60" spans="1:13">
      <c r="A60" s="64">
        <v>43556</v>
      </c>
      <c r="B60" s="21" t="s">
        <v>237</v>
      </c>
      <c r="C60" s="102" t="s">
        <v>83</v>
      </c>
      <c r="D60" s="21" t="s">
        <v>98</v>
      </c>
      <c r="E60" s="21" t="s">
        <v>99</v>
      </c>
      <c r="F60" s="33" t="s">
        <v>100</v>
      </c>
      <c r="G60" s="57"/>
      <c r="H60" s="54"/>
      <c r="I60" s="68"/>
      <c r="J60" s="57">
        <f t="shared" si="6"/>
        <v>0</v>
      </c>
      <c r="K60" s="57">
        <f>(J60)*0.04*N2</f>
        <v>0</v>
      </c>
      <c r="L60" s="57">
        <f>K60/0.04*0.25</f>
        <v>0</v>
      </c>
      <c r="M60" s="57">
        <f>L60-K60</f>
        <v>0</v>
      </c>
    </row>
    <row r="61" spans="1:13">
      <c r="A61" s="64">
        <v>43556</v>
      </c>
      <c r="B61" s="21" t="s">
        <v>237</v>
      </c>
      <c r="C61" s="103"/>
      <c r="D61" s="21" t="s">
        <v>98</v>
      </c>
      <c r="E61" s="21" t="s">
        <v>249</v>
      </c>
      <c r="F61" s="33" t="s">
        <v>250</v>
      </c>
      <c r="G61" s="57"/>
      <c r="H61" s="54"/>
      <c r="I61" s="67"/>
      <c r="J61" s="57">
        <f t="shared" si="6"/>
        <v>0</v>
      </c>
      <c r="K61" s="57"/>
      <c r="L61" s="57"/>
      <c r="M61" s="57"/>
    </row>
    <row r="62" spans="1:13">
      <c r="A62" s="64">
        <v>43556</v>
      </c>
      <c r="B62" s="21" t="s">
        <v>237</v>
      </c>
      <c r="C62" s="103"/>
      <c r="D62" s="21" t="s">
        <v>98</v>
      </c>
      <c r="E62" s="21" t="s">
        <v>249</v>
      </c>
      <c r="F62" s="33" t="s">
        <v>251</v>
      </c>
      <c r="G62" s="57"/>
      <c r="H62" s="54"/>
      <c r="I62" s="67"/>
      <c r="J62" s="57">
        <f t="shared" si="6"/>
        <v>0</v>
      </c>
      <c r="K62" s="57"/>
      <c r="L62" s="57"/>
      <c r="M62" s="57"/>
    </row>
    <row r="63" spans="1:13">
      <c r="A63" s="64">
        <v>43556</v>
      </c>
      <c r="B63" s="21" t="s">
        <v>237</v>
      </c>
      <c r="C63" s="103"/>
      <c r="D63" s="21" t="s">
        <v>105</v>
      </c>
      <c r="E63" s="21" t="s">
        <v>252</v>
      </c>
      <c r="F63" s="33" t="s">
        <v>253</v>
      </c>
      <c r="G63" s="57"/>
      <c r="H63" s="54"/>
      <c r="I63" s="67"/>
      <c r="J63" s="57">
        <f t="shared" si="6"/>
        <v>0</v>
      </c>
      <c r="K63" s="57">
        <f>J63*0.25*N2</f>
        <v>0</v>
      </c>
      <c r="L63" s="57"/>
      <c r="M63" s="57"/>
    </row>
    <row r="64" spans="1:13">
      <c r="A64" s="64">
        <v>43556</v>
      </c>
      <c r="B64" s="21" t="s">
        <v>237</v>
      </c>
      <c r="C64" s="103"/>
      <c r="D64" s="21" t="s">
        <v>105</v>
      </c>
      <c r="E64" s="21" t="s">
        <v>89</v>
      </c>
      <c r="F64" s="33" t="s">
        <v>90</v>
      </c>
      <c r="G64" s="57"/>
      <c r="H64" s="54"/>
      <c r="I64" s="67"/>
      <c r="J64" s="57">
        <f t="shared" si="6"/>
        <v>0</v>
      </c>
      <c r="K64" s="57"/>
      <c r="L64" s="57">
        <f>K64/0.05*0.25</f>
        <v>0</v>
      </c>
      <c r="M64" s="57">
        <f>L64-K64</f>
        <v>0</v>
      </c>
    </row>
    <row r="65" spans="1:13">
      <c r="A65" s="64">
        <v>43556</v>
      </c>
      <c r="B65" s="21" t="s">
        <v>237</v>
      </c>
      <c r="C65" s="103"/>
      <c r="D65" s="21" t="s">
        <v>102</v>
      </c>
      <c r="E65" s="21" t="s">
        <v>249</v>
      </c>
      <c r="F65" s="33" t="s">
        <v>254</v>
      </c>
      <c r="G65" s="57"/>
      <c r="H65" s="54"/>
      <c r="I65" s="67"/>
      <c r="J65" s="57">
        <f t="shared" si="6"/>
        <v>0</v>
      </c>
      <c r="K65" s="57"/>
      <c r="L65" s="57"/>
      <c r="M65" s="57"/>
    </row>
    <row r="66" spans="1:13">
      <c r="A66" s="64">
        <v>43556</v>
      </c>
      <c r="B66" s="21" t="s">
        <v>237</v>
      </c>
      <c r="C66" s="103"/>
      <c r="D66" s="21" t="s">
        <v>255</v>
      </c>
      <c r="E66" s="21" t="s">
        <v>89</v>
      </c>
      <c r="F66" s="33" t="s">
        <v>90</v>
      </c>
      <c r="G66" s="57"/>
      <c r="H66" s="54"/>
      <c r="I66" s="67"/>
      <c r="J66" s="57">
        <f t="shared" si="6"/>
        <v>0</v>
      </c>
      <c r="K66" s="57"/>
      <c r="L66" s="57"/>
      <c r="M66" s="57"/>
    </row>
    <row r="67" spans="1:13">
      <c r="A67" s="64">
        <v>43556</v>
      </c>
      <c r="B67" s="21" t="s">
        <v>237</v>
      </c>
      <c r="C67" s="103"/>
      <c r="D67" s="21" t="s">
        <v>256</v>
      </c>
      <c r="E67" s="21" t="s">
        <v>89</v>
      </c>
      <c r="F67" s="33" t="s">
        <v>90</v>
      </c>
      <c r="G67" s="57"/>
      <c r="H67" s="54"/>
      <c r="I67" s="67"/>
      <c r="J67" s="57">
        <f t="shared" si="6"/>
        <v>0</v>
      </c>
      <c r="K67" s="57"/>
      <c r="L67" s="57"/>
      <c r="M67" s="57"/>
    </row>
    <row r="68" spans="1:13">
      <c r="A68" s="64">
        <v>43556</v>
      </c>
      <c r="B68" s="21" t="s">
        <v>237</v>
      </c>
      <c r="C68" s="103"/>
      <c r="D68" s="21" t="s">
        <v>103</v>
      </c>
      <c r="E68" s="21" t="s">
        <v>93</v>
      </c>
      <c r="F68" s="33" t="s">
        <v>94</v>
      </c>
      <c r="G68" s="57"/>
      <c r="H68" s="54"/>
      <c r="I68" s="67"/>
      <c r="J68" s="57">
        <f t="shared" si="6"/>
        <v>0</v>
      </c>
      <c r="K68" s="57">
        <f>(J68)*0.2*N2</f>
        <v>0</v>
      </c>
      <c r="L68" s="57"/>
      <c r="M68" s="57"/>
    </row>
    <row r="69" spans="1:13">
      <c r="A69" s="64">
        <v>43556</v>
      </c>
      <c r="B69" s="21" t="s">
        <v>237</v>
      </c>
      <c r="C69" s="103"/>
      <c r="D69" s="21" t="s">
        <v>103</v>
      </c>
      <c r="E69" s="21" t="s">
        <v>93</v>
      </c>
      <c r="F69" s="33" t="s">
        <v>97</v>
      </c>
      <c r="G69" s="57"/>
      <c r="H69" s="54"/>
      <c r="I69" s="67"/>
      <c r="J69" s="57">
        <f t="shared" si="6"/>
        <v>0</v>
      </c>
      <c r="K69" s="57"/>
      <c r="L69" s="57"/>
      <c r="M69" s="57"/>
    </row>
    <row r="70" spans="1:13">
      <c r="A70" s="64">
        <v>43556</v>
      </c>
      <c r="B70" s="21" t="s">
        <v>237</v>
      </c>
      <c r="C70" s="102" t="s">
        <v>139</v>
      </c>
      <c r="D70" s="21" t="s">
        <v>160</v>
      </c>
      <c r="E70" s="21" t="s">
        <v>161</v>
      </c>
      <c r="F70" s="33" t="s">
        <v>162</v>
      </c>
      <c r="G70" s="57"/>
      <c r="H70" s="54"/>
      <c r="I70" s="67"/>
      <c r="J70" s="57">
        <f t="shared" si="6"/>
        <v>0</v>
      </c>
      <c r="K70" s="57">
        <f>(J70)*0.04*N2</f>
        <v>0</v>
      </c>
      <c r="L70" s="57">
        <f>K70/0.04*0.25</f>
        <v>0</v>
      </c>
      <c r="M70" s="57">
        <f>L70-K70</f>
        <v>0</v>
      </c>
    </row>
    <row r="71" spans="1:13">
      <c r="A71" s="64">
        <v>43556</v>
      </c>
      <c r="B71" s="21" t="s">
        <v>237</v>
      </c>
      <c r="C71" s="103"/>
      <c r="D71" s="75" t="s">
        <v>164</v>
      </c>
      <c r="E71" s="75" t="s">
        <v>149</v>
      </c>
      <c r="F71" s="75" t="s">
        <v>150</v>
      </c>
      <c r="G71" s="76"/>
      <c r="H71" s="77"/>
      <c r="I71" s="67"/>
      <c r="J71" s="57">
        <f t="shared" si="6"/>
        <v>0</v>
      </c>
      <c r="K71" s="57">
        <f>(J71)*0.25*N2</f>
        <v>0</v>
      </c>
      <c r="L71" s="57"/>
      <c r="M71" s="57"/>
    </row>
    <row r="72" spans="1:13">
      <c r="A72" s="64">
        <v>43556</v>
      </c>
      <c r="B72" s="21" t="s">
        <v>237</v>
      </c>
      <c r="C72" s="103"/>
      <c r="D72" s="21" t="s">
        <v>175</v>
      </c>
      <c r="E72" s="21" t="s">
        <v>176</v>
      </c>
      <c r="F72" s="33" t="s">
        <v>178</v>
      </c>
      <c r="G72" s="57"/>
      <c r="H72" s="54"/>
      <c r="I72" s="67"/>
      <c r="J72" s="57">
        <f t="shared" si="6"/>
        <v>0</v>
      </c>
      <c r="K72" s="57">
        <f>(J72+J78)*0.03*N2</f>
        <v>0</v>
      </c>
      <c r="L72" s="57">
        <f>K72/0.03*0.25</f>
        <v>0</v>
      </c>
      <c r="M72" s="57">
        <f>L72-K72</f>
        <v>0</v>
      </c>
    </row>
    <row r="73" spans="1:13">
      <c r="A73" s="64"/>
      <c r="C73" s="103"/>
      <c r="D73" s="21" t="s">
        <v>174</v>
      </c>
      <c r="E73" s="21" t="s">
        <v>170</v>
      </c>
      <c r="F73" s="33" t="s">
        <v>171</v>
      </c>
      <c r="G73" s="57"/>
      <c r="H73" s="54"/>
      <c r="I73" s="67"/>
      <c r="J73" s="57">
        <f t="shared" si="6"/>
        <v>0</v>
      </c>
      <c r="K73" s="57"/>
      <c r="L73" s="57"/>
      <c r="M73" s="57"/>
    </row>
    <row r="74" spans="1:13">
      <c r="A74" s="64"/>
      <c r="C74" s="103"/>
      <c r="D74" s="21" t="s">
        <v>169</v>
      </c>
      <c r="E74" s="21" t="s">
        <v>170</v>
      </c>
      <c r="F74" s="33" t="s">
        <v>171</v>
      </c>
      <c r="G74" s="57"/>
      <c r="H74" s="54"/>
      <c r="I74" s="67"/>
      <c r="J74" s="57">
        <f t="shared" ref="J74:J78" si="8">G74*H74*0.98-I74</f>
        <v>0</v>
      </c>
      <c r="K74" s="57"/>
      <c r="L74" s="57"/>
      <c r="M74" s="57"/>
    </row>
    <row r="75" spans="1:13">
      <c r="A75" s="64">
        <v>43556</v>
      </c>
      <c r="B75" s="21" t="s">
        <v>237</v>
      </c>
      <c r="C75" s="103"/>
      <c r="D75" s="21" t="s">
        <v>169</v>
      </c>
      <c r="E75" s="21" t="s">
        <v>170</v>
      </c>
      <c r="F75" s="33" t="s">
        <v>172</v>
      </c>
      <c r="G75" s="57"/>
      <c r="H75" s="54"/>
      <c r="I75" s="67"/>
      <c r="J75" s="57">
        <f t="shared" si="8"/>
        <v>0</v>
      </c>
      <c r="K75" s="57">
        <f>(J75+J74+J73)*0.04*N2</f>
        <v>0</v>
      </c>
      <c r="L75" s="57">
        <f>K75/0.04*0.25</f>
        <v>0</v>
      </c>
      <c r="M75" s="57">
        <f>L75-K75</f>
        <v>0</v>
      </c>
    </row>
    <row r="76" spans="1:13">
      <c r="A76" s="64"/>
      <c r="C76" s="103"/>
      <c r="D76" s="21" t="s">
        <v>88</v>
      </c>
      <c r="E76" s="21" t="s">
        <v>181</v>
      </c>
      <c r="F76" s="33" t="s">
        <v>182</v>
      </c>
      <c r="G76" s="57"/>
      <c r="H76" s="54"/>
      <c r="I76" s="67"/>
      <c r="J76" s="57">
        <f t="shared" si="8"/>
        <v>0</v>
      </c>
      <c r="K76" s="57"/>
      <c r="L76" s="57"/>
      <c r="M76" s="57"/>
    </row>
    <row r="77" spans="1:13">
      <c r="A77" s="64">
        <v>43556</v>
      </c>
      <c r="B77" s="21" t="s">
        <v>237</v>
      </c>
      <c r="C77" s="103"/>
      <c r="D77" s="21" t="s">
        <v>88</v>
      </c>
      <c r="E77" s="21" t="s">
        <v>181</v>
      </c>
      <c r="F77" s="33" t="s">
        <v>183</v>
      </c>
      <c r="G77" s="57"/>
      <c r="H77" s="54"/>
      <c r="I77" s="67"/>
      <c r="J77" s="57">
        <f t="shared" si="8"/>
        <v>0</v>
      </c>
      <c r="K77" s="57">
        <f>(J77+J76)*0.05*N2</f>
        <v>0</v>
      </c>
      <c r="L77" s="57">
        <f>K77/0.05*0.25</f>
        <v>0</v>
      </c>
      <c r="M77" s="57">
        <f>L77-K77</f>
        <v>0</v>
      </c>
    </row>
    <row r="78" spans="1:13">
      <c r="A78" s="64"/>
      <c r="C78" s="103"/>
      <c r="D78" s="21" t="s">
        <v>180</v>
      </c>
      <c r="E78" s="21" t="s">
        <v>176</v>
      </c>
      <c r="F78" s="33" t="s">
        <v>177</v>
      </c>
      <c r="G78" s="57"/>
      <c r="H78" s="54"/>
      <c r="I78" s="67"/>
      <c r="J78" s="57">
        <f t="shared" si="8"/>
        <v>0</v>
      </c>
      <c r="K78" s="57"/>
      <c r="L78" s="57"/>
      <c r="M78" s="57"/>
    </row>
    <row r="79" spans="1:13">
      <c r="A79" s="64">
        <v>43556</v>
      </c>
      <c r="B79" s="21" t="s">
        <v>237</v>
      </c>
      <c r="C79" s="103"/>
      <c r="D79" s="21" t="s">
        <v>152</v>
      </c>
      <c r="E79" s="21" t="s">
        <v>141</v>
      </c>
      <c r="F79" s="33" t="s">
        <v>142</v>
      </c>
      <c r="G79" s="57"/>
      <c r="H79" s="54"/>
      <c r="I79" s="67"/>
      <c r="J79" s="57">
        <f t="shared" ref="J79:J87" si="9">G79*H79*0.98-I79</f>
        <v>0</v>
      </c>
      <c r="K79" s="57">
        <f>(J79)*0.03*N2</f>
        <v>0</v>
      </c>
      <c r="L79" s="57">
        <f>K79/0.03*0.25</f>
        <v>0</v>
      </c>
      <c r="M79" s="57">
        <f>L79-K79</f>
        <v>0</v>
      </c>
    </row>
    <row r="80" spans="1:13">
      <c r="A80" s="64">
        <v>43556</v>
      </c>
      <c r="B80" s="21" t="s">
        <v>237</v>
      </c>
      <c r="C80" s="30" t="s">
        <v>257</v>
      </c>
      <c r="D80" s="21" t="s">
        <v>258</v>
      </c>
      <c r="E80" s="21" t="s">
        <v>129</v>
      </c>
      <c r="F80" s="33" t="s">
        <v>130</v>
      </c>
      <c r="G80" s="57"/>
      <c r="H80" s="54"/>
      <c r="I80" s="67"/>
      <c r="J80" s="57">
        <f t="shared" si="9"/>
        <v>0</v>
      </c>
      <c r="K80" s="57">
        <f>(J80)*0.04*N2</f>
        <v>0</v>
      </c>
      <c r="L80" s="57"/>
      <c r="M80" s="57"/>
    </row>
    <row r="81" spans="1:13">
      <c r="A81" s="64"/>
      <c r="C81" s="102" t="s">
        <v>259</v>
      </c>
      <c r="D81" s="21" t="s">
        <v>186</v>
      </c>
      <c r="E81" s="21" t="s">
        <v>191</v>
      </c>
      <c r="F81" s="33" t="s">
        <v>192</v>
      </c>
      <c r="G81" s="57"/>
      <c r="H81" s="54"/>
      <c r="I81" s="67"/>
      <c r="J81" s="57">
        <f t="shared" si="9"/>
        <v>0</v>
      </c>
      <c r="K81" s="57"/>
      <c r="L81" s="57"/>
      <c r="M81" s="57"/>
    </row>
    <row r="82" spans="1:13">
      <c r="A82" s="64">
        <v>43556</v>
      </c>
      <c r="B82" s="21" t="s">
        <v>237</v>
      </c>
      <c r="C82" s="103"/>
      <c r="D82" s="21" t="s">
        <v>186</v>
      </c>
      <c r="E82" s="21" t="s">
        <v>191</v>
      </c>
      <c r="F82" s="33" t="s">
        <v>193</v>
      </c>
      <c r="G82" s="57"/>
      <c r="H82" s="54"/>
      <c r="I82" s="85"/>
      <c r="J82" s="57">
        <f t="shared" si="9"/>
        <v>0</v>
      </c>
      <c r="K82" s="57">
        <f>(J82+J81)*0.05*N2</f>
        <v>0</v>
      </c>
      <c r="L82" s="57">
        <f>K82/0.05*0.25</f>
        <v>0</v>
      </c>
      <c r="M82" s="57">
        <f>L82-K82</f>
        <v>0</v>
      </c>
    </row>
    <row r="83" spans="1:13">
      <c r="A83" s="64"/>
      <c r="C83" s="103"/>
      <c r="D83" s="21" t="s">
        <v>189</v>
      </c>
      <c r="E83" s="21" t="s">
        <v>187</v>
      </c>
      <c r="F83" s="33" t="s">
        <v>188</v>
      </c>
      <c r="G83" s="57"/>
      <c r="H83" s="54"/>
      <c r="I83" s="68"/>
      <c r="J83" s="57">
        <f t="shared" si="9"/>
        <v>0</v>
      </c>
      <c r="K83" s="57"/>
      <c r="L83" s="57"/>
      <c r="M83" s="57"/>
    </row>
    <row r="84" spans="1:13">
      <c r="A84" s="64">
        <v>43556</v>
      </c>
      <c r="B84" s="21" t="s">
        <v>237</v>
      </c>
      <c r="C84" s="104"/>
      <c r="D84" s="21" t="s">
        <v>189</v>
      </c>
      <c r="E84" s="21" t="s">
        <v>187</v>
      </c>
      <c r="F84" s="33" t="s">
        <v>188</v>
      </c>
      <c r="G84" s="57"/>
      <c r="H84" s="54"/>
      <c r="I84" s="67"/>
      <c r="J84" s="57">
        <f t="shared" si="9"/>
        <v>0</v>
      </c>
      <c r="K84" s="57">
        <f>(J84+J85+J83)*0.05*N2</f>
        <v>0</v>
      </c>
      <c r="L84" s="57">
        <f>K84/0.05*0.25</f>
        <v>0</v>
      </c>
      <c r="M84" s="57">
        <f>L84-K84</f>
        <v>0</v>
      </c>
    </row>
    <row r="85" spans="1:13">
      <c r="A85" s="64">
        <v>43556</v>
      </c>
      <c r="B85" s="21" t="s">
        <v>237</v>
      </c>
      <c r="C85" s="21" t="s">
        <v>198</v>
      </c>
      <c r="D85" s="21" t="s">
        <v>189</v>
      </c>
      <c r="E85" s="21" t="s">
        <v>187</v>
      </c>
      <c r="F85" s="33" t="s">
        <v>188</v>
      </c>
      <c r="G85" s="57"/>
      <c r="H85" s="54"/>
      <c r="I85" s="67"/>
      <c r="J85" s="57">
        <f t="shared" si="9"/>
        <v>0</v>
      </c>
      <c r="K85" s="57"/>
      <c r="L85" s="57"/>
      <c r="M85" s="57"/>
    </row>
    <row r="86" spans="1:13">
      <c r="A86" s="64">
        <v>43556</v>
      </c>
      <c r="B86" s="21" t="s">
        <v>237</v>
      </c>
      <c r="C86" s="102" t="s">
        <v>260</v>
      </c>
      <c r="D86" s="21" t="s">
        <v>200</v>
      </c>
      <c r="E86" s="21" t="s">
        <v>93</v>
      </c>
      <c r="F86" s="33" t="s">
        <v>94</v>
      </c>
      <c r="G86" s="57"/>
      <c r="H86" s="54"/>
      <c r="I86" s="67"/>
      <c r="J86" s="57">
        <f t="shared" si="9"/>
        <v>0</v>
      </c>
      <c r="K86" s="57">
        <f>J86*0.25*N2</f>
        <v>0</v>
      </c>
      <c r="L86" s="57"/>
      <c r="M86" s="57"/>
    </row>
    <row r="87" spans="1:13">
      <c r="A87" s="64"/>
      <c r="C87" s="104"/>
      <c r="D87" s="21" t="s">
        <v>201</v>
      </c>
      <c r="E87" s="21" t="s">
        <v>93</v>
      </c>
      <c r="F87" s="33" t="s">
        <v>94</v>
      </c>
      <c r="G87" s="57"/>
      <c r="H87" s="54"/>
      <c r="I87" s="67"/>
      <c r="J87" s="57">
        <f t="shared" si="9"/>
        <v>0</v>
      </c>
      <c r="K87" s="57"/>
      <c r="L87" s="57"/>
      <c r="M87" s="57"/>
    </row>
    <row r="88" spans="1:13">
      <c r="C88" s="105" t="s">
        <v>218</v>
      </c>
      <c r="D88" s="105"/>
      <c r="E88" s="21" t="s">
        <v>219</v>
      </c>
      <c r="F88" s="33" t="s">
        <v>219</v>
      </c>
      <c r="G88" s="57"/>
      <c r="H88" s="54"/>
      <c r="I88" s="67"/>
      <c r="J88" s="57">
        <f t="shared" ref="J88:J91" si="10">(G88*H88*0.98)-I88</f>
        <v>0</v>
      </c>
      <c r="K88" s="57">
        <f>(J3+J4+J5+J12+J21+J22+J23+J24+J30+J33+J34+J35+J36+J38+J39+J40)*0.07*N2+(J6+J7+J8+J9+J10+J11+J13+J14+J15+J16+J17+J18+J19+J20+J25+J26+J27+J28+J29+J31+J32+J37+J41+J42+J43+J44+J45+J46+J48+J49+J50+J51+J52+J53+J54+J55+J56+J57+J58+J59+J60+J61+J62+J63+J64+J65+J68+J69+J70+J71+J72+J73+J74+J75+J76+J77+J78+J79+J81+J82+J83+J84)*0.01*N2+(J47)*0.04*N2+(0)*0.08*N2</f>
        <v>0</v>
      </c>
      <c r="L88" s="57"/>
      <c r="M88" s="57"/>
    </row>
    <row r="89" spans="1:13">
      <c r="C89" s="105"/>
      <c r="D89" s="105"/>
      <c r="E89" s="21" t="s">
        <v>220</v>
      </c>
      <c r="F89" s="33" t="s">
        <v>220</v>
      </c>
      <c r="G89" s="57"/>
      <c r="H89" s="54"/>
      <c r="I89" s="67"/>
      <c r="J89" s="57">
        <f t="shared" si="10"/>
        <v>0</v>
      </c>
      <c r="K89" s="57">
        <f>(J6+J7+J8+J13+J14+J15+J17+J18)*0.06*N2+(J57)*0.03*N2+(J74+J75)*0.07*N2</f>
        <v>0</v>
      </c>
      <c r="L89" s="57"/>
      <c r="M89" s="57"/>
    </row>
    <row r="90" spans="1:13">
      <c r="C90" s="105"/>
      <c r="D90" s="105"/>
      <c r="E90" s="21" t="s">
        <v>221</v>
      </c>
      <c r="F90" s="33" t="s">
        <v>221</v>
      </c>
      <c r="G90" s="57"/>
      <c r="H90" s="54"/>
      <c r="I90" s="67"/>
      <c r="J90" s="57">
        <f t="shared" si="10"/>
        <v>0</v>
      </c>
      <c r="K90" s="57">
        <f>(J9+J10+J11+J16+J37)*0.06*N2+(J63+J64+J71)*0.07*N2+(J83+J84+J85)*0.03*N2</f>
        <v>0</v>
      </c>
      <c r="L90" s="57"/>
      <c r="M90" s="57"/>
    </row>
    <row r="91" spans="1:13">
      <c r="C91" s="105"/>
      <c r="D91" s="105"/>
      <c r="E91" s="21" t="s">
        <v>222</v>
      </c>
      <c r="F91" s="33" t="s">
        <v>222</v>
      </c>
      <c r="G91" s="57"/>
      <c r="H91" s="54"/>
      <c r="I91" s="67"/>
      <c r="J91" s="57">
        <f t="shared" si="10"/>
        <v>0</v>
      </c>
      <c r="K91" s="57">
        <f>(J41)*0.06*N2+(J45+J46+J48+J53+J54+J55+J56)*0.03*N2+(J65+J68+J69+J70)*0.07*N2</f>
        <v>0</v>
      </c>
      <c r="L91" s="57"/>
      <c r="M91" s="57"/>
    </row>
    <row r="92" spans="1:13">
      <c r="C92" s="105"/>
      <c r="D92" s="105"/>
      <c r="E92" s="21" t="s">
        <v>223</v>
      </c>
      <c r="F92" s="33" t="s">
        <v>223</v>
      </c>
      <c r="G92" s="57"/>
      <c r="H92" s="54"/>
      <c r="I92" s="67"/>
      <c r="J92" s="57">
        <v>0</v>
      </c>
      <c r="K92" s="57">
        <f>(J25+J26+J27+J28+J29+J42)*0.06*N2</f>
        <v>0</v>
      </c>
      <c r="L92" s="57"/>
      <c r="M92" s="57"/>
    </row>
    <row r="93" spans="1:13">
      <c r="C93" s="105"/>
      <c r="D93" s="105"/>
      <c r="E93" s="21" t="s">
        <v>224</v>
      </c>
      <c r="F93" s="33" t="s">
        <v>224</v>
      </c>
      <c r="G93" s="57"/>
      <c r="H93" s="54"/>
      <c r="I93" s="67"/>
      <c r="J93" s="57">
        <v>0</v>
      </c>
      <c r="K93" s="57">
        <f>(0)*0.06*N2+(J60+J61+J62+J73+J76+J77+J78)*0.07*N2+(J49+J50+J81+J82)*0.03*N2</f>
        <v>0</v>
      </c>
      <c r="L93" s="57"/>
      <c r="M93" s="57"/>
    </row>
    <row r="94" spans="1:13">
      <c r="E94" s="21" t="s">
        <v>225</v>
      </c>
      <c r="F94" s="33" t="s">
        <v>225</v>
      </c>
      <c r="G94" s="57"/>
      <c r="H94" s="54"/>
      <c r="I94" s="67"/>
      <c r="J94" s="57">
        <v>0</v>
      </c>
      <c r="K94" s="57">
        <f>(J19+J20)*0.06*N2+(J51+J52+J58+J59)*0.03*N2+(J72)*0.07*N2</f>
        <v>0</v>
      </c>
      <c r="L94" s="57"/>
      <c r="M94" s="57"/>
    </row>
    <row r="95" spans="1:13">
      <c r="E95" s="21" t="s">
        <v>226</v>
      </c>
      <c r="F95" s="33" t="s">
        <v>226</v>
      </c>
      <c r="G95" s="57"/>
      <c r="H95" s="54"/>
      <c r="I95" s="67"/>
      <c r="J95" s="57">
        <v>0</v>
      </c>
      <c r="K95" s="57">
        <f>(J79)*0.07*N2+(J43+J44)*0.03*N2+(J31+J32)*0.06*N2</f>
        <v>0</v>
      </c>
      <c r="L95" s="57"/>
      <c r="M95" s="57"/>
    </row>
    <row r="96" spans="1:13">
      <c r="F96" s="58" t="s">
        <v>227</v>
      </c>
      <c r="G96" s="65">
        <f>SUM(G3:G92)</f>
        <v>0</v>
      </c>
      <c r="H96" s="66"/>
      <c r="I96" s="93">
        <f>SUM(I3:I91)</f>
        <v>0</v>
      </c>
      <c r="J96" s="65">
        <f>SUM(J3:J92)</f>
        <v>0</v>
      </c>
      <c r="K96" s="65">
        <f>J96*N2</f>
        <v>0</v>
      </c>
      <c r="L96" s="57"/>
      <c r="M96" s="57"/>
    </row>
    <row r="97" spans="3:13">
      <c r="F97" s="58" t="s">
        <v>228</v>
      </c>
      <c r="G97" s="65"/>
      <c r="H97" s="66"/>
      <c r="I97" s="93"/>
      <c r="J97" s="65"/>
      <c r="K97" s="65">
        <f>K96*0.4</f>
        <v>0</v>
      </c>
      <c r="L97" s="57"/>
      <c r="M97" s="57"/>
    </row>
    <row r="98" spans="3:13">
      <c r="F98" s="58" t="s">
        <v>261</v>
      </c>
      <c r="G98" s="65"/>
      <c r="H98" s="66"/>
      <c r="I98" s="93"/>
      <c r="J98" s="65"/>
      <c r="K98" s="65">
        <f>K96*0.6</f>
        <v>0</v>
      </c>
      <c r="L98" s="57"/>
      <c r="M98" s="57"/>
    </row>
    <row r="99" spans="3:13">
      <c r="F99" s="33"/>
      <c r="G99" s="57"/>
      <c r="H99" s="54"/>
      <c r="I99" s="67"/>
      <c r="J99" s="57"/>
      <c r="K99" s="57"/>
      <c r="L99" s="57"/>
      <c r="M99" s="57"/>
    </row>
    <row r="100" spans="3:13">
      <c r="C100" s="21" t="s">
        <v>229</v>
      </c>
      <c r="E100" s="21" t="s">
        <v>230</v>
      </c>
      <c r="F100" s="33"/>
      <c r="G100" s="57"/>
      <c r="H100" s="54"/>
      <c r="I100" s="67"/>
      <c r="J100" s="57"/>
      <c r="K100" s="57">
        <f>(J13+J15+J16+J14)*0.05+M9+M23+M31+M34+M3+M6+M38+M30+M17+M21+M19+M25</f>
        <v>0</v>
      </c>
      <c r="L100" s="57"/>
      <c r="M100" s="57"/>
    </row>
    <row r="101" spans="3:13">
      <c r="C101" s="21" t="s">
        <v>231</v>
      </c>
      <c r="E101" s="21" t="s">
        <v>230</v>
      </c>
      <c r="F101" s="33"/>
      <c r="G101" s="57"/>
      <c r="H101" s="54"/>
      <c r="I101" s="67"/>
      <c r="J101" s="57"/>
      <c r="K101" s="57">
        <f>(0)*0.05*N2+M70+M72+M77+M71+M79+M75</f>
        <v>0</v>
      </c>
      <c r="L101" s="57"/>
      <c r="M101" s="57"/>
    </row>
    <row r="102" spans="3:13">
      <c r="C102" s="21" t="s">
        <v>232</v>
      </c>
      <c r="E102" s="21" t="s">
        <v>233</v>
      </c>
      <c r="F102" s="33"/>
      <c r="G102" s="57"/>
      <c r="H102" s="54"/>
      <c r="I102" s="67"/>
      <c r="J102" s="57"/>
      <c r="K102" s="57">
        <f>M64+M60+M68</f>
        <v>0</v>
      </c>
      <c r="L102" s="57"/>
      <c r="M102" s="57"/>
    </row>
    <row r="103" spans="3:13">
      <c r="C103" s="21" t="s">
        <v>234</v>
      </c>
      <c r="E103" s="21" t="s">
        <v>230</v>
      </c>
      <c r="F103" s="33"/>
      <c r="G103" s="57"/>
      <c r="H103" s="54"/>
      <c r="I103" s="67"/>
      <c r="J103" s="57"/>
      <c r="K103" s="57">
        <f>(0)*0.05*N2+M58+M55+M48+M57+M43</f>
        <v>0</v>
      </c>
      <c r="L103" s="57"/>
      <c r="M103" s="57"/>
    </row>
    <row r="104" spans="3:13">
      <c r="C104" s="21" t="s">
        <v>235</v>
      </c>
      <c r="E104" s="21" t="s">
        <v>230</v>
      </c>
      <c r="F104" s="33"/>
      <c r="G104" s="57"/>
      <c r="H104" s="54"/>
      <c r="I104" s="67"/>
      <c r="J104" s="57"/>
      <c r="K104" s="57">
        <f>M84+M82</f>
        <v>0</v>
      </c>
      <c r="L104" s="57"/>
      <c r="M104" s="57"/>
    </row>
    <row r="105" spans="3:13">
      <c r="C105" s="21" t="s">
        <v>262</v>
      </c>
      <c r="E105" s="21" t="s">
        <v>230</v>
      </c>
      <c r="F105" s="33"/>
      <c r="G105" s="57"/>
      <c r="H105" s="54"/>
      <c r="I105" s="67"/>
      <c r="J105" s="57"/>
      <c r="K105" s="57">
        <f>J96*0.07*N2</f>
        <v>0</v>
      </c>
      <c r="L105" s="57"/>
      <c r="M105" s="57"/>
    </row>
    <row r="106" spans="3:13">
      <c r="K106" s="59">
        <f>K100+K101+K102+K103</f>
        <v>0</v>
      </c>
    </row>
    <row r="107" spans="3:13">
      <c r="K107" s="65">
        <f>K100+K101+K102+K103+K104</f>
        <v>0</v>
      </c>
    </row>
  </sheetData>
  <mergeCells count="7">
    <mergeCell ref="C88:D93"/>
    <mergeCell ref="C3:C42"/>
    <mergeCell ref="C43:C59"/>
    <mergeCell ref="C60:C69"/>
    <mergeCell ref="C70:C79"/>
    <mergeCell ref="C81:C84"/>
    <mergeCell ref="C86:C87"/>
  </mergeCells>
  <phoneticPr fontId="37" type="noConversion"/>
  <conditionalFormatting sqref="E102">
    <cfRule type="containsText" dxfId="42" priority="1" operator="containsText" text="方泽斯">
      <formula>NOT(ISERROR(SEARCH("方泽斯",E102)))</formula>
    </cfRule>
  </conditionalFormatting>
  <conditionalFormatting sqref="E94:E95">
    <cfRule type="containsText" dxfId="41" priority="2" operator="containsText" text="方泽斯">
      <formula>NOT(ISERROR(SEARCH("方泽斯",E94)))</formula>
    </cfRule>
  </conditionalFormatting>
  <pageMargins left="0.75" right="0.75" top="1" bottom="1" header="0.51" footer="0.51"/>
  <pageSetup paperSize="9" scale="58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25"/>
  <sheetViews>
    <sheetView topLeftCell="B1" zoomScaleSheetLayoutView="100" workbookViewId="0">
      <selection activeCell="F5" sqref="F5:G8"/>
    </sheetView>
  </sheetViews>
  <sheetFormatPr defaultRowHeight="13.5"/>
  <cols>
    <col min="1" max="1" width="12" style="21" hidden="1" customWidth="1"/>
    <col min="2" max="3" width="9" style="21"/>
    <col min="4" max="4" width="9" style="21" customWidth="1"/>
    <col min="5" max="5" width="27.125" style="21" customWidth="1"/>
    <col min="6" max="6" width="13.5" style="21" customWidth="1"/>
    <col min="7" max="7" width="12.625" style="21" bestFit="1" customWidth="1"/>
    <col min="8" max="8" width="14.75" style="23" customWidth="1"/>
    <col min="9" max="9" width="13.625" style="21" customWidth="1"/>
    <col min="10" max="10" width="18.875" style="21" customWidth="1"/>
    <col min="11" max="11" width="9.25" style="21" customWidth="1"/>
    <col min="12" max="12" width="10.875" style="21" customWidth="1"/>
    <col min="13" max="13" width="9" style="21"/>
    <col min="14" max="14" width="15.75" style="21" customWidth="1"/>
    <col min="15" max="16384" width="9" style="21"/>
  </cols>
  <sheetData>
    <row r="1" spans="1:24">
      <c r="B1" s="21" t="s">
        <v>450</v>
      </c>
    </row>
    <row r="2" spans="1:24" s="22" customFormat="1" ht="21" customHeight="1">
      <c r="A2" s="24"/>
      <c r="B2" s="25" t="s">
        <v>1</v>
      </c>
      <c r="C2" s="25" t="s">
        <v>2</v>
      </c>
      <c r="D2" s="25"/>
      <c r="E2" s="26" t="s">
        <v>3</v>
      </c>
      <c r="F2" s="27" t="s">
        <v>4</v>
      </c>
      <c r="G2" s="28" t="s">
        <v>5</v>
      </c>
      <c r="H2" s="29" t="s">
        <v>6</v>
      </c>
      <c r="I2" s="29" t="s">
        <v>7</v>
      </c>
      <c r="J2" s="38" t="s">
        <v>8</v>
      </c>
      <c r="K2" s="39"/>
      <c r="L2" s="40" t="s">
        <v>9</v>
      </c>
      <c r="M2" s="41">
        <v>6.75</v>
      </c>
      <c r="N2" s="42"/>
      <c r="O2" s="43"/>
      <c r="P2" s="44"/>
      <c r="Q2" s="45"/>
      <c r="R2" s="45"/>
      <c r="V2" s="46"/>
      <c r="W2" s="46"/>
      <c r="X2" s="46"/>
    </row>
    <row r="3" spans="1:24">
      <c r="B3" s="105" t="s">
        <v>451</v>
      </c>
      <c r="C3" s="21" t="s">
        <v>38</v>
      </c>
      <c r="D3" s="21" t="s">
        <v>452</v>
      </c>
      <c r="E3" s="33" t="s">
        <v>453</v>
      </c>
      <c r="F3" s="33"/>
      <c r="G3" s="54"/>
      <c r="H3" s="47"/>
      <c r="I3" s="57">
        <f>F3*G3*1-H3</f>
        <v>0</v>
      </c>
      <c r="J3" s="33">
        <f>(I3+I4+I5)*0.05*M2</f>
        <v>0</v>
      </c>
      <c r="K3" s="33">
        <f>J3/0.05*0.25</f>
        <v>0</v>
      </c>
      <c r="L3" s="21">
        <f>K3-J3</f>
        <v>0</v>
      </c>
    </row>
    <row r="4" spans="1:24">
      <c r="B4" s="105"/>
      <c r="C4" s="21" t="s">
        <v>38</v>
      </c>
      <c r="D4" s="21" t="s">
        <v>452</v>
      </c>
      <c r="E4" s="33" t="s">
        <v>454</v>
      </c>
      <c r="F4" s="33"/>
      <c r="G4" s="54"/>
      <c r="H4" s="47"/>
      <c r="I4" s="57">
        <f>F4*G4*1-H4</f>
        <v>0</v>
      </c>
      <c r="J4" s="33"/>
      <c r="K4" s="33"/>
    </row>
    <row r="5" spans="1:24">
      <c r="B5" s="105"/>
      <c r="C5" s="21" t="s">
        <v>32</v>
      </c>
      <c r="D5" s="21" t="s">
        <v>452</v>
      </c>
      <c r="E5" s="33" t="s">
        <v>453</v>
      </c>
      <c r="F5" s="33"/>
      <c r="G5" s="54"/>
      <c r="H5" s="47"/>
      <c r="I5" s="57">
        <f>F5*G5*1-H5</f>
        <v>0</v>
      </c>
      <c r="J5" s="33"/>
      <c r="K5" s="33"/>
    </row>
    <row r="6" spans="1:24">
      <c r="B6" s="105"/>
      <c r="C6" s="21" t="s">
        <v>70</v>
      </c>
      <c r="D6" s="21" t="s">
        <v>278</v>
      </c>
      <c r="E6" s="33" t="s">
        <v>302</v>
      </c>
      <c r="F6" s="33"/>
      <c r="G6" s="54"/>
      <c r="H6" s="47"/>
      <c r="I6" s="57">
        <f>F6*G6*1-H6</f>
        <v>0</v>
      </c>
      <c r="J6" s="33"/>
      <c r="K6" s="33"/>
    </row>
    <row r="7" spans="1:24">
      <c r="B7" s="21" t="s">
        <v>83</v>
      </c>
      <c r="C7" s="21" t="s">
        <v>441</v>
      </c>
      <c r="D7" s="21" t="s">
        <v>455</v>
      </c>
      <c r="E7" s="33" t="s">
        <v>456</v>
      </c>
      <c r="F7" s="33"/>
      <c r="G7" s="54"/>
      <c r="H7" s="47"/>
      <c r="I7" s="57">
        <f>F7*G7*1-H7</f>
        <v>0</v>
      </c>
      <c r="J7" s="33"/>
      <c r="K7" s="33"/>
    </row>
    <row r="8" spans="1:24">
      <c r="A8" s="21">
        <v>42795</v>
      </c>
      <c r="B8" s="105" t="s">
        <v>218</v>
      </c>
      <c r="C8" s="105"/>
      <c r="D8" s="21" t="s">
        <v>219</v>
      </c>
      <c r="E8" s="33" t="s">
        <v>219</v>
      </c>
      <c r="F8" s="33"/>
      <c r="G8" s="54"/>
      <c r="H8" s="47"/>
      <c r="I8" s="57">
        <f>(F8*G8*0.98)-H8</f>
        <v>0</v>
      </c>
      <c r="J8" s="33">
        <f>(I3+I4+I5)*0.01*M2</f>
        <v>0</v>
      </c>
      <c r="K8" s="33"/>
    </row>
    <row r="9" spans="1:24">
      <c r="A9" s="21">
        <v>42795</v>
      </c>
      <c r="B9" s="105"/>
      <c r="C9" s="105"/>
      <c r="D9" s="21" t="s">
        <v>220</v>
      </c>
      <c r="E9" s="33" t="s">
        <v>220</v>
      </c>
      <c r="F9" s="33"/>
      <c r="G9" s="54"/>
      <c r="H9" s="47"/>
      <c r="I9" s="57">
        <f>(F9*G9*0.98)-H9</f>
        <v>0</v>
      </c>
      <c r="J9" s="33" t="e">
        <f>(#REF!+#REF!)*0.06*M2</f>
        <v>#REF!</v>
      </c>
      <c r="K9" s="33"/>
    </row>
    <row r="10" spans="1:24">
      <c r="A10" s="21">
        <v>42795</v>
      </c>
      <c r="B10" s="105"/>
      <c r="C10" s="105"/>
      <c r="D10" s="21" t="s">
        <v>221</v>
      </c>
      <c r="E10" s="33" t="s">
        <v>221</v>
      </c>
      <c r="F10" s="33"/>
      <c r="G10" s="54"/>
      <c r="H10" s="47"/>
      <c r="I10" s="57">
        <f>(F10*G10*0.98)-H10</f>
        <v>0</v>
      </c>
      <c r="J10" s="33">
        <f>(I3+I4)*0.07*M2</f>
        <v>0</v>
      </c>
      <c r="K10" s="33"/>
    </row>
    <row r="11" spans="1:24">
      <c r="A11" s="21">
        <v>42795</v>
      </c>
      <c r="B11" s="105"/>
      <c r="C11" s="105"/>
      <c r="D11" s="21" t="s">
        <v>457</v>
      </c>
      <c r="E11" s="33" t="s">
        <v>457</v>
      </c>
      <c r="F11" s="33"/>
      <c r="G11" s="33"/>
      <c r="H11" s="47"/>
      <c r="I11" s="57">
        <f>(F11*G11*0.98)-H11</f>
        <v>0</v>
      </c>
      <c r="J11" s="33">
        <v>0</v>
      </c>
      <c r="K11" s="33"/>
    </row>
    <row r="12" spans="1:24">
      <c r="B12" s="105"/>
      <c r="C12" s="105"/>
      <c r="D12" s="21" t="s">
        <v>224</v>
      </c>
      <c r="E12" s="33" t="s">
        <v>224</v>
      </c>
      <c r="F12" s="33"/>
      <c r="G12" s="33"/>
      <c r="H12" s="47"/>
      <c r="I12" s="33">
        <v>0</v>
      </c>
      <c r="J12" s="33" t="e">
        <f>(#REF!)*0.07*M2</f>
        <v>#REF!</v>
      </c>
      <c r="K12" s="33"/>
    </row>
    <row r="13" spans="1:24">
      <c r="B13" s="105"/>
      <c r="C13" s="105"/>
      <c r="D13" s="21" t="s">
        <v>458</v>
      </c>
      <c r="E13" s="33" t="s">
        <v>458</v>
      </c>
      <c r="F13" s="33"/>
      <c r="G13" s="33"/>
      <c r="H13" s="47"/>
      <c r="I13" s="33">
        <v>0</v>
      </c>
      <c r="J13" s="33">
        <v>0</v>
      </c>
      <c r="K13" s="33"/>
    </row>
    <row r="14" spans="1:24">
      <c r="A14" s="21">
        <v>42795</v>
      </c>
      <c r="B14" s="105"/>
      <c r="C14" s="105"/>
      <c r="D14" s="21" t="s">
        <v>68</v>
      </c>
      <c r="E14" s="33" t="s">
        <v>68</v>
      </c>
      <c r="F14" s="33"/>
      <c r="G14" s="33"/>
      <c r="H14" s="47"/>
      <c r="I14" s="33">
        <v>0</v>
      </c>
      <c r="J14" s="33" t="e">
        <f>(#REF!)*0.06*M2</f>
        <v>#REF!</v>
      </c>
      <c r="K14" s="33"/>
    </row>
    <row r="15" spans="1:24">
      <c r="A15" s="21">
        <v>42795</v>
      </c>
      <c r="E15" s="55" t="s">
        <v>227</v>
      </c>
      <c r="F15" s="55">
        <f>SUM(F3:F11)</f>
        <v>0</v>
      </c>
      <c r="G15" s="55"/>
      <c r="H15" s="56">
        <f>SUM(H3:H8)</f>
        <v>0</v>
      </c>
      <c r="I15" s="55">
        <f>SUM(I3:I8)</f>
        <v>0</v>
      </c>
      <c r="J15" s="55">
        <f>I15*M2</f>
        <v>0</v>
      </c>
      <c r="K15" s="33"/>
    </row>
    <row r="16" spans="1:24">
      <c r="E16" s="55" t="s">
        <v>228</v>
      </c>
      <c r="F16" s="33"/>
      <c r="G16" s="33"/>
      <c r="H16" s="47"/>
      <c r="I16" s="33"/>
      <c r="J16" s="55">
        <f>J15*0.4</f>
        <v>0</v>
      </c>
      <c r="K16" s="33"/>
    </row>
    <row r="17" spans="1:11">
      <c r="E17" s="55" t="s">
        <v>261</v>
      </c>
      <c r="F17" s="33"/>
      <c r="G17" s="33"/>
      <c r="H17" s="47"/>
      <c r="I17" s="33"/>
      <c r="J17" s="55">
        <f>J15*0.6</f>
        <v>0</v>
      </c>
      <c r="K17" s="33"/>
    </row>
    <row r="18" spans="1:11">
      <c r="E18" s="33"/>
      <c r="F18" s="33"/>
      <c r="G18" s="33"/>
      <c r="H18" s="47"/>
      <c r="I18" s="33"/>
      <c r="J18" s="33"/>
      <c r="K18" s="33"/>
    </row>
    <row r="19" spans="1:11">
      <c r="A19" s="21">
        <v>42795</v>
      </c>
      <c r="B19" s="21" t="s">
        <v>355</v>
      </c>
      <c r="D19" s="21" t="s">
        <v>459</v>
      </c>
      <c r="E19" s="33"/>
      <c r="F19" s="33"/>
      <c r="G19" s="33"/>
      <c r="H19" s="47"/>
      <c r="I19" s="33"/>
      <c r="J19" s="33">
        <f>L3</f>
        <v>0</v>
      </c>
      <c r="K19" s="33"/>
    </row>
    <row r="20" spans="1:11">
      <c r="A20" s="21">
        <v>42795</v>
      </c>
      <c r="B20" s="21" t="s">
        <v>356</v>
      </c>
      <c r="D20" s="21" t="s">
        <v>460</v>
      </c>
      <c r="E20" s="33"/>
      <c r="F20" s="33"/>
      <c r="G20" s="33"/>
      <c r="H20" s="47"/>
      <c r="I20" s="33"/>
      <c r="J20" s="33">
        <v>0</v>
      </c>
      <c r="K20" s="33"/>
    </row>
    <row r="21" spans="1:11">
      <c r="A21" s="21">
        <v>42795</v>
      </c>
      <c r="B21" s="21" t="s">
        <v>357</v>
      </c>
      <c r="D21" s="21" t="s">
        <v>93</v>
      </c>
      <c r="E21" s="33"/>
      <c r="F21" s="33"/>
      <c r="G21" s="33"/>
      <c r="H21" s="47"/>
      <c r="I21" s="33"/>
      <c r="J21" s="33">
        <v>0</v>
      </c>
      <c r="K21" s="33"/>
    </row>
    <row r="22" spans="1:11">
      <c r="A22" s="21">
        <v>42795</v>
      </c>
      <c r="B22" s="21" t="s">
        <v>358</v>
      </c>
      <c r="D22" s="21" t="s">
        <v>230</v>
      </c>
      <c r="E22" s="33"/>
      <c r="F22" s="33"/>
      <c r="G22" s="33"/>
      <c r="H22" s="47"/>
      <c r="I22" s="33"/>
      <c r="J22" s="33">
        <v>0</v>
      </c>
      <c r="K22" s="33"/>
    </row>
    <row r="23" spans="1:11">
      <c r="A23" s="21">
        <v>42795</v>
      </c>
      <c r="B23" s="21" t="s">
        <v>363</v>
      </c>
      <c r="E23" s="33"/>
      <c r="F23" s="33"/>
      <c r="G23" s="33"/>
      <c r="H23" s="47"/>
      <c r="I23" s="33"/>
      <c r="J23" s="33">
        <v>0</v>
      </c>
      <c r="K23" s="33"/>
    </row>
    <row r="24" spans="1:11">
      <c r="A24" s="21">
        <v>42795</v>
      </c>
      <c r="B24" s="21" t="s">
        <v>262</v>
      </c>
      <c r="E24" s="33"/>
      <c r="F24" s="33"/>
      <c r="G24" s="33"/>
      <c r="H24" s="47"/>
      <c r="I24" s="33"/>
      <c r="J24" s="33">
        <v>0</v>
      </c>
      <c r="K24" s="33"/>
    </row>
    <row r="25" spans="1:11">
      <c r="J25" s="58">
        <f>J19+J20+J21+J22</f>
        <v>0</v>
      </c>
    </row>
  </sheetData>
  <mergeCells count="2">
    <mergeCell ref="B3:B6"/>
    <mergeCell ref="B8:C14"/>
  </mergeCells>
  <phoneticPr fontId="37" type="noConversion"/>
  <pageMargins left="0.75" right="0.75" top="1" bottom="1" header="0.51" footer="0.51"/>
  <pageSetup paperSize="9" scale="89" orientation="landscape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21"/>
  <sheetViews>
    <sheetView topLeftCell="B1" zoomScaleSheetLayoutView="100" workbookViewId="0">
      <selection activeCell="E22" sqref="E22"/>
    </sheetView>
  </sheetViews>
  <sheetFormatPr defaultRowHeight="13.5"/>
  <cols>
    <col min="1" max="1" width="12" style="21" hidden="1" customWidth="1"/>
    <col min="2" max="2" width="10.875" style="21" customWidth="1"/>
    <col min="3" max="3" width="9" style="21"/>
    <col min="4" max="4" width="9" style="21" customWidth="1"/>
    <col min="5" max="5" width="27.25" style="21" customWidth="1"/>
    <col min="6" max="6" width="13.5" style="21" customWidth="1"/>
    <col min="7" max="7" width="11.5" style="21" customWidth="1"/>
    <col min="8" max="8" width="14.125" style="23" customWidth="1"/>
    <col min="9" max="9" width="13.625" style="21" customWidth="1"/>
    <col min="10" max="10" width="17.125" style="21" customWidth="1"/>
    <col min="11" max="11" width="4.125" style="21" customWidth="1"/>
    <col min="12" max="12" width="13.375" style="21" customWidth="1"/>
    <col min="13" max="13" width="9" style="21"/>
    <col min="14" max="14" width="15.75" style="21" customWidth="1"/>
    <col min="15" max="16384" width="9" style="21"/>
  </cols>
  <sheetData>
    <row r="1" spans="1:24" ht="24" customHeight="1">
      <c r="B1" s="52" t="s">
        <v>461</v>
      </c>
    </row>
    <row r="2" spans="1:24" s="22" customFormat="1" ht="21" customHeight="1">
      <c r="A2" s="24"/>
      <c r="B2" s="25" t="s">
        <v>1</v>
      </c>
      <c r="C2" s="25" t="s">
        <v>2</v>
      </c>
      <c r="D2" s="25"/>
      <c r="E2" s="26" t="s">
        <v>3</v>
      </c>
      <c r="F2" s="27" t="s">
        <v>4</v>
      </c>
      <c r="G2" s="28" t="s">
        <v>5</v>
      </c>
      <c r="H2" s="29" t="s">
        <v>6</v>
      </c>
      <c r="I2" s="29" t="s">
        <v>7</v>
      </c>
      <c r="J2" s="38" t="s">
        <v>8</v>
      </c>
      <c r="K2" s="39"/>
      <c r="L2" s="40" t="s">
        <v>9</v>
      </c>
      <c r="M2" s="41">
        <v>6.2</v>
      </c>
      <c r="N2" s="42"/>
      <c r="O2" s="43"/>
      <c r="P2" s="44"/>
      <c r="Q2" s="45"/>
      <c r="R2" s="45"/>
      <c r="V2" s="46"/>
      <c r="W2" s="46"/>
      <c r="X2" s="46"/>
    </row>
    <row r="3" spans="1:24">
      <c r="A3" s="21">
        <v>42795</v>
      </c>
      <c r="B3" s="105" t="s">
        <v>10</v>
      </c>
      <c r="C3" s="21" t="s">
        <v>272</v>
      </c>
      <c r="D3" s="21" t="s">
        <v>278</v>
      </c>
      <c r="E3" s="53" t="s">
        <v>302</v>
      </c>
      <c r="F3" s="33"/>
      <c r="G3" s="32"/>
      <c r="H3" s="47"/>
      <c r="I3" s="33">
        <f>F3*G3*0.98-H3</f>
        <v>0</v>
      </c>
      <c r="J3" s="33">
        <f>(I3+I4)*0.2*M2</f>
        <v>0</v>
      </c>
    </row>
    <row r="4" spans="1:24">
      <c r="B4" s="105"/>
      <c r="C4" s="21" t="s">
        <v>272</v>
      </c>
      <c r="D4" s="21" t="s">
        <v>278</v>
      </c>
      <c r="E4" s="53" t="s">
        <v>305</v>
      </c>
      <c r="F4" s="33"/>
      <c r="G4" s="33"/>
      <c r="H4" s="47"/>
      <c r="I4" s="33">
        <f>F4*G4*0.98-H4</f>
        <v>0</v>
      </c>
      <c r="J4" s="33">
        <f>(I4)*0.03*M2</f>
        <v>0</v>
      </c>
    </row>
    <row r="5" spans="1:24">
      <c r="A5" s="21">
        <v>42795</v>
      </c>
      <c r="B5" s="105"/>
      <c r="C5" s="21" t="s">
        <v>38</v>
      </c>
      <c r="D5" s="21" t="s">
        <v>452</v>
      </c>
      <c r="E5" s="53" t="s">
        <v>462</v>
      </c>
      <c r="F5" s="33"/>
      <c r="G5" s="33"/>
      <c r="H5" s="47"/>
      <c r="I5" s="33">
        <f>F5*G5*0.98-H5</f>
        <v>0</v>
      </c>
      <c r="J5" s="33">
        <f>(I5)*0.03*M2</f>
        <v>0</v>
      </c>
      <c r="K5" s="21">
        <f>(I5)*0.25*M2</f>
        <v>0</v>
      </c>
      <c r="L5" s="21">
        <f>K5-J5</f>
        <v>0</v>
      </c>
    </row>
    <row r="6" spans="1:24">
      <c r="A6" s="21">
        <v>42795</v>
      </c>
      <c r="B6" s="105" t="s">
        <v>218</v>
      </c>
      <c r="C6" s="105"/>
      <c r="D6" s="21" t="s">
        <v>219</v>
      </c>
      <c r="E6" s="33" t="s">
        <v>219</v>
      </c>
      <c r="F6" s="33"/>
      <c r="G6" s="33"/>
      <c r="H6" s="47"/>
      <c r="I6" s="33">
        <f>(F6*G6*0.98)-H6</f>
        <v>0</v>
      </c>
      <c r="J6" s="33">
        <f>(I4+I5+I3)*0.01*M2</f>
        <v>0</v>
      </c>
    </row>
    <row r="7" spans="1:24">
      <c r="A7" s="21">
        <v>42795</v>
      </c>
      <c r="B7" s="105"/>
      <c r="C7" s="105"/>
      <c r="D7" s="21" t="s">
        <v>220</v>
      </c>
      <c r="E7" s="33" t="s">
        <v>220</v>
      </c>
      <c r="F7" s="33"/>
      <c r="G7" s="33"/>
      <c r="H7" s="47"/>
      <c r="I7" s="33">
        <f>(F7*G7*0.98)-H7</f>
        <v>0</v>
      </c>
      <c r="J7" s="33" t="e">
        <f>(#REF!)*0.06*M2</f>
        <v>#REF!</v>
      </c>
    </row>
    <row r="8" spans="1:24">
      <c r="A8" s="21">
        <v>42795</v>
      </c>
      <c r="B8" s="105"/>
      <c r="C8" s="105"/>
      <c r="D8" s="21" t="s">
        <v>221</v>
      </c>
      <c r="E8" s="33" t="s">
        <v>221</v>
      </c>
      <c r="F8" s="33"/>
      <c r="G8" s="33"/>
      <c r="H8" s="47"/>
      <c r="I8" s="33">
        <f>(F8*G8*0.98)-H8</f>
        <v>0</v>
      </c>
      <c r="J8" s="33">
        <f>(I5)*0.07*M2</f>
        <v>0</v>
      </c>
    </row>
    <row r="9" spans="1:24">
      <c r="A9" s="21">
        <v>42795</v>
      </c>
      <c r="B9" s="105"/>
      <c r="C9" s="105"/>
      <c r="D9" s="21" t="s">
        <v>457</v>
      </c>
      <c r="E9" s="33" t="s">
        <v>457</v>
      </c>
      <c r="F9" s="33"/>
      <c r="G9" s="33"/>
      <c r="H9" s="47"/>
      <c r="I9" s="33">
        <f>(F9*G9*0.98)-H9</f>
        <v>0</v>
      </c>
      <c r="J9" s="33">
        <f>(I3+I4)*0.06*M2</f>
        <v>0</v>
      </c>
    </row>
    <row r="10" spans="1:24">
      <c r="A10" s="21">
        <v>42795</v>
      </c>
      <c r="B10" s="105"/>
      <c r="C10" s="105"/>
      <c r="D10" s="21" t="s">
        <v>68</v>
      </c>
      <c r="E10" s="33" t="s">
        <v>68</v>
      </c>
      <c r="F10" s="33"/>
      <c r="G10" s="33"/>
      <c r="H10" s="47"/>
      <c r="I10" s="33"/>
      <c r="J10" s="33">
        <v>0</v>
      </c>
    </row>
    <row r="11" spans="1:24" ht="14.25">
      <c r="A11" s="21">
        <v>42795</v>
      </c>
      <c r="E11" s="48" t="s">
        <v>227</v>
      </c>
      <c r="F11" s="49">
        <f>SUM(F3:F9)</f>
        <v>0</v>
      </c>
      <c r="G11" s="43"/>
      <c r="H11" s="50">
        <f>SUM(H3:H9)</f>
        <v>0</v>
      </c>
      <c r="I11" s="51">
        <f>SUM(I3:I5)</f>
        <v>0</v>
      </c>
      <c r="J11" s="36">
        <f>I11*M2</f>
        <v>0</v>
      </c>
    </row>
    <row r="12" spans="1:24">
      <c r="E12" s="48" t="s">
        <v>228</v>
      </c>
      <c r="J12" s="37">
        <f>J11*0.4</f>
        <v>0</v>
      </c>
    </row>
    <row r="13" spans="1:24">
      <c r="E13" s="48" t="s">
        <v>261</v>
      </c>
      <c r="J13" s="37">
        <f>J11*0.6</f>
        <v>0</v>
      </c>
    </row>
    <row r="15" spans="1:24">
      <c r="A15" s="21">
        <v>42795</v>
      </c>
      <c r="B15" s="21" t="s">
        <v>442</v>
      </c>
      <c r="D15" s="21" t="s">
        <v>459</v>
      </c>
      <c r="J15" s="21">
        <f>(I3+I4)*0.05*M2+L5</f>
        <v>0</v>
      </c>
    </row>
    <row r="16" spans="1:24">
      <c r="A16" s="21">
        <v>42795</v>
      </c>
      <c r="B16" s="21" t="s">
        <v>443</v>
      </c>
      <c r="D16" s="21" t="s">
        <v>460</v>
      </c>
      <c r="J16" s="21">
        <v>0</v>
      </c>
    </row>
    <row r="17" spans="1:10">
      <c r="A17" s="21">
        <v>42795</v>
      </c>
      <c r="B17" s="21" t="s">
        <v>444</v>
      </c>
      <c r="D17" s="21" t="s">
        <v>93</v>
      </c>
      <c r="J17" s="21">
        <v>0</v>
      </c>
    </row>
    <row r="18" spans="1:10">
      <c r="A18" s="21">
        <v>42795</v>
      </c>
      <c r="B18" s="21" t="s">
        <v>445</v>
      </c>
      <c r="D18" s="21" t="s">
        <v>230</v>
      </c>
      <c r="J18" s="21">
        <v>0</v>
      </c>
    </row>
    <row r="19" spans="1:10">
      <c r="A19" s="21">
        <v>42795</v>
      </c>
      <c r="B19" s="21" t="s">
        <v>363</v>
      </c>
      <c r="J19" s="21">
        <v>0</v>
      </c>
    </row>
    <row r="20" spans="1:10">
      <c r="A20" s="21">
        <v>42795</v>
      </c>
      <c r="B20" s="21" t="s">
        <v>262</v>
      </c>
      <c r="J20" s="21">
        <v>0</v>
      </c>
    </row>
    <row r="21" spans="1:10">
      <c r="J21" s="21">
        <f>J15</f>
        <v>0</v>
      </c>
    </row>
  </sheetData>
  <mergeCells count="2">
    <mergeCell ref="B3:B5"/>
    <mergeCell ref="B6:C10"/>
  </mergeCells>
  <phoneticPr fontId="37" type="noConversion"/>
  <pageMargins left="0.75" right="0.75" top="1" bottom="1" header="0.51" footer="0.51"/>
  <pageSetup paperSize="9" scale="92" orientation="landscape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23"/>
  <sheetViews>
    <sheetView topLeftCell="B1" zoomScaleSheetLayoutView="100" workbookViewId="0">
      <selection activeCell="E23" sqref="E23"/>
    </sheetView>
  </sheetViews>
  <sheetFormatPr defaultRowHeight="13.5"/>
  <cols>
    <col min="1" max="1" width="12" style="21" hidden="1" customWidth="1"/>
    <col min="2" max="3" width="9" style="21"/>
    <col min="4" max="4" width="9" style="21" customWidth="1"/>
    <col min="5" max="5" width="27" style="21" customWidth="1"/>
    <col min="6" max="6" width="15.375" style="21" customWidth="1"/>
    <col min="7" max="7" width="12.625" style="21" bestFit="1" customWidth="1"/>
    <col min="8" max="8" width="16.75" style="23" customWidth="1"/>
    <col min="9" max="9" width="13.625" style="21" customWidth="1"/>
    <col min="10" max="10" width="15.625" style="21" customWidth="1"/>
    <col min="11" max="11" width="7.125" style="21" customWidth="1"/>
    <col min="12" max="12" width="13.375" style="21" customWidth="1"/>
    <col min="13" max="13" width="9" style="21"/>
    <col min="14" max="14" width="15.75" style="21" customWidth="1"/>
    <col min="15" max="16384" width="9" style="21"/>
  </cols>
  <sheetData>
    <row r="1" spans="1:24">
      <c r="B1" s="21" t="s">
        <v>463</v>
      </c>
    </row>
    <row r="2" spans="1:24" s="22" customFormat="1" ht="21" customHeight="1">
      <c r="A2" s="24"/>
      <c r="B2" s="25" t="s">
        <v>1</v>
      </c>
      <c r="C2" s="25" t="s">
        <v>2</v>
      </c>
      <c r="D2" s="25"/>
      <c r="E2" s="26" t="s">
        <v>3</v>
      </c>
      <c r="F2" s="27" t="s">
        <v>4</v>
      </c>
      <c r="G2" s="28" t="s">
        <v>5</v>
      </c>
      <c r="H2" s="29" t="s">
        <v>6</v>
      </c>
      <c r="I2" s="29" t="s">
        <v>7</v>
      </c>
      <c r="J2" s="38" t="s">
        <v>8</v>
      </c>
      <c r="K2" s="39"/>
      <c r="L2" s="40" t="s">
        <v>9</v>
      </c>
      <c r="M2" s="41">
        <v>6.2</v>
      </c>
      <c r="N2" s="42"/>
      <c r="O2" s="43"/>
      <c r="P2" s="44"/>
      <c r="Q2" s="45"/>
      <c r="R2" s="45"/>
      <c r="V2" s="46"/>
      <c r="W2" s="46"/>
      <c r="X2" s="46"/>
    </row>
    <row r="3" spans="1:24">
      <c r="A3" s="21">
        <v>42795</v>
      </c>
      <c r="B3" s="21" t="s">
        <v>10</v>
      </c>
      <c r="C3" s="21" t="s">
        <v>38</v>
      </c>
      <c r="D3" s="21" t="s">
        <v>452</v>
      </c>
      <c r="E3" s="33" t="s">
        <v>454</v>
      </c>
      <c r="F3" s="33"/>
      <c r="G3" s="33"/>
      <c r="H3" s="47"/>
      <c r="I3" s="33">
        <f>F3*G3*1-H3</f>
        <v>0</v>
      </c>
      <c r="J3" s="33">
        <f>I3*0.2*M2</f>
        <v>0</v>
      </c>
    </row>
    <row r="4" spans="1:24">
      <c r="A4" s="21">
        <v>42795</v>
      </c>
      <c r="B4" s="105" t="s">
        <v>218</v>
      </c>
      <c r="C4" s="105"/>
      <c r="D4" s="21" t="s">
        <v>219</v>
      </c>
      <c r="E4" s="33" t="s">
        <v>219</v>
      </c>
      <c r="F4" s="33"/>
      <c r="G4" s="33"/>
      <c r="H4" s="47"/>
      <c r="I4" s="33">
        <f>(F4*G4*0.98)-H4</f>
        <v>0</v>
      </c>
      <c r="J4" s="33">
        <f>I3*0.01*M2</f>
        <v>0</v>
      </c>
    </row>
    <row r="5" spans="1:24">
      <c r="A5" s="21">
        <v>42795</v>
      </c>
      <c r="B5" s="105"/>
      <c r="C5" s="105"/>
      <c r="D5" s="21" t="s">
        <v>220</v>
      </c>
      <c r="E5" s="33" t="s">
        <v>220</v>
      </c>
      <c r="F5" s="33"/>
      <c r="G5" s="33"/>
      <c r="H5" s="47"/>
      <c r="I5" s="33">
        <f>(F5*G5*0.98)-H5</f>
        <v>0</v>
      </c>
      <c r="J5" s="33" t="e">
        <f>(#REF!)*0.06*M2</f>
        <v>#REF!</v>
      </c>
    </row>
    <row r="6" spans="1:24">
      <c r="A6" s="21">
        <v>42795</v>
      </c>
      <c r="B6" s="105"/>
      <c r="C6" s="105"/>
      <c r="D6" s="21" t="s">
        <v>221</v>
      </c>
      <c r="E6" s="33" t="s">
        <v>221</v>
      </c>
      <c r="F6" s="33"/>
      <c r="G6" s="33"/>
      <c r="H6" s="47"/>
      <c r="I6" s="33">
        <f>(F6*G6*0.98)-H6</f>
        <v>0</v>
      </c>
      <c r="J6" s="33">
        <f>(I3)*0.06*M2</f>
        <v>0</v>
      </c>
    </row>
    <row r="7" spans="1:24">
      <c r="A7" s="21">
        <v>42795</v>
      </c>
      <c r="B7" s="105"/>
      <c r="C7" s="105"/>
      <c r="D7" s="21" t="s">
        <v>457</v>
      </c>
      <c r="E7" s="33" t="s">
        <v>457</v>
      </c>
      <c r="F7" s="33"/>
      <c r="G7" s="33"/>
      <c r="H7" s="47"/>
      <c r="I7" s="33">
        <f>(F7*G7*0.98)-H7</f>
        <v>0</v>
      </c>
      <c r="J7" s="33" t="e">
        <f>(#REF!+#REF!+#REF!+#REF!+#REF!+#REF!)*0.07*M2</f>
        <v>#REF!</v>
      </c>
    </row>
    <row r="8" spans="1:24">
      <c r="A8" s="21">
        <v>42795</v>
      </c>
      <c r="B8" s="105"/>
      <c r="C8" s="105"/>
      <c r="D8" s="21" t="s">
        <v>68</v>
      </c>
      <c r="E8" s="33" t="s">
        <v>68</v>
      </c>
      <c r="F8" s="33"/>
      <c r="G8" s="33"/>
      <c r="H8" s="47"/>
      <c r="I8" s="33">
        <v>0</v>
      </c>
      <c r="J8" s="33" t="e">
        <f>#REF!*0.055*M2</f>
        <v>#REF!</v>
      </c>
    </row>
    <row r="9" spans="1:24">
      <c r="B9" s="105"/>
      <c r="C9" s="105"/>
      <c r="D9" s="21" t="s">
        <v>224</v>
      </c>
      <c r="E9" s="33" t="s">
        <v>224</v>
      </c>
      <c r="F9" s="33"/>
      <c r="G9" s="33"/>
      <c r="H9" s="47"/>
      <c r="I9" s="33">
        <v>0</v>
      </c>
      <c r="J9" s="33" t="e">
        <f>(#REF!+#REF!)*0.07*M2</f>
        <v>#REF!</v>
      </c>
    </row>
    <row r="10" spans="1:24">
      <c r="B10" s="105"/>
      <c r="C10" s="105"/>
      <c r="D10" s="21" t="s">
        <v>458</v>
      </c>
      <c r="E10" s="33" t="s">
        <v>458</v>
      </c>
      <c r="F10" s="33"/>
      <c r="G10" s="33"/>
      <c r="H10" s="47"/>
      <c r="I10" s="33">
        <v>0</v>
      </c>
      <c r="J10" s="33" t="e">
        <f>(#REF!+#REF!)*0.07*M2</f>
        <v>#REF!</v>
      </c>
    </row>
    <row r="11" spans="1:24" ht="14.25">
      <c r="A11" s="21">
        <v>42795</v>
      </c>
      <c r="E11" s="48" t="s">
        <v>227</v>
      </c>
      <c r="F11" s="49">
        <f>SUM(F3:F7)</f>
        <v>0</v>
      </c>
      <c r="G11" s="43"/>
      <c r="H11" s="50">
        <f>SUM(H3:H7)</f>
        <v>0</v>
      </c>
      <c r="I11" s="51">
        <f>SUM(I3:I3)</f>
        <v>0</v>
      </c>
      <c r="J11" s="36">
        <f>I11*M2</f>
        <v>0</v>
      </c>
    </row>
    <row r="12" spans="1:24">
      <c r="E12" s="48" t="s">
        <v>228</v>
      </c>
      <c r="J12" s="37">
        <f>J11*0.4</f>
        <v>0</v>
      </c>
    </row>
    <row r="13" spans="1:24">
      <c r="E13" s="48" t="s">
        <v>261</v>
      </c>
      <c r="J13" s="37">
        <f>J11*0.6</f>
        <v>0</v>
      </c>
    </row>
    <row r="15" spans="1:24">
      <c r="A15" s="21">
        <v>42795</v>
      </c>
      <c r="B15" s="21" t="s">
        <v>355</v>
      </c>
      <c r="D15" s="21" t="s">
        <v>459</v>
      </c>
      <c r="J15" s="21" t="e">
        <f>#REF!</f>
        <v>#REF!</v>
      </c>
    </row>
    <row r="16" spans="1:24">
      <c r="A16" s="21">
        <v>42795</v>
      </c>
      <c r="B16" s="21" t="s">
        <v>356</v>
      </c>
      <c r="D16" s="21" t="s">
        <v>460</v>
      </c>
      <c r="J16" s="21" t="e">
        <f>(#REF!+#REF!+#REF!)*0.05*M2</f>
        <v>#REF!</v>
      </c>
    </row>
    <row r="17" spans="1:11">
      <c r="A17" s="21">
        <v>42795</v>
      </c>
      <c r="B17" s="21" t="s">
        <v>357</v>
      </c>
      <c r="D17" s="21" t="s">
        <v>93</v>
      </c>
      <c r="J17" s="21" t="e">
        <f>#REF!</f>
        <v>#REF!</v>
      </c>
    </row>
    <row r="18" spans="1:11">
      <c r="A18" s="21">
        <v>42795</v>
      </c>
      <c r="B18" s="21" t="s">
        <v>358</v>
      </c>
      <c r="D18" s="21" t="s">
        <v>230</v>
      </c>
      <c r="J18" s="21" t="e">
        <f>(#REF!)*0.05*M2</f>
        <v>#REF!</v>
      </c>
    </row>
    <row r="19" spans="1:11">
      <c r="A19" s="21">
        <v>42795</v>
      </c>
      <c r="B19" s="21" t="s">
        <v>262</v>
      </c>
      <c r="J19" s="21">
        <f>SUM(I3:I3)*0.07*M2</f>
        <v>0</v>
      </c>
    </row>
    <row r="23" spans="1:11">
      <c r="H23" s="21"/>
      <c r="K23" s="23"/>
    </row>
  </sheetData>
  <mergeCells count="1">
    <mergeCell ref="B4:C10"/>
  </mergeCells>
  <phoneticPr fontId="37" type="noConversion"/>
  <pageMargins left="0.75" right="0.75" top="1" bottom="1" header="0.51" footer="0.51"/>
  <pageSetup paperSize="9" scale="86" orientation="landscape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X23"/>
  <sheetViews>
    <sheetView topLeftCell="B1" zoomScaleSheetLayoutView="100" workbookViewId="0">
      <selection activeCell="E20" sqref="E20"/>
    </sheetView>
  </sheetViews>
  <sheetFormatPr defaultRowHeight="13.5"/>
  <cols>
    <col min="1" max="1" width="12" style="21" hidden="1" customWidth="1"/>
    <col min="2" max="3" width="9" style="21"/>
    <col min="4" max="4" width="17.75" style="21" customWidth="1"/>
    <col min="5" max="5" width="27" style="21" customWidth="1"/>
    <col min="6" max="6" width="15.375" style="21" customWidth="1"/>
    <col min="7" max="7" width="12.625" style="21" bestFit="1" customWidth="1"/>
    <col min="8" max="8" width="16.75" style="23" customWidth="1"/>
    <col min="9" max="9" width="13.625" style="21" customWidth="1"/>
    <col min="10" max="10" width="15.625" style="21" customWidth="1"/>
    <col min="11" max="11" width="7.125" style="21" customWidth="1"/>
    <col min="12" max="12" width="13.375" style="21" customWidth="1"/>
    <col min="13" max="13" width="9" style="21"/>
    <col min="14" max="14" width="15.75" style="21" customWidth="1"/>
    <col min="15" max="16384" width="9" style="21"/>
  </cols>
  <sheetData>
    <row r="1" spans="1:24">
      <c r="B1" s="21" t="s">
        <v>464</v>
      </c>
    </row>
    <row r="2" spans="1:24" s="22" customFormat="1" ht="21" customHeight="1">
      <c r="A2" s="24"/>
      <c r="B2" s="25" t="s">
        <v>1</v>
      </c>
      <c r="C2" s="25" t="s">
        <v>2</v>
      </c>
      <c r="D2" s="25" t="s">
        <v>3</v>
      </c>
      <c r="E2" s="26" t="s">
        <v>4</v>
      </c>
      <c r="F2" s="27" t="s">
        <v>5</v>
      </c>
      <c r="G2" s="28" t="s">
        <v>6</v>
      </c>
      <c r="H2" s="29" t="s">
        <v>7</v>
      </c>
      <c r="I2" s="29" t="s">
        <v>8</v>
      </c>
      <c r="J2" s="38" t="s">
        <v>465</v>
      </c>
      <c r="K2" s="39" t="s">
        <v>9</v>
      </c>
      <c r="L2" s="40">
        <v>6.2</v>
      </c>
      <c r="M2" s="41"/>
      <c r="N2" s="42"/>
      <c r="O2" s="43"/>
      <c r="P2" s="44"/>
      <c r="Q2" s="45"/>
      <c r="R2" s="45"/>
      <c r="V2" s="46"/>
      <c r="W2" s="46"/>
      <c r="X2" s="46"/>
    </row>
    <row r="3" spans="1:24">
      <c r="A3" s="21">
        <v>42795</v>
      </c>
      <c r="B3" s="102" t="s">
        <v>466</v>
      </c>
      <c r="C3" s="21" t="s">
        <v>166</v>
      </c>
      <c r="D3" s="21" t="s">
        <v>467</v>
      </c>
      <c r="E3" s="31"/>
      <c r="F3" s="32"/>
      <c r="G3" s="33"/>
      <c r="H3" s="31">
        <f>(E3*F3)-G3</f>
        <v>0</v>
      </c>
      <c r="I3" s="33"/>
      <c r="J3" s="33"/>
    </row>
    <row r="4" spans="1:24">
      <c r="B4" s="104"/>
      <c r="C4" s="21" t="s">
        <v>154</v>
      </c>
      <c r="D4" s="21" t="s">
        <v>467</v>
      </c>
      <c r="E4" s="31"/>
      <c r="F4" s="32"/>
      <c r="G4" s="33"/>
      <c r="H4" s="31">
        <f>(E4*F4)-G4</f>
        <v>0</v>
      </c>
      <c r="I4" s="33"/>
      <c r="J4" s="33"/>
    </row>
    <row r="5" spans="1:24">
      <c r="A5" s="21">
        <v>42795</v>
      </c>
      <c r="B5" s="35"/>
      <c r="C5" s="35"/>
      <c r="D5" s="36" t="s">
        <v>227</v>
      </c>
      <c r="E5" s="36">
        <f>SUM(E3:E4)</f>
        <v>0</v>
      </c>
      <c r="F5" s="36"/>
      <c r="G5" s="36">
        <f>SUM(G3:G4)</f>
        <v>0</v>
      </c>
      <c r="H5" s="36">
        <f>SUM(H3:H4)</f>
        <v>0</v>
      </c>
      <c r="I5" s="36">
        <f>H5*L2</f>
        <v>0</v>
      </c>
      <c r="J5" s="33"/>
    </row>
    <row r="6" spans="1:24">
      <c r="A6" s="21">
        <v>42795</v>
      </c>
      <c r="B6" s="35"/>
      <c r="C6" s="35"/>
      <c r="D6" s="37" t="s">
        <v>228</v>
      </c>
      <c r="H6" s="21"/>
      <c r="I6" s="37"/>
      <c r="J6" s="33"/>
    </row>
    <row r="7" spans="1:24">
      <c r="A7" s="21">
        <v>42795</v>
      </c>
      <c r="B7" s="35" t="s">
        <v>442</v>
      </c>
      <c r="C7" s="35"/>
      <c r="D7" s="21" t="s">
        <v>17</v>
      </c>
      <c r="H7" s="21"/>
    </row>
    <row r="8" spans="1:24">
      <c r="A8" s="21">
        <v>42795</v>
      </c>
      <c r="B8" s="35" t="s">
        <v>443</v>
      </c>
      <c r="C8" s="35"/>
      <c r="D8" s="21" t="s">
        <v>468</v>
      </c>
    </row>
    <row r="9" spans="1:24">
      <c r="A9" s="21">
        <v>42795</v>
      </c>
      <c r="B9" s="35" t="s">
        <v>444</v>
      </c>
      <c r="C9" s="35"/>
      <c r="D9" s="21" t="s">
        <v>93</v>
      </c>
      <c r="H9" s="21"/>
    </row>
    <row r="10" spans="1:24">
      <c r="A10" s="21">
        <v>42795</v>
      </c>
      <c r="B10" s="35" t="s">
        <v>445</v>
      </c>
      <c r="C10" s="35"/>
      <c r="D10" s="21" t="s">
        <v>469</v>
      </c>
    </row>
    <row r="11" spans="1:24">
      <c r="A11" s="21">
        <v>42795</v>
      </c>
      <c r="B11" s="21" t="s">
        <v>445</v>
      </c>
      <c r="D11" s="21" t="s">
        <v>470</v>
      </c>
      <c r="E11" s="21" t="s">
        <v>471</v>
      </c>
      <c r="H11" s="21"/>
    </row>
    <row r="12" spans="1:24">
      <c r="A12" s="21">
        <v>42795</v>
      </c>
      <c r="B12" s="21" t="s">
        <v>363</v>
      </c>
      <c r="D12" s="21" t="s">
        <v>278</v>
      </c>
    </row>
    <row r="13" spans="1:24">
      <c r="H13" s="21"/>
    </row>
    <row r="23" spans="8:11">
      <c r="H23" s="21"/>
      <c r="K23" s="23"/>
    </row>
  </sheetData>
  <mergeCells count="1">
    <mergeCell ref="B3:B4"/>
  </mergeCells>
  <phoneticPr fontId="37" type="noConversion"/>
  <pageMargins left="0.7" right="0.7" top="0.75" bottom="0.75" header="0.3" footer="0.3"/>
  <pageSetup paperSize="9" orientation="landscape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V83"/>
  <sheetViews>
    <sheetView zoomScaleSheetLayoutView="100" workbookViewId="0">
      <pane xSplit="2" ySplit="2" topLeftCell="C3" activePane="bottomRight" state="frozen"/>
      <selection pane="topRight"/>
      <selection pane="bottomLeft"/>
      <selection pane="bottomRight" activeCell="F11" sqref="F11"/>
    </sheetView>
  </sheetViews>
  <sheetFormatPr defaultColWidth="9" defaultRowHeight="13.5"/>
  <cols>
    <col min="1" max="1" width="7" customWidth="1"/>
    <col min="2" max="2" width="12.375" customWidth="1"/>
    <col min="3" max="3" width="10.375" customWidth="1"/>
    <col min="4" max="5" width="9.375" customWidth="1"/>
    <col min="6" max="7" width="10.375" customWidth="1"/>
    <col min="8" max="9" width="9.375" customWidth="1"/>
    <col min="10" max="10" width="10.375" customWidth="1"/>
    <col min="11" max="11" width="9.375" customWidth="1"/>
    <col min="12" max="12" width="10.375" customWidth="1"/>
    <col min="13" max="13" width="9.375" customWidth="1"/>
    <col min="14" max="14" width="9.25" customWidth="1"/>
    <col min="15" max="18" width="8.25" customWidth="1"/>
    <col min="19" max="19" width="7.375" customWidth="1"/>
    <col min="20" max="20" width="8.25" customWidth="1"/>
    <col min="21" max="21" width="10" customWidth="1"/>
    <col min="22" max="26" width="11.625" customWidth="1"/>
    <col min="27" max="27" width="13.25" customWidth="1"/>
    <col min="28" max="28" width="10.375" customWidth="1"/>
    <col min="29" max="34" width="8.75" customWidth="1"/>
    <col min="35" max="75" width="13.75" bestFit="1" customWidth="1"/>
  </cols>
  <sheetData>
    <row r="1" spans="1:34">
      <c r="C1" t="s">
        <v>472</v>
      </c>
      <c r="D1" t="s">
        <v>472</v>
      </c>
      <c r="E1" t="s">
        <v>472</v>
      </c>
      <c r="F1" t="s">
        <v>473</v>
      </c>
      <c r="G1" t="s">
        <v>474</v>
      </c>
      <c r="H1" t="s">
        <v>474</v>
      </c>
      <c r="I1" t="s">
        <v>472</v>
      </c>
      <c r="J1" t="s">
        <v>472</v>
      </c>
      <c r="K1" t="s">
        <v>473</v>
      </c>
      <c r="L1" t="s">
        <v>474</v>
      </c>
      <c r="M1" t="s">
        <v>472</v>
      </c>
      <c r="N1" t="s">
        <v>472</v>
      </c>
      <c r="O1" t="s">
        <v>474</v>
      </c>
      <c r="P1" t="s">
        <v>472</v>
      </c>
    </row>
    <row r="2" spans="1:34" ht="15" customHeight="1">
      <c r="A2" s="2" t="s">
        <v>475</v>
      </c>
      <c r="B2" s="2" t="s">
        <v>476</v>
      </c>
      <c r="C2" s="2" t="s">
        <v>477</v>
      </c>
      <c r="D2" s="2" t="s">
        <v>478</v>
      </c>
      <c r="E2" s="2" t="s">
        <v>479</v>
      </c>
      <c r="F2" s="2" t="s">
        <v>480</v>
      </c>
      <c r="G2" s="2" t="s">
        <v>474</v>
      </c>
      <c r="H2" s="2" t="s">
        <v>481</v>
      </c>
      <c r="I2" s="2" t="s">
        <v>482</v>
      </c>
      <c r="J2" s="2" t="s">
        <v>483</v>
      </c>
      <c r="K2" s="2" t="s">
        <v>484</v>
      </c>
      <c r="L2" s="2" t="s">
        <v>485</v>
      </c>
      <c r="M2" s="2" t="s">
        <v>486</v>
      </c>
      <c r="N2" s="2" t="s">
        <v>487</v>
      </c>
      <c r="O2" s="2" t="s">
        <v>488</v>
      </c>
      <c r="P2" s="2" t="s">
        <v>428</v>
      </c>
      <c r="Q2" s="2" t="s">
        <v>431</v>
      </c>
      <c r="R2" s="2" t="s">
        <v>433</v>
      </c>
      <c r="S2" s="2" t="s">
        <v>448</v>
      </c>
      <c r="T2" s="2" t="s">
        <v>446</v>
      </c>
      <c r="U2" s="2" t="s">
        <v>449</v>
      </c>
      <c r="V2" s="2" t="s">
        <v>489</v>
      </c>
      <c r="W2" s="2" t="s">
        <v>490</v>
      </c>
      <c r="X2" s="2" t="s">
        <v>491</v>
      </c>
      <c r="Y2" s="2" t="s">
        <v>492</v>
      </c>
      <c r="Z2" t="s">
        <v>474</v>
      </c>
      <c r="AA2" t="s">
        <v>473</v>
      </c>
      <c r="AB2" t="s">
        <v>472</v>
      </c>
      <c r="AC2" t="s">
        <v>433</v>
      </c>
      <c r="AD2" t="s">
        <v>446</v>
      </c>
      <c r="AE2" t="s">
        <v>448</v>
      </c>
      <c r="AF2" t="s">
        <v>449</v>
      </c>
      <c r="AG2" t="s">
        <v>492</v>
      </c>
    </row>
    <row r="3" spans="1:34" ht="15" customHeight="1">
      <c r="A3" s="3" t="s">
        <v>264</v>
      </c>
      <c r="B3" s="3" t="s">
        <v>493</v>
      </c>
      <c r="C3" s="4">
        <f>SUMIF(Y类!E:E,A3,Y类!K:K)</f>
        <v>0</v>
      </c>
      <c r="D3" s="4">
        <f>SUMIF(Z类!E:E,A3,Z类!K:K)</f>
        <v>0</v>
      </c>
      <c r="E3" s="4">
        <f>SUMIF(A类!E:E,A3,A类!K:K)</f>
        <v>0</v>
      </c>
      <c r="F3" s="4">
        <f>SUMIF(T类!E:E,A3,T类!K:K)</f>
        <v>0</v>
      </c>
      <c r="G3" s="4">
        <f>SUMIF(M类!E:E,A3,M类!K:K)</f>
        <v>0</v>
      </c>
      <c r="H3" s="4">
        <f>SUMIF(H类!E:E,A3,H类!K:K)</f>
        <v>0</v>
      </c>
      <c r="I3" s="4">
        <f>SUMIF(V类!E:E,A3,V类!K:K)</f>
        <v>0</v>
      </c>
      <c r="J3" s="4">
        <f>SUMIF(B类!E:E,A3,B类!K:K)</f>
        <v>0</v>
      </c>
      <c r="K3" s="4">
        <f>SUMIF(K类!E:E,A3,K类!K:K)</f>
        <v>0</v>
      </c>
      <c r="L3" s="4">
        <f>SUMIF(D类!E:E,A3,D类!K:K)</f>
        <v>0</v>
      </c>
      <c r="M3" s="4">
        <f>SUMIF(C类打底裤!E:E,A3,C类打底裤!K:K)</f>
        <v>0</v>
      </c>
      <c r="N3" s="4">
        <f>SUMIF(Q类!E:E,A3,Q类!K:K)</f>
        <v>0</v>
      </c>
      <c r="O3" s="4">
        <f>SUMIF(L类!E3:E72,A3,L类!K3:K72)</f>
        <v>0</v>
      </c>
      <c r="P3" s="4">
        <f>SUMIF(E类!E:E,A3,E类!K:K)</f>
        <v>0</v>
      </c>
      <c r="Q3" s="4">
        <f>SUMIF(F类!E:E,A3,F类!K:K)</f>
        <v>0</v>
      </c>
      <c r="R3" s="4">
        <f>SUMIF(G类!E:E,A3,G类!K:K)</f>
        <v>0</v>
      </c>
      <c r="S3" s="4">
        <f>SUMIF(J类!E:E,A3,J类!K:K)</f>
        <v>0</v>
      </c>
      <c r="T3" s="4">
        <f>SUMIF(N类!E:E,A3,N类!K:K)</f>
        <v>0</v>
      </c>
      <c r="U3" s="4">
        <f>SUMIF(W类!E:E,A3,W类!K:K)</f>
        <v>0</v>
      </c>
      <c r="V3" s="4">
        <f t="shared" ref="V3:V18" si="0">SUM(C3:U3)</f>
        <v>0</v>
      </c>
      <c r="W3" s="4"/>
      <c r="X3" s="4"/>
      <c r="Y3" s="13">
        <f t="shared" ref="Y3:Y18" si="1">SUM(V3:X3)</f>
        <v>0</v>
      </c>
      <c r="Z3">
        <f>G3+H3+L3+O3</f>
        <v>0</v>
      </c>
      <c r="AA3">
        <f>F3+K3</f>
        <v>0</v>
      </c>
      <c r="AB3">
        <f>C3+D3+E3+I3+J3+M3+P3+Q3+N3</f>
        <v>0</v>
      </c>
      <c r="AC3">
        <f>R3</f>
        <v>0</v>
      </c>
      <c r="AD3">
        <f>T3</f>
        <v>0</v>
      </c>
      <c r="AE3">
        <f>S3</f>
        <v>0</v>
      </c>
      <c r="AF3">
        <f t="shared" ref="AF3:AF6" si="2">U3</f>
        <v>0</v>
      </c>
      <c r="AG3" s="14">
        <f t="shared" ref="AG3:AG6" si="3">SUM(Z3:AF3)</f>
        <v>0</v>
      </c>
      <c r="AH3">
        <f>Y3-AG3</f>
        <v>0</v>
      </c>
    </row>
    <row r="4" spans="1:34" ht="15" customHeight="1">
      <c r="A4" s="3" t="s">
        <v>17</v>
      </c>
      <c r="B4" s="3" t="s">
        <v>493</v>
      </c>
      <c r="C4" s="4">
        <f>SUMIF(Y类!E:E,A4,Y类!K:K)</f>
        <v>0</v>
      </c>
      <c r="D4" s="4">
        <f>SUMIF(Z类!E:E,A4,Z类!K:K)</f>
        <v>0</v>
      </c>
      <c r="E4" s="4">
        <f>SUMIF(A类!E:E,A4,A类!K:K)</f>
        <v>0</v>
      </c>
      <c r="F4" s="4">
        <f>SUMIF(T类!E:E,A4,T类!K:K)</f>
        <v>0</v>
      </c>
      <c r="G4" s="4">
        <f>SUMIF(M类!E:E,A4,M类!K:K)</f>
        <v>0</v>
      </c>
      <c r="H4" s="4">
        <f>SUMIF(H类!E:E,A4,H类!K:K)</f>
        <v>0</v>
      </c>
      <c r="I4" s="4">
        <f>SUMIF(V类!E:E,A4,V类!K:K)</f>
        <v>0</v>
      </c>
      <c r="J4" s="4">
        <f>SUMIF(B类!E:E,A4,B类!K:K)</f>
        <v>0</v>
      </c>
      <c r="K4" s="4">
        <f>SUMIF(K类!E:E,A4,K类!K:K)</f>
        <v>0</v>
      </c>
      <c r="L4" s="4">
        <f>SUMIF(D类!E:E,A4,D类!K:K)</f>
        <v>0</v>
      </c>
      <c r="M4" s="4">
        <f>SUMIF(C类打底裤!E:E,A4,C类打底裤!K:K)</f>
        <v>0</v>
      </c>
      <c r="N4" s="4">
        <f>SUMIF(Q类!E:E,A4,Q类!K:K)</f>
        <v>0</v>
      </c>
      <c r="O4" s="4">
        <f>SUMIF(L类!E4:E73,A4,L类!K4:K73)</f>
        <v>0</v>
      </c>
      <c r="P4" s="4">
        <f>SUMIF(E类!E:E,A4,E类!K:K)</f>
        <v>0</v>
      </c>
      <c r="Q4" s="4">
        <f>SUMIF(F类!E:E,A4,F类!K:K)</f>
        <v>0</v>
      </c>
      <c r="R4" s="4">
        <f>SUMIF(G类!E:E,A4,G类!K:K)</f>
        <v>0</v>
      </c>
      <c r="S4" s="4">
        <f>SUMIF(J类!E:E,A4,J类!K:K)</f>
        <v>0</v>
      </c>
      <c r="T4" s="4">
        <f>SUMIF(N类!E:E,A4,N类!K:K)</f>
        <v>0</v>
      </c>
      <c r="U4" s="4">
        <f>SUMIF(W类!E:E,A4,W类!K:K)</f>
        <v>0</v>
      </c>
      <c r="V4" s="4">
        <f t="shared" si="0"/>
        <v>0</v>
      </c>
      <c r="W4" s="4"/>
      <c r="X4" s="4"/>
      <c r="Y4" s="13">
        <f t="shared" si="1"/>
        <v>0</v>
      </c>
      <c r="Z4">
        <f>G4+H4+L4+O4</f>
        <v>0</v>
      </c>
      <c r="AA4">
        <f>F4+K4</f>
        <v>0</v>
      </c>
      <c r="AB4">
        <f>C4+D4+E4+I4+J4+M4+P4+Q4+N4</f>
        <v>0</v>
      </c>
      <c r="AC4">
        <f>R4</f>
        <v>0</v>
      </c>
      <c r="AD4">
        <f>T4</f>
        <v>0</v>
      </c>
      <c r="AE4">
        <f>S4</f>
        <v>0</v>
      </c>
      <c r="AF4">
        <f t="shared" si="2"/>
        <v>0</v>
      </c>
      <c r="AG4" s="14">
        <f t="shared" si="3"/>
        <v>0</v>
      </c>
      <c r="AH4">
        <f>Y4-AG4</f>
        <v>0</v>
      </c>
    </row>
    <row r="5" spans="1:34" ht="15" customHeight="1">
      <c r="A5" s="3" t="s">
        <v>57</v>
      </c>
      <c r="B5" s="3" t="s">
        <v>493</v>
      </c>
      <c r="C5" s="4">
        <f>SUMIF(Y类!E:E,A5,Y类!K:K)</f>
        <v>0</v>
      </c>
      <c r="D5" s="4">
        <f>SUMIF(Z类!E:E,A5,Z类!K:K)</f>
        <v>0</v>
      </c>
      <c r="E5" s="4">
        <f>SUMIF(A类!E:E,A5,A类!K:K)</f>
        <v>0</v>
      </c>
      <c r="F5" s="4">
        <f>SUMIF(T类!E:E,A5,T类!K:K)</f>
        <v>0</v>
      </c>
      <c r="G5" s="4">
        <f>SUMIF(M类!E:E,A5,M类!K:K)</f>
        <v>0</v>
      </c>
      <c r="H5" s="4">
        <f>SUMIF(H类!E:E,A5,H类!K:K)</f>
        <v>0</v>
      </c>
      <c r="I5" s="4">
        <f>SUMIF(V类!E:E,A5,V类!K:K)</f>
        <v>0</v>
      </c>
      <c r="J5" s="4">
        <f>SUMIF(B类!E:E,A5,B类!K:K)</f>
        <v>0</v>
      </c>
      <c r="K5" s="4">
        <f>SUMIF(K类!E:E,A5,K类!K:K)</f>
        <v>0</v>
      </c>
      <c r="L5" s="4">
        <f>SUMIF(D类!E:E,A5,D类!K:K)</f>
        <v>0</v>
      </c>
      <c r="M5" s="4">
        <f>SUMIF(C类打底裤!E:E,A5,C类打底裤!K:K)</f>
        <v>0</v>
      </c>
      <c r="N5" s="4">
        <f>SUMIF(Q类!E:E,A5,Q类!K:K)</f>
        <v>0</v>
      </c>
      <c r="O5" s="4">
        <f>SUMIF(L类!E5:E74,A5,L类!K5:K74)</f>
        <v>0</v>
      </c>
      <c r="P5" s="4">
        <f>SUMIF(E类!E:E,A5,E类!K:K)</f>
        <v>0</v>
      </c>
      <c r="Q5" s="4">
        <f>SUMIF(F类!E:E,A5,F类!K:K)</f>
        <v>0</v>
      </c>
      <c r="R5" s="4">
        <f>SUMIF(G类!E:E,A5,G类!K:K)</f>
        <v>0</v>
      </c>
      <c r="S5" s="4">
        <f>SUMIF(J类!E:E,A5,J类!K:K)</f>
        <v>0</v>
      </c>
      <c r="T5" s="4">
        <f>SUMIF(N类!E:E,A5,N类!K:K)</f>
        <v>0</v>
      </c>
      <c r="U5" s="4">
        <f>SUMIF(W类!E:E,A5,W类!K:K)</f>
        <v>0</v>
      </c>
      <c r="V5" s="4">
        <f t="shared" si="0"/>
        <v>0</v>
      </c>
      <c r="W5" s="4"/>
      <c r="X5" s="4"/>
      <c r="Y5" s="13">
        <f t="shared" si="1"/>
        <v>0</v>
      </c>
      <c r="Z5">
        <f>G5+H5+L5+O5</f>
        <v>0</v>
      </c>
      <c r="AA5">
        <f>F5+K5</f>
        <v>0</v>
      </c>
      <c r="AB5">
        <f>C5+D5+E5+I5+J5+M5+P5+Q5+N5</f>
        <v>0</v>
      </c>
      <c r="AC5">
        <f>R5</f>
        <v>0</v>
      </c>
      <c r="AD5">
        <f>T5</f>
        <v>0</v>
      </c>
      <c r="AE5">
        <f>S5</f>
        <v>0</v>
      </c>
      <c r="AF5">
        <f t="shared" si="2"/>
        <v>0</v>
      </c>
      <c r="AG5" s="14">
        <f t="shared" si="3"/>
        <v>0</v>
      </c>
      <c r="AH5">
        <f>Y5-AG5</f>
        <v>0</v>
      </c>
    </row>
    <row r="6" spans="1:34" ht="15" customHeight="1">
      <c r="A6" s="3" t="s">
        <v>278</v>
      </c>
      <c r="B6" s="3" t="s">
        <v>493</v>
      </c>
      <c r="C6" s="4">
        <f>SUMIF(Y类!E:E,A6,Y类!K:K)</f>
        <v>0</v>
      </c>
      <c r="D6" s="4">
        <f>SUMIF(Z类!E:E,A6,Z类!K:K)</f>
        <v>0</v>
      </c>
      <c r="E6" s="4">
        <f>SUMIF(A类!E:E,A6,A类!K:K)</f>
        <v>0</v>
      </c>
      <c r="F6" s="4">
        <f>SUMIF(T类!E:E,A6,T类!K:K)</f>
        <v>0</v>
      </c>
      <c r="G6" s="4">
        <f>SUMIF(M类!E:E,A6,M类!K:K)</f>
        <v>0</v>
      </c>
      <c r="H6" s="4">
        <f>SUMIF(H类!E:E,A6,H类!K:K)</f>
        <v>0</v>
      </c>
      <c r="I6" s="4">
        <f>SUMIF(V类!E:E,A6,V类!K:K)</f>
        <v>0</v>
      </c>
      <c r="J6" s="4">
        <f>SUMIF(B类!E:E,A6,B类!K:K)</f>
        <v>0</v>
      </c>
      <c r="K6" s="4">
        <f>SUMIF(K类!E:E,A6,K类!K:K)</f>
        <v>0</v>
      </c>
      <c r="L6" s="4">
        <f>SUMIF(D类!E:E,A6,D类!K:K)</f>
        <v>0</v>
      </c>
      <c r="M6" s="4">
        <f>SUMIF(C类打底裤!E:E,A6,C类打底裤!K:K)</f>
        <v>0</v>
      </c>
      <c r="N6" s="4">
        <f>SUMIF(Q类!E:E,A6,Q类!K:K)</f>
        <v>0</v>
      </c>
      <c r="O6" s="4">
        <f>SUMIF(L类!E7:E75,A6,L类!K7:K75)</f>
        <v>0</v>
      </c>
      <c r="P6" s="4">
        <f>SUMIF(E类!E:E,A6,E类!K:K)</f>
        <v>0</v>
      </c>
      <c r="Q6" s="4">
        <f>SUMIF(F类!E:E,A6,F类!K:K)</f>
        <v>0</v>
      </c>
      <c r="R6" s="4">
        <f>SUMIF(G类!E:E,A6,G类!K:K)</f>
        <v>0</v>
      </c>
      <c r="S6" s="4">
        <f>SUMIF(J类!E:E,A6,J类!K:K)</f>
        <v>0</v>
      </c>
      <c r="T6" s="4">
        <f>SUMIF(N类!E:E,A6,N类!K:K)</f>
        <v>0</v>
      </c>
      <c r="U6" s="4">
        <f>SUMIF(W类!E:E,A6,W类!K:K)</f>
        <v>0</v>
      </c>
      <c r="V6" s="4">
        <f t="shared" si="0"/>
        <v>0</v>
      </c>
      <c r="W6" s="4"/>
      <c r="X6" s="4"/>
      <c r="Y6" s="13">
        <f t="shared" si="1"/>
        <v>0</v>
      </c>
      <c r="Z6">
        <f>G6+H6+L6+O6</f>
        <v>0</v>
      </c>
      <c r="AA6">
        <f>F6+K6</f>
        <v>0</v>
      </c>
      <c r="AB6">
        <f>C6+D6+E6+I6+J6+M6+P6+Q6+N6</f>
        <v>0</v>
      </c>
      <c r="AC6">
        <f>R6</f>
        <v>0</v>
      </c>
      <c r="AD6">
        <f>T6</f>
        <v>0</v>
      </c>
      <c r="AE6">
        <f>S6</f>
        <v>0</v>
      </c>
      <c r="AF6">
        <f t="shared" si="2"/>
        <v>0</v>
      </c>
      <c r="AG6" s="14">
        <f t="shared" si="3"/>
        <v>0</v>
      </c>
      <c r="AH6">
        <f>Y6-AG6</f>
        <v>0</v>
      </c>
    </row>
    <row r="7" spans="1:34" ht="15" customHeight="1">
      <c r="A7" s="2" t="s">
        <v>40</v>
      </c>
      <c r="B7" s="2" t="s">
        <v>493</v>
      </c>
      <c r="C7" s="4">
        <f>SUMIF(Y类!E:E,A7,Y类!K:K)</f>
        <v>0</v>
      </c>
      <c r="D7" s="4">
        <f>SUMIF(Z类!E:E,A7,Z类!K:K)</f>
        <v>0</v>
      </c>
      <c r="E7" s="4">
        <f>SUMIF(A类!E:E,A7,A类!K:K)</f>
        <v>0</v>
      </c>
      <c r="F7" s="4">
        <f>SUMIF(T类!E:E,A7,T类!K:K)</f>
        <v>0</v>
      </c>
      <c r="G7" s="4">
        <f>SUMIF(M类!E:E,A7,M类!K:K)</f>
        <v>0</v>
      </c>
      <c r="H7" s="4">
        <f>SUMIF(H类!E:E,A7,H类!K:K)</f>
        <v>0</v>
      </c>
      <c r="I7" s="4">
        <f>SUMIF(V类!E:E,A7,V类!K:K)</f>
        <v>0</v>
      </c>
      <c r="J7" s="4">
        <f>SUMIF(B类!E:E,A7,B类!K:K)</f>
        <v>0</v>
      </c>
      <c r="K7" s="4">
        <f>SUMIF(K类!E:E,A7,K类!K:K)</f>
        <v>0</v>
      </c>
      <c r="L7" s="4">
        <f>SUMIF(D类!E:E,A7,D类!K:K)</f>
        <v>0</v>
      </c>
      <c r="M7" s="4">
        <f>SUMIF(C类打底裤!E:E,A7,C类打底裤!K:K)</f>
        <v>0</v>
      </c>
      <c r="N7" s="4">
        <f>SUMIF(Q类!E:E,A7,Q类!K:K)</f>
        <v>0</v>
      </c>
      <c r="O7" s="4">
        <f>SUMIF(L类!E8:E76,A7,L类!K8:K76)</f>
        <v>0</v>
      </c>
      <c r="P7" s="4">
        <f>SUMIF(E类!E:E,A7,E类!K:K)</f>
        <v>0</v>
      </c>
      <c r="Q7" s="4">
        <f>SUMIF(F类!E:E,A7,F类!K:K)</f>
        <v>0</v>
      </c>
      <c r="R7" s="4">
        <f>SUMIF(G类!E:E,A7,G类!K:K)</f>
        <v>0</v>
      </c>
      <c r="S7" s="4">
        <f>SUMIF(J类!E:E,A7,J类!K:K)</f>
        <v>0</v>
      </c>
      <c r="T7" s="4">
        <f>SUMIF(N类!E:E,A7,N类!K:K)</f>
        <v>0</v>
      </c>
      <c r="U7" s="4">
        <f>SUMIF(W类!E:E,A7,W类!K:K)</f>
        <v>0</v>
      </c>
      <c r="V7" s="4">
        <f t="shared" si="0"/>
        <v>0</v>
      </c>
      <c r="W7" s="4"/>
      <c r="X7" s="4"/>
      <c r="Y7" s="4">
        <f t="shared" si="1"/>
        <v>0</v>
      </c>
      <c r="Z7">
        <f>SUM(Z3:Z6)</f>
        <v>0</v>
      </c>
      <c r="AA7">
        <f t="shared" ref="AA7:AF7" si="4">SUM(AA3:AA6)</f>
        <v>0</v>
      </c>
      <c r="AB7">
        <f t="shared" si="4"/>
        <v>0</v>
      </c>
      <c r="AC7">
        <f t="shared" si="4"/>
        <v>0</v>
      </c>
      <c r="AD7">
        <f t="shared" si="4"/>
        <v>0</v>
      </c>
      <c r="AE7">
        <f t="shared" si="4"/>
        <v>0</v>
      </c>
      <c r="AF7">
        <f t="shared" si="4"/>
        <v>0</v>
      </c>
      <c r="AG7">
        <f>SUM(Z7:AE7)</f>
        <v>0</v>
      </c>
      <c r="AH7" t="s">
        <v>492</v>
      </c>
    </row>
    <row r="8" spans="1:34" ht="15" customHeight="1">
      <c r="A8" s="2" t="s">
        <v>33</v>
      </c>
      <c r="B8" s="2" t="s">
        <v>493</v>
      </c>
      <c r="C8" s="4">
        <f>SUMIF(Y类!E:E,A8,Y类!K:K)</f>
        <v>-3630</v>
      </c>
      <c r="D8" s="4">
        <f>SUMIF(Z类!E:E,A8,Z类!K:K)</f>
        <v>0</v>
      </c>
      <c r="E8" s="4">
        <f>SUMIF(A类!E:E,A8,A类!K:K)</f>
        <v>0</v>
      </c>
      <c r="F8" s="4">
        <f>SUMIF(T类!E:E,A8,T类!K:K)</f>
        <v>0</v>
      </c>
      <c r="G8" s="4">
        <f>SUMIF(M类!E:E,A8,M类!K:K)</f>
        <v>0</v>
      </c>
      <c r="H8" s="4">
        <f>SUMIF(H类!E:E,A8,H类!K:K)</f>
        <v>0</v>
      </c>
      <c r="I8" s="4">
        <f>SUMIF(V类!E:E,A8,V类!K:K)</f>
        <v>0</v>
      </c>
      <c r="J8" s="4">
        <f>SUMIF(B类!E:E,A8,B类!K:K)</f>
        <v>0</v>
      </c>
      <c r="K8" s="4">
        <f>SUMIF(K类!E:E,A8,K类!K:K)</f>
        <v>0</v>
      </c>
      <c r="L8" s="4">
        <f>SUMIF(D类!E:E,A8,D类!K:K)</f>
        <v>0</v>
      </c>
      <c r="M8" s="4">
        <f>SUMIF(C类打底裤!E:E,A8,C类打底裤!K:K)</f>
        <v>0</v>
      </c>
      <c r="N8" s="4">
        <f>SUMIF(Q类!E:E,A8,Q类!K:K)</f>
        <v>0</v>
      </c>
      <c r="O8" s="4">
        <f>SUMIF(L类!E9:E77,A8,L类!K9:K77)</f>
        <v>0</v>
      </c>
      <c r="P8" s="4">
        <f>SUMIF(E类!E:E,A8,E类!K:K)</f>
        <v>0</v>
      </c>
      <c r="Q8" s="4">
        <f>SUMIF(F类!E:E,A8,F类!K:K)</f>
        <v>0</v>
      </c>
      <c r="R8" s="4">
        <f>SUMIF(G类!E:E,A8,G类!K:K)</f>
        <v>0</v>
      </c>
      <c r="S8" s="4">
        <f>SUMIF(J类!E:E,A8,J类!K:K)</f>
        <v>0</v>
      </c>
      <c r="T8" s="4">
        <f>SUMIF(N类!E:E,A8,N类!K:K)</f>
        <v>0</v>
      </c>
      <c r="U8" s="4">
        <f>SUMIF(W类!E:E,A8,W类!K:K)</f>
        <v>0</v>
      </c>
      <c r="V8" s="4">
        <f t="shared" si="0"/>
        <v>-3630</v>
      </c>
      <c r="W8" s="4"/>
      <c r="X8" s="4"/>
      <c r="Y8" s="4">
        <f t="shared" si="1"/>
        <v>-3630</v>
      </c>
    </row>
    <row r="9" spans="1:34" ht="15" customHeight="1">
      <c r="A9" s="2" t="s">
        <v>63</v>
      </c>
      <c r="B9" s="2" t="s">
        <v>493</v>
      </c>
      <c r="C9" s="4">
        <f>SUMIF(Y类!E:E,A9,Y类!K:K)</f>
        <v>0</v>
      </c>
      <c r="D9" s="4">
        <f>SUMIF(Z类!E:E,A9,Z类!K:K)</f>
        <v>0</v>
      </c>
      <c r="E9" s="4">
        <f>SUMIF(A类!E:E,A9,A类!K:K)</f>
        <v>0</v>
      </c>
      <c r="F9" s="4">
        <f>SUMIF(T类!E:E,A9,T类!K:K)</f>
        <v>0</v>
      </c>
      <c r="G9" s="4">
        <f>SUMIF(M类!E:E,A9,M类!K:K)</f>
        <v>0</v>
      </c>
      <c r="H9" s="4">
        <f>SUMIF(H类!E:E,A9,H类!K:K)</f>
        <v>0</v>
      </c>
      <c r="I9" s="4">
        <f>SUMIF(V类!E:E,A9,V类!K:K)</f>
        <v>0</v>
      </c>
      <c r="J9" s="4">
        <f>SUMIF(B类!E:E,A9,B类!K:K)</f>
        <v>0</v>
      </c>
      <c r="K9" s="4">
        <f>SUMIF(K类!E:E,A9,K类!K:K)</f>
        <v>0</v>
      </c>
      <c r="L9" s="4">
        <f>SUMIF(D类!E:E,A9,D类!K:K)</f>
        <v>0</v>
      </c>
      <c r="M9" s="4">
        <f>SUMIF(C类打底裤!E:E,A9,C类打底裤!K:K)</f>
        <v>0</v>
      </c>
      <c r="N9" s="4">
        <f>SUMIF(Q类!E:E,A9,Q类!K:K)</f>
        <v>0</v>
      </c>
      <c r="O9" s="4">
        <f>SUMIF(L类!E10:E78,A9,L类!K10:K78)</f>
        <v>0</v>
      </c>
      <c r="P9" s="4">
        <f>SUMIF(E类!E:E,A9,E类!K:K)</f>
        <v>0</v>
      </c>
      <c r="Q9" s="4">
        <f>SUMIF(F类!E:E,A9,F类!K:K)</f>
        <v>0</v>
      </c>
      <c r="R9" s="4">
        <f>SUMIF(G类!E:E,A9,G类!K:K)</f>
        <v>0</v>
      </c>
      <c r="S9" s="4">
        <f>SUMIF(J类!E:E,A9,J类!K:K)</f>
        <v>0</v>
      </c>
      <c r="T9" s="4">
        <f>SUMIF(N类!E:E,A9,N类!K:K)</f>
        <v>0</v>
      </c>
      <c r="U9" s="4">
        <f>SUMIF(W类!E:E,A9,W类!K:K)</f>
        <v>0</v>
      </c>
      <c r="V9" s="4">
        <f t="shared" si="0"/>
        <v>0</v>
      </c>
      <c r="W9" s="4"/>
      <c r="X9" s="4"/>
      <c r="Y9" s="4">
        <f t="shared" si="1"/>
        <v>0</v>
      </c>
    </row>
    <row r="10" spans="1:34" ht="15" customHeight="1">
      <c r="A10" s="2" t="s">
        <v>68</v>
      </c>
      <c r="B10" s="2" t="s">
        <v>493</v>
      </c>
      <c r="C10" s="4">
        <f>SUMIF(Y类!E:E,A10,Y类!K:K)</f>
        <v>0</v>
      </c>
      <c r="D10" s="4">
        <f>SUMIF(Z类!E:E,A10,Z类!K:K)</f>
        <v>0</v>
      </c>
      <c r="E10" s="4">
        <f>SUMIF(A类!E:E,A10,A类!K:K)</f>
        <v>0</v>
      </c>
      <c r="F10" s="4">
        <f>SUMIF(T类!E:E,A10,T类!K:K)</f>
        <v>0</v>
      </c>
      <c r="G10" s="4">
        <f>SUMIF(M类!E:E,A10,M类!K:K)</f>
        <v>0</v>
      </c>
      <c r="H10" s="4">
        <f>SUMIF(H类!E:E,A10,H类!K:K)</f>
        <v>0</v>
      </c>
      <c r="I10" s="4">
        <f>SUMIF(V类!E:E,A10,V类!K:K)</f>
        <v>0</v>
      </c>
      <c r="J10" s="4">
        <f>SUMIF(B类!E:E,A10,B类!K:K)</f>
        <v>0</v>
      </c>
      <c r="K10" s="4">
        <f>SUMIF(K类!E:E,A10,K类!K:K)</f>
        <v>0</v>
      </c>
      <c r="L10" s="4">
        <f>SUMIF(D类!E:E,A10,D类!K:K)</f>
        <v>0</v>
      </c>
      <c r="M10" s="4">
        <f>SUMIF(C类打底裤!E:E,A10,C类打底裤!K:K)</f>
        <v>0</v>
      </c>
      <c r="N10" s="4">
        <f>SUMIF(Q类!E:E,A10,Q类!K:K)</f>
        <v>0</v>
      </c>
      <c r="O10" s="4">
        <f>SUMIF(L类!E11:E79,A10,L类!K11:K79)</f>
        <v>0</v>
      </c>
      <c r="P10" s="4">
        <f>SUMIF(E类!E:E,A10,E类!K:K)</f>
        <v>0</v>
      </c>
      <c r="Q10" s="4">
        <f>SUMIF(F类!E:E,A10,F类!K:K)</f>
        <v>0</v>
      </c>
      <c r="R10" s="4">
        <f>SUMIF(G类!E:E,A10,G类!K:K)</f>
        <v>0</v>
      </c>
      <c r="S10" s="4">
        <f>SUMIF(J类!E:E,A10,J类!K:K)</f>
        <v>0</v>
      </c>
      <c r="T10" s="4">
        <f>SUMIF(N类!E:E,A10,N类!K:K)</f>
        <v>0</v>
      </c>
      <c r="U10" s="4">
        <f>SUMIF(W类!E:E,A10,W类!K:K)</f>
        <v>0</v>
      </c>
      <c r="V10" s="4">
        <f t="shared" si="0"/>
        <v>0</v>
      </c>
      <c r="W10" s="4"/>
      <c r="X10" s="4"/>
      <c r="Y10" s="4">
        <f t="shared" si="1"/>
        <v>0</v>
      </c>
    </row>
    <row r="11" spans="1:34" ht="15" customHeight="1">
      <c r="A11" s="2" t="s">
        <v>240</v>
      </c>
      <c r="B11" s="2" t="s">
        <v>493</v>
      </c>
      <c r="C11" s="4">
        <f>SUMIF(Y类!E:E,A11,Y类!K:K)</f>
        <v>0</v>
      </c>
      <c r="D11" s="4">
        <f>SUMIF(Z类!E:E,A11,Z类!K:K)</f>
        <v>0</v>
      </c>
      <c r="E11" s="4">
        <f>SUMIF(A类!E:E,A11,A类!K:K)</f>
        <v>0</v>
      </c>
      <c r="F11" s="4">
        <f>SUMIF(T类!E:E,A11,T类!K:K)</f>
        <v>0</v>
      </c>
      <c r="G11" s="4">
        <f>SUMIF(M类!E:E,A11,M类!K:K)</f>
        <v>0</v>
      </c>
      <c r="H11" s="4">
        <f>SUMIF(H类!E:E,A11,H类!K:K)</f>
        <v>0</v>
      </c>
      <c r="I11" s="4">
        <f>SUMIF(V类!E:E,A11,V类!K:K)</f>
        <v>0</v>
      </c>
      <c r="J11" s="4">
        <f>SUMIF(B类!E:E,A11,B类!K:K)</f>
        <v>0</v>
      </c>
      <c r="K11" s="4">
        <f>SUMIF(K类!E:E,A11,K类!K:K)</f>
        <v>0</v>
      </c>
      <c r="L11" s="4">
        <f>SUMIF(D类!E:E,A11,D类!K:K)</f>
        <v>0</v>
      </c>
      <c r="M11" s="4">
        <f>SUMIF(C类打底裤!E:E,A11,C类打底裤!K:K)</f>
        <v>0</v>
      </c>
      <c r="N11" s="4">
        <f>SUMIF(Q类!E:E,A11,Q类!K:K)</f>
        <v>0</v>
      </c>
      <c r="O11" s="4">
        <f>SUMIF(L类!E13:E80,A11,L类!K13:K80)</f>
        <v>0</v>
      </c>
      <c r="P11" s="4">
        <f>SUMIF(E类!E:E,A11,E类!K:K)</f>
        <v>0</v>
      </c>
      <c r="Q11" s="4">
        <f>SUMIF(F类!E:E,A11,F类!K:K)</f>
        <v>0</v>
      </c>
      <c r="R11" s="4">
        <f>SUMIF(G类!E:E,A11,G类!K:K)</f>
        <v>0</v>
      </c>
      <c r="S11" s="4">
        <f>SUMIF(J类!E:E,A11,J类!K:K)</f>
        <v>0</v>
      </c>
      <c r="T11" s="4">
        <f>SUMIF(N类!E:E,A11,N类!K:K)</f>
        <v>0</v>
      </c>
      <c r="U11" s="4">
        <f>SUMIF(W类!E:E,A11,W类!K:K)</f>
        <v>0</v>
      </c>
      <c r="V11" s="4">
        <f t="shared" si="0"/>
        <v>0</v>
      </c>
      <c r="W11" s="4"/>
      <c r="X11" s="4"/>
      <c r="Y11" s="4">
        <f t="shared" si="1"/>
        <v>0</v>
      </c>
    </row>
    <row r="12" spans="1:34" ht="15" customHeight="1">
      <c r="A12" s="2" t="s">
        <v>298</v>
      </c>
      <c r="B12" s="2" t="s">
        <v>493</v>
      </c>
      <c r="C12" s="4">
        <f>SUMIF(Y类!E:E,A12,Y类!K:K)</f>
        <v>0</v>
      </c>
      <c r="D12" s="4">
        <f>SUMIF(Z类!E:E,A12,Z类!K:K)</f>
        <v>0</v>
      </c>
      <c r="E12" s="4">
        <f>SUMIF(A类!E:E,A12,A类!K:K)</f>
        <v>0</v>
      </c>
      <c r="F12" s="4">
        <f>SUMIF(T类!E:E,A12,T类!K:K)</f>
        <v>0</v>
      </c>
      <c r="G12" s="4">
        <f>SUMIF(M类!E:E,A12,M类!K:K)</f>
        <v>0</v>
      </c>
      <c r="H12" s="4">
        <f>SUMIF(H类!E:E,A12,H类!K:K)</f>
        <v>0</v>
      </c>
      <c r="I12" s="4">
        <f>SUMIF(V类!E:E,A12,V类!K:K)</f>
        <v>0</v>
      </c>
      <c r="J12" s="4">
        <f>SUMIF(B类!E:E,A12,B类!K:K)</f>
        <v>0</v>
      </c>
      <c r="K12" s="4">
        <f>SUMIF(K类!E:E,A12,K类!K:K)</f>
        <v>0</v>
      </c>
      <c r="L12" s="4">
        <f>SUMIF(D类!E:E,A12,D类!K:K)</f>
        <v>0</v>
      </c>
      <c r="M12" s="4">
        <f>SUMIF(C类打底裤!E:E,A12,C类打底裤!K:K)</f>
        <v>0</v>
      </c>
      <c r="N12" s="4">
        <f>SUMIF(Q类!E:E,A12,Q类!K:K)</f>
        <v>0</v>
      </c>
      <c r="O12" s="4">
        <f>SUMIF(L类!E14:E81,A12,L类!K14:K81)</f>
        <v>0</v>
      </c>
      <c r="P12" s="4">
        <f>SUMIF(E类!E:E,A12,E类!K:K)</f>
        <v>0</v>
      </c>
      <c r="Q12" s="4">
        <f>SUMIF(F类!E:E,A12,F类!K:K)</f>
        <v>0</v>
      </c>
      <c r="R12" s="4">
        <f>SUMIF(G类!E:E,A12,G类!K:K)</f>
        <v>0</v>
      </c>
      <c r="S12" s="4">
        <f>SUMIF(J类!E:E,A12,J类!K:K)</f>
        <v>0</v>
      </c>
      <c r="T12" s="4">
        <f>SUMIF(N类!E:E,A12,N类!K:K)</f>
        <v>0</v>
      </c>
      <c r="U12" s="4">
        <f>SUMIF(W类!E:E,A12,W类!K:K)</f>
        <v>0</v>
      </c>
      <c r="V12" s="4">
        <f t="shared" si="0"/>
        <v>0</v>
      </c>
      <c r="W12" s="4"/>
      <c r="X12" s="4"/>
      <c r="Y12" s="4">
        <f t="shared" si="1"/>
        <v>0</v>
      </c>
    </row>
    <row r="13" spans="1:34" ht="15" customHeight="1">
      <c r="A13" s="2" t="s">
        <v>12</v>
      </c>
      <c r="B13" s="2" t="s">
        <v>493</v>
      </c>
      <c r="C13" s="4">
        <f>SUMIF(Y类!E:E,A13,Y类!K:K)</f>
        <v>0</v>
      </c>
      <c r="D13" s="4">
        <f>SUMIF(Z类!E:E,A13,Z类!K:K)</f>
        <v>0</v>
      </c>
      <c r="E13" s="4">
        <f>SUMIF(A类!E:E,A13,A类!K:K)</f>
        <v>0</v>
      </c>
      <c r="F13" s="4">
        <f>SUMIF(T类!E:E,A13,T类!K:K)</f>
        <v>0</v>
      </c>
      <c r="G13" s="4">
        <f>SUMIF(M类!E:E,A13,M类!K:K)</f>
        <v>0</v>
      </c>
      <c r="H13" s="4">
        <f>SUMIF(H类!E:E,A13,H类!K:K)</f>
        <v>0</v>
      </c>
      <c r="I13" s="4">
        <f>SUMIF(V类!E:E,A13,V类!K:K)</f>
        <v>0</v>
      </c>
      <c r="J13" s="4">
        <f>SUMIF(B类!E:E,A13,B类!K:K)</f>
        <v>0</v>
      </c>
      <c r="K13" s="4">
        <f>SUMIF(K类!E:E,A13,K类!K:K)</f>
        <v>0</v>
      </c>
      <c r="L13" s="4">
        <f>SUMIF(D类!E:E,A13,D类!K:K)</f>
        <v>0</v>
      </c>
      <c r="M13" s="4">
        <f>SUMIF(C类打底裤!E:E,A13,C类打底裤!K:K)</f>
        <v>0</v>
      </c>
      <c r="N13" s="4">
        <f>SUMIF(Q类!E:E,A13,Q类!K:K)</f>
        <v>0</v>
      </c>
      <c r="O13" s="4">
        <f>SUMIF(L类!E15:E82,A13,L类!K15:K82)</f>
        <v>0</v>
      </c>
      <c r="P13" s="4">
        <f>SUMIF(E类!E:E,A13,E类!K:K)</f>
        <v>0</v>
      </c>
      <c r="Q13" s="4">
        <f>SUMIF(F类!E:E,A13,F类!K:K)</f>
        <v>0</v>
      </c>
      <c r="R13" s="4">
        <f>SUMIF(G类!E:E,A13,G类!K:K)</f>
        <v>0</v>
      </c>
      <c r="S13" s="4">
        <f>SUMIF(J类!E:E,A13,J类!K:K)</f>
        <v>0</v>
      </c>
      <c r="T13" s="4">
        <f>SUMIF(N类!E:E,A13,N类!K:K)</f>
        <v>0</v>
      </c>
      <c r="U13" s="4">
        <f>SUMIF(W类!E:E,A13,W类!K:K)</f>
        <v>0</v>
      </c>
      <c r="V13" s="4">
        <f t="shared" si="0"/>
        <v>0</v>
      </c>
      <c r="W13" s="4"/>
      <c r="X13" s="4"/>
      <c r="Y13" s="4">
        <f t="shared" si="1"/>
        <v>0</v>
      </c>
    </row>
    <row r="14" spans="1:34" ht="15" customHeight="1">
      <c r="A14" s="2" t="s">
        <v>20</v>
      </c>
      <c r="B14" s="2" t="s">
        <v>493</v>
      </c>
      <c r="C14" s="4">
        <f>SUMIF(Y类!E:E,A14,Y类!K:K)</f>
        <v>0</v>
      </c>
      <c r="D14" s="4">
        <f>SUMIF(Z类!E:E,A14,Z类!K:K)</f>
        <v>0</v>
      </c>
      <c r="E14" s="4">
        <f>SUMIF(A类!E:E,A14,A类!K:K)</f>
        <v>0</v>
      </c>
      <c r="F14" s="4">
        <f>SUMIF(T类!E:E,A14,T类!K:K)</f>
        <v>0</v>
      </c>
      <c r="G14" s="4">
        <f>SUMIF(M类!E:E,A14,M类!K:K)</f>
        <v>0</v>
      </c>
      <c r="H14" s="4">
        <f>SUMIF(H类!E:E,A14,H类!K:K)</f>
        <v>0</v>
      </c>
      <c r="I14" s="4">
        <f>SUMIF(V类!E:E,A14,V类!K:K)</f>
        <v>0</v>
      </c>
      <c r="J14" s="4">
        <f>SUMIF(B类!E:E,A14,B类!K:K)</f>
        <v>0</v>
      </c>
      <c r="K14" s="4">
        <f>SUMIF(K类!E:E,A14,K类!K:K)</f>
        <v>0</v>
      </c>
      <c r="L14" s="4">
        <f>SUMIF(D类!E:E,A14,D类!K:K)</f>
        <v>0</v>
      </c>
      <c r="M14" s="4">
        <f>SUMIF(C类打底裤!E:E,A14,C类打底裤!K:K)</f>
        <v>0</v>
      </c>
      <c r="N14" s="4">
        <f>SUMIF(Q类!E:E,A14,Q类!K:K)</f>
        <v>0</v>
      </c>
      <c r="O14" s="4">
        <f>SUMIF(L类!E17:E84,A14,L类!K17:K84)</f>
        <v>0</v>
      </c>
      <c r="P14" s="4">
        <f>SUMIF(E类!E:E,A14,E类!K:K)</f>
        <v>0</v>
      </c>
      <c r="Q14" s="4">
        <f>SUMIF(F类!E:E,A14,F类!K:K)</f>
        <v>0</v>
      </c>
      <c r="R14" s="4">
        <f>SUMIF(G类!E:E,A14,G类!K:K)</f>
        <v>0</v>
      </c>
      <c r="S14" s="4">
        <f>SUMIF(J类!E:E,A14,J类!K:K)</f>
        <v>0</v>
      </c>
      <c r="T14" s="4">
        <f>SUMIF(N类!E:E,A14,N类!K:K)</f>
        <v>0</v>
      </c>
      <c r="U14" s="4">
        <f>SUMIF(W类!E:E,A14,W类!K:K)</f>
        <v>0</v>
      </c>
      <c r="V14" s="4">
        <f t="shared" si="0"/>
        <v>0</v>
      </c>
      <c r="W14" s="4"/>
      <c r="X14" s="4"/>
      <c r="Y14" s="4">
        <f t="shared" si="1"/>
        <v>0</v>
      </c>
    </row>
    <row r="15" spans="1:34" ht="15" customHeight="1">
      <c r="A15" s="2" t="s">
        <v>238</v>
      </c>
      <c r="B15" s="2" t="s">
        <v>493</v>
      </c>
      <c r="C15" s="4">
        <f>SUMIF(Y类!E:E,A15,Y类!K:K)</f>
        <v>0</v>
      </c>
      <c r="D15" s="4">
        <f>SUMIF(Z类!E:E,A15,Z类!K:K)</f>
        <v>0</v>
      </c>
      <c r="E15" s="4">
        <f>SUMIF(A类!E:E,A15,A类!K:K)</f>
        <v>0</v>
      </c>
      <c r="F15" s="4">
        <f>SUMIF(T类!E:E,A15,T类!K:K)</f>
        <v>0</v>
      </c>
      <c r="G15" s="4">
        <f>SUMIF(M类!E:E,A15,M类!K:K)</f>
        <v>0</v>
      </c>
      <c r="H15" s="4">
        <f>SUMIF(H类!E:E,A15,H类!K:K)</f>
        <v>0</v>
      </c>
      <c r="I15" s="4">
        <f>SUMIF(V类!E:E,A15,V类!K:K)</f>
        <v>0</v>
      </c>
      <c r="J15" s="4">
        <f>SUMIF(B类!E:E,A15,B类!K:K)</f>
        <v>0</v>
      </c>
      <c r="K15" s="4">
        <f>SUMIF(K类!E:E,A15,K类!K:K)</f>
        <v>0</v>
      </c>
      <c r="L15" s="4">
        <f>SUMIF(D类!E:E,A15,D类!K:K)</f>
        <v>0</v>
      </c>
      <c r="M15" s="4">
        <f>SUMIF(C类打底裤!E:E,A15,C类打底裤!K:K)</f>
        <v>0</v>
      </c>
      <c r="N15" s="4">
        <f>SUMIF(Q类!E:E,A15,Q类!K:K)</f>
        <v>0</v>
      </c>
      <c r="O15" s="4">
        <f>SUMIF(L类!E18:E85,A15,L类!K18:K85)</f>
        <v>0</v>
      </c>
      <c r="P15" s="4">
        <f>SUMIF(E类!E:E,A15,E类!K:K)</f>
        <v>0</v>
      </c>
      <c r="Q15" s="4">
        <f>SUMIF(F类!E:E,A15,F类!K:K)</f>
        <v>0</v>
      </c>
      <c r="R15" s="4">
        <f>SUMIF(G类!E:E,A15,G类!K:K)</f>
        <v>0</v>
      </c>
      <c r="S15" s="4">
        <f>SUMIF(J类!E:E,A15,J类!K:K)</f>
        <v>0</v>
      </c>
      <c r="T15" s="4">
        <f>SUMIF(N类!E:E,A15,N类!K:K)</f>
        <v>0</v>
      </c>
      <c r="U15" s="4">
        <f>SUMIF(W类!E:E,A15,W类!K:K)</f>
        <v>0</v>
      </c>
      <c r="V15" s="4">
        <f t="shared" si="0"/>
        <v>0</v>
      </c>
      <c r="W15" s="4"/>
      <c r="X15" s="4"/>
      <c r="Y15" s="4">
        <f t="shared" si="1"/>
        <v>0</v>
      </c>
    </row>
    <row r="16" spans="1:34" ht="15" customHeight="1">
      <c r="A16" s="2" t="s">
        <v>46</v>
      </c>
      <c r="B16" s="2" t="s">
        <v>493</v>
      </c>
      <c r="C16" s="4">
        <f>SUMIF(Y类!E:E,A16,Y类!K:K)</f>
        <v>0</v>
      </c>
      <c r="D16" s="4">
        <f>SUMIF(Z类!E:E,A16,Z类!K:K)</f>
        <v>0</v>
      </c>
      <c r="E16" s="4">
        <f>SUMIF(A类!E:E,A16,A类!K:K)</f>
        <v>0</v>
      </c>
      <c r="F16" s="4">
        <f>SUMIF(T类!E:E,A16,T类!K:K)</f>
        <v>0</v>
      </c>
      <c r="G16" s="4">
        <f>SUMIF(M类!E:E,A16,M类!K:K)</f>
        <v>0</v>
      </c>
      <c r="H16" s="4">
        <f>SUMIF(H类!E:E,A16,H类!K:K)</f>
        <v>0</v>
      </c>
      <c r="I16" s="4">
        <f>SUMIF(V类!E:E,A16,V类!K:K)</f>
        <v>0</v>
      </c>
      <c r="J16" s="4">
        <f>SUMIF(B类!E:E,A16,B类!K:K)</f>
        <v>0</v>
      </c>
      <c r="K16" s="4">
        <f>SUMIF(K类!E:E,A16,K类!K:K)</f>
        <v>0</v>
      </c>
      <c r="L16" s="4">
        <f>SUMIF(D类!E:E,A16,D类!K:K)</f>
        <v>0</v>
      </c>
      <c r="M16" s="4">
        <f>SUMIF(C类打底裤!E:E,A16,C类打底裤!K:K)</f>
        <v>0</v>
      </c>
      <c r="N16" s="4">
        <f>SUMIF(Q类!E:E,A16,Q类!K:K)</f>
        <v>0</v>
      </c>
      <c r="O16" s="4">
        <f>SUMIF(L类!E19:E86,A16,L类!K19:K86)</f>
        <v>0</v>
      </c>
      <c r="P16" s="4">
        <f>SUMIF(E类!E:E,A16,E类!K:K)</f>
        <v>0</v>
      </c>
      <c r="Q16" s="4">
        <f>SUMIF(F类!E:E,A16,F类!K:K)</f>
        <v>0</v>
      </c>
      <c r="R16" s="4">
        <f>SUMIF(G类!E:E,A16,G类!K:K)</f>
        <v>0</v>
      </c>
      <c r="S16" s="4">
        <f>SUMIF(J类!E:E,A16,J类!K:K)</f>
        <v>0</v>
      </c>
      <c r="T16" s="4">
        <f>SUMIF(N类!E:E,A16,N类!K:K)</f>
        <v>0</v>
      </c>
      <c r="U16" s="4">
        <f>SUMIF(W类!E:E,A16,W类!K:K)</f>
        <v>0</v>
      </c>
      <c r="V16" s="4">
        <f t="shared" si="0"/>
        <v>0</v>
      </c>
      <c r="W16" s="4"/>
      <c r="X16" s="4"/>
      <c r="Y16" s="4">
        <f t="shared" si="1"/>
        <v>0</v>
      </c>
    </row>
    <row r="17" spans="1:74" s="1" customFormat="1" ht="15" customHeight="1">
      <c r="A17" s="2" t="s">
        <v>25</v>
      </c>
      <c r="B17" s="2" t="s">
        <v>493</v>
      </c>
      <c r="C17" s="4">
        <f>SUMIF(Y类!E:E,A17,Y类!K:K)</f>
        <v>0</v>
      </c>
      <c r="D17" s="4">
        <f>SUMIF(Z类!E:E,A17,Z类!K:K)</f>
        <v>0</v>
      </c>
      <c r="E17" s="4">
        <f>SUMIF(A类!E:E,A17,A类!K:K)</f>
        <v>0</v>
      </c>
      <c r="F17" s="4">
        <f>SUMIF(T类!E:E,A17,T类!K:K)</f>
        <v>0</v>
      </c>
      <c r="G17" s="4">
        <f>SUMIF(M类!E:E,A17,M类!K:K)</f>
        <v>0</v>
      </c>
      <c r="H17" s="4">
        <f>SUMIF(H类!E:E,A17,H类!K:K)</f>
        <v>0</v>
      </c>
      <c r="I17" s="4">
        <f>SUMIF(V类!E:E,A17,V类!K:K)</f>
        <v>0</v>
      </c>
      <c r="J17" s="4">
        <f>SUMIF(B类!E:E,A17,B类!K:K)</f>
        <v>0</v>
      </c>
      <c r="K17" s="4">
        <f>SUMIF(K类!E:E,A17,K类!K:K)</f>
        <v>0</v>
      </c>
      <c r="L17" s="4">
        <f>SUMIF(D类!E:E,A17,D类!K:K)</f>
        <v>0</v>
      </c>
      <c r="M17" s="4">
        <f>SUMIF(C类打底裤!E:E,A17,C类打底裤!K:K)</f>
        <v>0</v>
      </c>
      <c r="N17" s="4">
        <f>SUMIF(Q类!E:E,A17,Q类!K:K)</f>
        <v>0</v>
      </c>
      <c r="O17" s="4">
        <f>SUMIF(L类!E20:E87,A17,L类!K20:K87)</f>
        <v>0</v>
      </c>
      <c r="P17" s="4">
        <f>SUMIF(E类!E:E,A17,E类!K:K)</f>
        <v>0</v>
      </c>
      <c r="Q17" s="4">
        <f>SUMIF(F类!E:E,A17,F类!K:K)</f>
        <v>0</v>
      </c>
      <c r="R17" s="4">
        <f>SUMIF(G类!E:E,A17,G类!K:K)</f>
        <v>0</v>
      </c>
      <c r="S17" s="4">
        <f>SUMIF(J类!E:E,A17,J类!K:K)</f>
        <v>0</v>
      </c>
      <c r="T17" s="4">
        <f>SUMIF(N类!E:E,A17,N类!K:K)</f>
        <v>0</v>
      </c>
      <c r="U17" s="4">
        <f>SUMIF(W类!E:E,A17,W类!K:K)</f>
        <v>0</v>
      </c>
      <c r="V17" s="4">
        <f t="shared" si="0"/>
        <v>0</v>
      </c>
      <c r="W17" s="4"/>
      <c r="X17" s="4"/>
      <c r="Y17" s="4">
        <f t="shared" si="1"/>
        <v>0</v>
      </c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</row>
    <row r="18" spans="1:74" s="1" customFormat="1" ht="15" customHeight="1">
      <c r="A18" s="2" t="s">
        <v>52</v>
      </c>
      <c r="B18" s="2" t="s">
        <v>493</v>
      </c>
      <c r="C18" s="4">
        <f>SUMIF(Y类!E:E,A18,Y类!K:K)</f>
        <v>0</v>
      </c>
      <c r="D18" s="4">
        <f>SUMIF(Z类!E:E,A18,Z类!K:K)</f>
        <v>0</v>
      </c>
      <c r="E18" s="4">
        <f>SUMIF(A类!E:E,A18,A类!K:K)</f>
        <v>0</v>
      </c>
      <c r="F18" s="4">
        <f>SUMIF(T类!E:E,A18,T类!K:K)</f>
        <v>0</v>
      </c>
      <c r="G18" s="4">
        <f>SUMIF(M类!E:E,A18,M类!K:K)</f>
        <v>0</v>
      </c>
      <c r="H18" s="4">
        <f>SUMIF(H类!E:E,A18,H类!K:K)</f>
        <v>0</v>
      </c>
      <c r="I18" s="4">
        <f>SUMIF(V类!E:E,A18,V类!K:K)</f>
        <v>0</v>
      </c>
      <c r="J18" s="4">
        <f>SUMIF(B类!E:E,A18,B类!K:K)</f>
        <v>0</v>
      </c>
      <c r="K18" s="4">
        <f>SUMIF(K类!E:E,A18,K类!K:K)</f>
        <v>0</v>
      </c>
      <c r="L18" s="4">
        <f>SUMIF(D类!E:E,A18,D类!K:K)</f>
        <v>0</v>
      </c>
      <c r="M18" s="4">
        <f>SUMIF(C类打底裤!E:E,A18,C类打底裤!K:K)</f>
        <v>0</v>
      </c>
      <c r="N18" s="4">
        <f>SUMIF(Q类!E:E,A18,Q类!K:K)</f>
        <v>0</v>
      </c>
      <c r="O18" s="4">
        <f>SUMIF(L类!E21:E88,A18,L类!K21:K88)</f>
        <v>0</v>
      </c>
      <c r="P18" s="4">
        <f>SUMIF(E类!E:E,A18,E类!K:K)</f>
        <v>0</v>
      </c>
      <c r="Q18" s="4">
        <f>SUMIF(F类!E:E,A18,F类!K:K)</f>
        <v>0</v>
      </c>
      <c r="R18" s="4">
        <f>SUMIF(G类!E:E,A18,G类!K:K)</f>
        <v>0</v>
      </c>
      <c r="S18" s="4">
        <f>SUMIF(J类!E:E,A18,J类!K:K)</f>
        <v>0</v>
      </c>
      <c r="T18" s="4">
        <f>SUMIF(N类!E:E,A18,N类!K:K)</f>
        <v>0</v>
      </c>
      <c r="U18" s="4">
        <f>SUMIF(W类!E:E,A18,W类!K:K)</f>
        <v>0</v>
      </c>
      <c r="V18" s="4">
        <f t="shared" si="0"/>
        <v>0</v>
      </c>
      <c r="W18" s="4"/>
      <c r="X18" s="4"/>
      <c r="Y18" s="4">
        <f t="shared" si="1"/>
        <v>0</v>
      </c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</row>
    <row r="19" spans="1:74" ht="15" customHeight="1">
      <c r="A19" s="2" t="s">
        <v>268</v>
      </c>
      <c r="B19" s="2" t="s">
        <v>493</v>
      </c>
      <c r="C19" s="4">
        <f>SUMIF(Y类!E:E,A19,Y类!K:K)</f>
        <v>0</v>
      </c>
      <c r="D19" s="4">
        <f>SUMIF(Z类!E:E,A19,Z类!K:K)</f>
        <v>0</v>
      </c>
      <c r="E19" s="4">
        <f>SUMIF(A类!E:E,A19,A类!K:K)</f>
        <v>0</v>
      </c>
      <c r="F19" s="4">
        <f>SUMIF(T类!E:E,A19,T类!K:K)</f>
        <v>0</v>
      </c>
      <c r="G19" s="4">
        <f>SUMIF(M类!E:E,A19,M类!K:K)</f>
        <v>0</v>
      </c>
      <c r="H19" s="4">
        <f>SUMIF(H类!E:E,A19,H类!K:K)</f>
        <v>0</v>
      </c>
      <c r="I19" s="4">
        <f>SUMIF(V类!E:E,A19,V类!K:K)</f>
        <v>0</v>
      </c>
      <c r="J19" s="4">
        <f>SUMIF(B类!E:E,A19,B类!K:K)</f>
        <v>0</v>
      </c>
      <c r="K19" s="4">
        <f>SUMIF(K类!E:E,A19,K类!K:K)</f>
        <v>0</v>
      </c>
      <c r="L19" s="4">
        <f>SUMIF(D类!E:E,A19,D类!K:K)</f>
        <v>0</v>
      </c>
      <c r="M19" s="4">
        <f>SUMIF(C类打底裤!E:E,A19,C类打底裤!K:K)</f>
        <v>0</v>
      </c>
      <c r="N19" s="4">
        <f>SUMIF(Q类!E:E,A19,Q类!K:K)</f>
        <v>0</v>
      </c>
      <c r="O19" s="4">
        <f>SUMIF(L类!E24:E90,A19,L类!K24:K90)</f>
        <v>0</v>
      </c>
      <c r="P19" s="4">
        <f>SUMIF(E类!E:E,A19,E类!K:K)</f>
        <v>0</v>
      </c>
      <c r="Q19" s="4">
        <f>SUMIF(F类!E:E,A19,F类!K:K)</f>
        <v>0</v>
      </c>
      <c r="R19" s="4">
        <f>SUMIF(G类!E:E,A19,G类!K:K)</f>
        <v>0</v>
      </c>
      <c r="S19" s="4">
        <f>SUMIF(J类!E:E,A19,J类!K:K)</f>
        <v>0</v>
      </c>
      <c r="T19" s="4">
        <f>SUMIF(N类!E:E,A19,N类!K:K)</f>
        <v>0</v>
      </c>
      <c r="U19" s="4">
        <f>SUMIF(W类!E:E,A19,W类!K:K)</f>
        <v>0</v>
      </c>
      <c r="V19" s="4">
        <f t="shared" ref="V19:V57" si="5">SUM(C19:U19)</f>
        <v>0</v>
      </c>
      <c r="W19" s="4"/>
      <c r="X19" s="4"/>
      <c r="Y19" s="4">
        <f t="shared" ref="Y19:Y31" si="6">SUM(V19:X19)</f>
        <v>0</v>
      </c>
    </row>
    <row r="20" spans="1:74" ht="15" customHeight="1">
      <c r="A20" s="2" t="s">
        <v>93</v>
      </c>
      <c r="B20" s="2" t="s">
        <v>494</v>
      </c>
      <c r="C20" s="4">
        <f>SUMIF(Y类!E:E,A20,Y类!K:K)</f>
        <v>-3993</v>
      </c>
      <c r="D20" s="4">
        <f>SUMIF(Z类!E:E,A20,Z类!K:K)</f>
        <v>0</v>
      </c>
      <c r="E20" s="4">
        <f>SUMIF(A类!E:E,A20,A类!K:K)</f>
        <v>0</v>
      </c>
      <c r="F20" s="4">
        <f>SUMIF(T类!E:E,A20,T类!K:K)</f>
        <v>0</v>
      </c>
      <c r="G20" s="4">
        <f>SUMIF(M类!E:E,A20,M类!K:K)</f>
        <v>0</v>
      </c>
      <c r="H20" s="4">
        <f>SUMIF(H类!E:E,A20,H类!K:K)</f>
        <v>0</v>
      </c>
      <c r="I20" s="4">
        <f>SUMIF(V类!E:E,A20,V类!K:K)</f>
        <v>0</v>
      </c>
      <c r="J20" s="4">
        <f>SUMIF(B类!E:E,A20,B类!K:K)</f>
        <v>0</v>
      </c>
      <c r="K20" s="4">
        <f>SUMIF(K类!E:E,A20,K类!K:K)</f>
        <v>0</v>
      </c>
      <c r="L20" s="4">
        <f>SUMIF(D类!E:E,A20,D类!K:K)</f>
        <v>0</v>
      </c>
      <c r="M20" s="4">
        <f>SUMIF(C类打底裤!E:E,A20,C类打底裤!K:K)</f>
        <v>0</v>
      </c>
      <c r="N20" s="4">
        <f>SUMIF(Q类!E:E,A20,Q类!K:K)</f>
        <v>0</v>
      </c>
      <c r="O20" s="4">
        <f>SUMIF(L类!E25:E91,A20,L类!K25:K91)</f>
        <v>0</v>
      </c>
      <c r="P20" s="4">
        <f>SUMIF(E类!E:E,A20,E类!K:K)</f>
        <v>0</v>
      </c>
      <c r="Q20" s="4">
        <f>SUMIF(F类!E:E,A20,F类!K:K)</f>
        <v>0</v>
      </c>
      <c r="R20" s="4">
        <f>SUMIF(G类!E:E,A20,G类!K:K)</f>
        <v>0</v>
      </c>
      <c r="S20" s="4">
        <f>SUMIF(J类!E:E,A20,J类!K:K)</f>
        <v>0</v>
      </c>
      <c r="T20" s="4">
        <f>SUMIF(N类!E:E,A20,N类!K:K)</f>
        <v>0</v>
      </c>
      <c r="U20" s="4">
        <f>SUMIF(W类!E:E,A20,W类!K:K)</f>
        <v>0</v>
      </c>
      <c r="V20" s="4">
        <f t="shared" si="5"/>
        <v>-3993</v>
      </c>
      <c r="W20" s="4"/>
      <c r="X20" s="4"/>
      <c r="Y20" s="4">
        <f t="shared" si="6"/>
        <v>-3993</v>
      </c>
    </row>
    <row r="21" spans="1:74" ht="15" customHeight="1">
      <c r="A21" s="2" t="s">
        <v>99</v>
      </c>
      <c r="B21" s="2" t="s">
        <v>494</v>
      </c>
      <c r="C21" s="4">
        <f>SUMIF(Y类!E:E,A21,Y类!K:K)</f>
        <v>0</v>
      </c>
      <c r="D21" s="4">
        <f>SUMIF(Z类!E:E,A21,Z类!K:K)</f>
        <v>0</v>
      </c>
      <c r="E21" s="4">
        <f>SUMIF(A类!E:E,A21,A类!K:K)</f>
        <v>0</v>
      </c>
      <c r="F21" s="4">
        <f>SUMIF(T类!E:E,A21,T类!K:K)</f>
        <v>0</v>
      </c>
      <c r="G21" s="4">
        <f>SUMIF(M类!E:E,A21,M类!K:K)</f>
        <v>0</v>
      </c>
      <c r="H21" s="4">
        <f>SUMIF(H类!E:E,A21,H类!K:K)</f>
        <v>0</v>
      </c>
      <c r="I21" s="4">
        <f>SUMIF(V类!E:E,A21,V类!K:K)</f>
        <v>0</v>
      </c>
      <c r="J21" s="4">
        <f>SUMIF(B类!E:E,A21,B类!K:K)</f>
        <v>0</v>
      </c>
      <c r="K21" s="4">
        <f>SUMIF(K类!E:E,A21,K类!K:K)</f>
        <v>0</v>
      </c>
      <c r="L21" s="4">
        <f>SUMIF(D类!E:E,A21,D类!K:K)</f>
        <v>0</v>
      </c>
      <c r="M21" s="4">
        <f>SUMIF(C类打底裤!E:E,A21,C类打底裤!K:K)</f>
        <v>0</v>
      </c>
      <c r="N21" s="4">
        <f>SUMIF(Q类!E:E,A21,Q类!K:K)</f>
        <v>0</v>
      </c>
      <c r="O21" s="4">
        <f>SUMIF(L类!E26:E92,A21,L类!K26:K92)</f>
        <v>0</v>
      </c>
      <c r="P21" s="4">
        <f>SUMIF(E类!E:E,A21,E类!K:K)</f>
        <v>0</v>
      </c>
      <c r="Q21" s="4">
        <f>SUMIF(F类!E:E,A21,F类!K:K)</f>
        <v>0</v>
      </c>
      <c r="R21" s="4">
        <f>SUMIF(G类!E:E,A21,G类!K:K)</f>
        <v>0</v>
      </c>
      <c r="S21" s="4">
        <f>SUMIF(J类!E:E,A21,J类!K:K)</f>
        <v>0</v>
      </c>
      <c r="T21" s="4">
        <f>SUMIF(N类!E:E,A21,N类!K:K)</f>
        <v>0</v>
      </c>
      <c r="U21" s="4">
        <f>SUMIF(W类!E:E,A21,W类!K:K)</f>
        <v>0</v>
      </c>
      <c r="V21" s="4">
        <f t="shared" si="5"/>
        <v>0</v>
      </c>
      <c r="W21" s="4"/>
      <c r="X21" s="4"/>
      <c r="Y21" s="4">
        <f t="shared" si="6"/>
        <v>0</v>
      </c>
    </row>
    <row r="22" spans="1:74" ht="15" customHeight="1">
      <c r="A22" s="2" t="s">
        <v>85</v>
      </c>
      <c r="B22" s="2" t="s">
        <v>494</v>
      </c>
      <c r="C22" s="4">
        <f>SUMIF(Y类!E:E,A22,Y类!K:K)</f>
        <v>0</v>
      </c>
      <c r="D22" s="4">
        <f>SUMIF(Z类!E:E,A22,Z类!K:K)</f>
        <v>0</v>
      </c>
      <c r="E22" s="4">
        <f>SUMIF(A类!E:E,A22,A类!K:K)</f>
        <v>0</v>
      </c>
      <c r="F22" s="4">
        <f>SUMIF(T类!E:E,A22,T类!K:K)</f>
        <v>0</v>
      </c>
      <c r="G22" s="4">
        <f>SUMIF(M类!E:E,A22,M类!K:K)</f>
        <v>0</v>
      </c>
      <c r="H22" s="4">
        <f>SUMIF(H类!E:E,A22,H类!K:K)</f>
        <v>0</v>
      </c>
      <c r="I22" s="4">
        <f>SUMIF(V类!E:E,A22,V类!K:K)</f>
        <v>0</v>
      </c>
      <c r="J22" s="4">
        <f>SUMIF(B类!E:E,A22,B类!K:K)</f>
        <v>0</v>
      </c>
      <c r="K22" s="4">
        <f>SUMIF(K类!E:E,A22,K类!K:K)</f>
        <v>0</v>
      </c>
      <c r="L22" s="4">
        <f>SUMIF(D类!E:E,A22,D类!K:K)</f>
        <v>0</v>
      </c>
      <c r="M22" s="4">
        <f>SUMIF(C类打底裤!E:E,A22,C类打底裤!K:K)</f>
        <v>0</v>
      </c>
      <c r="N22" s="4">
        <f>SUMIF(Q类!E:E,A22,Q类!K:K)</f>
        <v>0</v>
      </c>
      <c r="O22" s="4">
        <f>SUMIF(L类!E27:E93,A22,L类!K27:K93)</f>
        <v>0</v>
      </c>
      <c r="P22" s="4">
        <f>SUMIF(E类!E:E,A22,E类!K:K)</f>
        <v>0</v>
      </c>
      <c r="Q22" s="4">
        <f>SUMIF(F类!E:E,A22,F类!K:K)</f>
        <v>0</v>
      </c>
      <c r="R22" s="4">
        <f>SUMIF(G类!E:E,A22,G类!K:K)</f>
        <v>0</v>
      </c>
      <c r="S22" s="4">
        <f>SUMIF(J类!E:E,A22,J类!K:K)</f>
        <v>0</v>
      </c>
      <c r="T22" s="4">
        <f>SUMIF(N类!E:E,A22,N类!K:K)</f>
        <v>0</v>
      </c>
      <c r="U22" s="4">
        <f>SUMIF(W类!E:E,A22,W类!K:K)</f>
        <v>0</v>
      </c>
      <c r="V22" s="4">
        <f t="shared" si="5"/>
        <v>0</v>
      </c>
      <c r="W22" s="4"/>
      <c r="X22" s="4"/>
      <c r="Y22" s="4">
        <f t="shared" si="6"/>
        <v>0</v>
      </c>
    </row>
    <row r="23" spans="1:74" s="1" customFormat="1" ht="15" customHeight="1">
      <c r="A23" s="2" t="s">
        <v>249</v>
      </c>
      <c r="B23" s="2" t="s">
        <v>494</v>
      </c>
      <c r="C23" s="4">
        <f>SUMIF(Y类!E:E,A23,Y类!K:K)</f>
        <v>0</v>
      </c>
      <c r="D23" s="4">
        <f>SUMIF(Z类!E:E,A23,Z类!K:K)</f>
        <v>0</v>
      </c>
      <c r="E23" s="4">
        <f>SUMIF(A类!E:E,A23,A类!K:K)</f>
        <v>0</v>
      </c>
      <c r="F23" s="4">
        <f>SUMIF(T类!E:E,A23,T类!K:K)</f>
        <v>0</v>
      </c>
      <c r="G23" s="4">
        <f>SUMIF(M类!E:E,A23,M类!K:K)</f>
        <v>0</v>
      </c>
      <c r="H23" s="4">
        <f>SUMIF(H类!E:E,A23,H类!K:K)</f>
        <v>0</v>
      </c>
      <c r="I23" s="4">
        <f>SUMIF(V类!E:E,A23,V类!K:K)</f>
        <v>0</v>
      </c>
      <c r="J23" s="4">
        <f>SUMIF(B类!E:E,A23,B类!K:K)</f>
        <v>0</v>
      </c>
      <c r="K23" s="4">
        <f>SUMIF(K类!E:E,A23,K类!K:K)</f>
        <v>0</v>
      </c>
      <c r="L23" s="4">
        <f>SUMIF(D类!E:E,A23,D类!K:K)</f>
        <v>0</v>
      </c>
      <c r="M23" s="4">
        <f>SUMIF(C类打底裤!E:E,A23,C类打底裤!K:K)</f>
        <v>0</v>
      </c>
      <c r="N23" s="4">
        <f>SUMIF(Q类!E:E,A23,Q类!K:K)</f>
        <v>0</v>
      </c>
      <c r="O23" s="4">
        <f>SUMIF(L类!E28:E94,A23,L类!K28:K94)</f>
        <v>0</v>
      </c>
      <c r="P23" s="4">
        <f>SUMIF(E类!E:E,A23,E类!K:K)</f>
        <v>0</v>
      </c>
      <c r="Q23" s="4">
        <f>SUMIF(F类!E:E,A23,F类!K:K)</f>
        <v>0</v>
      </c>
      <c r="R23" s="4">
        <f>SUMIF(G类!E:E,A23,G类!K:K)</f>
        <v>0</v>
      </c>
      <c r="S23" s="4">
        <f>SUMIF(J类!E:E,A23,J类!K:K)</f>
        <v>0</v>
      </c>
      <c r="T23" s="4">
        <f>SUMIF(N类!E:E,A23,N类!K:K)</f>
        <v>0</v>
      </c>
      <c r="U23" s="4">
        <f>SUMIF(W类!E:E,A23,W类!K:K)</f>
        <v>0</v>
      </c>
      <c r="V23" s="4">
        <f t="shared" si="5"/>
        <v>0</v>
      </c>
      <c r="W23" s="4"/>
      <c r="X23" s="4"/>
      <c r="Y23" s="4">
        <f t="shared" si="6"/>
        <v>0</v>
      </c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</row>
    <row r="24" spans="1:74" ht="15" customHeight="1">
      <c r="A24" s="2" t="s">
        <v>117</v>
      </c>
      <c r="B24" s="2" t="s">
        <v>495</v>
      </c>
      <c r="C24" s="4">
        <f>SUMIF(Y类!E:E,A24,Y类!K:K)</f>
        <v>0</v>
      </c>
      <c r="D24" s="4">
        <f>SUMIF(Z类!E:E,A24,Z类!K:K)</f>
        <v>0</v>
      </c>
      <c r="E24" s="4">
        <f>SUMIF(A类!E:E,A24,A类!K:K)</f>
        <v>0</v>
      </c>
      <c r="F24" s="4">
        <f>SUMIF(T类!E:E,A24,T类!K:K)</f>
        <v>0</v>
      </c>
      <c r="G24" s="4">
        <f>SUMIF(M类!E:E,A24,M类!K:K)</f>
        <v>0</v>
      </c>
      <c r="H24" s="4">
        <f>SUMIF(H类!E:E,A24,H类!K:K)</f>
        <v>0</v>
      </c>
      <c r="I24" s="4">
        <f>SUMIF(V类!E:E,A24,V类!K:K)</f>
        <v>0</v>
      </c>
      <c r="J24" s="4">
        <f>SUMIF(B类!E:E,A24,B类!K:K)</f>
        <v>0</v>
      </c>
      <c r="K24" s="4">
        <f>SUMIF(K类!E:E,A24,K类!K:K)</f>
        <v>0</v>
      </c>
      <c r="L24" s="4">
        <f>SUMIF(D类!E:E,A24,D类!K:K)</f>
        <v>0</v>
      </c>
      <c r="M24" s="4">
        <f>SUMIF(C类打底裤!E:E,A24,C类打底裤!K:K)</f>
        <v>0</v>
      </c>
      <c r="N24" s="4">
        <f>SUMIF(Q类!E:E,A24,Q类!K:K)</f>
        <v>0</v>
      </c>
      <c r="O24" s="4">
        <f>SUMIF(L类!E29:E95,A24,L类!K29:K95)</f>
        <v>0</v>
      </c>
      <c r="P24" s="4">
        <f>SUMIF(E类!E:E,A24,E类!K:K)</f>
        <v>0</v>
      </c>
      <c r="Q24" s="4">
        <f>SUMIF(F类!E:E,A24,F类!K:K)</f>
        <v>0</v>
      </c>
      <c r="R24" s="4">
        <f>SUMIF(G类!E:E,A24,G类!K:K)</f>
        <v>0</v>
      </c>
      <c r="S24" s="4">
        <f>SUMIF(J类!E:E,A24,J类!K:K)</f>
        <v>0</v>
      </c>
      <c r="T24" s="4">
        <f>SUMIF(N类!E:E,A24,N类!K:K)</f>
        <v>0</v>
      </c>
      <c r="U24" s="4">
        <f>SUMIF(W类!E:E,A24,W类!K:K)</f>
        <v>0</v>
      </c>
      <c r="V24" s="4">
        <f t="shared" si="5"/>
        <v>0</v>
      </c>
      <c r="W24" s="4"/>
      <c r="X24" s="4"/>
      <c r="Y24" s="4">
        <f t="shared" si="6"/>
        <v>0</v>
      </c>
    </row>
    <row r="25" spans="1:74" ht="15" customHeight="1">
      <c r="A25" s="2" t="s">
        <v>108</v>
      </c>
      <c r="B25" s="2" t="s">
        <v>495</v>
      </c>
      <c r="C25" s="4">
        <f>SUMIF(Y类!E:E,A25,Y类!K:K)</f>
        <v>0</v>
      </c>
      <c r="D25" s="4">
        <f>SUMIF(Z类!E:E,A25,Z类!K:K)</f>
        <v>0</v>
      </c>
      <c r="E25" s="4">
        <f>SUMIF(A类!E:E,A25,A类!K:K)</f>
        <v>0</v>
      </c>
      <c r="F25" s="4">
        <f>SUMIF(T类!E:E,A25,T类!K:K)</f>
        <v>0</v>
      </c>
      <c r="G25" s="4">
        <f>SUMIF(M类!E:E,A25,M类!K:K)</f>
        <v>0</v>
      </c>
      <c r="H25" s="4">
        <f>SUMIF(H类!E:E,A25,H类!K:K)</f>
        <v>0</v>
      </c>
      <c r="I25" s="4">
        <f>SUMIF(V类!E:E,A25,V类!K:K)</f>
        <v>0</v>
      </c>
      <c r="J25" s="4">
        <f>SUMIF(B类!E:E,A25,B类!K:K)</f>
        <v>0</v>
      </c>
      <c r="K25" s="4">
        <f>SUMIF(K类!E:E,A25,K类!K:K)</f>
        <v>0</v>
      </c>
      <c r="L25" s="4">
        <f>SUMIF(D类!E:E,A25,D类!K:K)</f>
        <v>0</v>
      </c>
      <c r="M25" s="4">
        <f>SUMIF(C类打底裤!E:E,A25,C类打底裤!K:K)</f>
        <v>0</v>
      </c>
      <c r="N25" s="4">
        <f>SUMIF(Q类!E:E,A25,Q类!K:K)</f>
        <v>0</v>
      </c>
      <c r="O25" s="4">
        <f>SUMIF(L类!E30:E96,A25,L类!K30:K96)</f>
        <v>0</v>
      </c>
      <c r="P25" s="4">
        <f>SUMIF(E类!E:E,A25,E类!K:K)</f>
        <v>0</v>
      </c>
      <c r="Q25" s="4">
        <f>SUMIF(F类!E:E,A25,F类!K:K)</f>
        <v>0</v>
      </c>
      <c r="R25" s="4">
        <f>SUMIF(G类!E:E,A25,G类!K:K)</f>
        <v>0</v>
      </c>
      <c r="S25" s="4">
        <f>SUMIF(J类!E:E,A25,J类!K:K)</f>
        <v>0</v>
      </c>
      <c r="T25" s="4">
        <f>SUMIF(N类!E:E,A25,N类!K:K)</f>
        <v>0</v>
      </c>
      <c r="U25" s="4">
        <f>SUMIF(W类!E:E,A25,W类!K:K)</f>
        <v>0</v>
      </c>
      <c r="V25" s="4">
        <f t="shared" si="5"/>
        <v>0</v>
      </c>
      <c r="W25" s="4"/>
      <c r="X25" s="4"/>
      <c r="Y25" s="4">
        <f t="shared" si="6"/>
        <v>0</v>
      </c>
    </row>
    <row r="26" spans="1:74" ht="15" customHeight="1">
      <c r="A26" s="2" t="s">
        <v>246</v>
      </c>
      <c r="B26" s="2" t="s">
        <v>495</v>
      </c>
      <c r="C26" s="4">
        <f>SUMIF(Y类!E:E,A26,Y类!K:K)</f>
        <v>0</v>
      </c>
      <c r="D26" s="4">
        <f>SUMIF(Z类!E:E,A26,Z类!K:K)</f>
        <v>0</v>
      </c>
      <c r="E26" s="4">
        <f>SUMIF(A类!E:E,A26,A类!K:K)</f>
        <v>0</v>
      </c>
      <c r="F26" s="4">
        <f>SUMIF(T类!E:E,A26,T类!K:K)</f>
        <v>0</v>
      </c>
      <c r="G26" s="4">
        <f>SUMIF(M类!E:E,A26,M类!K:K)</f>
        <v>0</v>
      </c>
      <c r="H26" s="4">
        <f>SUMIF(H类!E:E,A26,H类!K:K)</f>
        <v>0</v>
      </c>
      <c r="I26" s="4">
        <f>SUMIF(V类!E:E,A26,V类!K:K)</f>
        <v>0</v>
      </c>
      <c r="J26" s="4">
        <f>SUMIF(B类!E:E,A26,B类!K:K)</f>
        <v>0</v>
      </c>
      <c r="K26" s="4">
        <f>SUMIF(K类!E:E,A26,K类!K:K)</f>
        <v>0</v>
      </c>
      <c r="L26" s="4">
        <f>SUMIF(D类!E:E,A26,D类!K:K)</f>
        <v>0</v>
      </c>
      <c r="M26" s="4">
        <f>SUMIF(C类打底裤!E:E,A26,C类打底裤!K:K)</f>
        <v>0</v>
      </c>
      <c r="N26" s="4">
        <f>SUMIF(Q类!E:E,A26,Q类!K:K)</f>
        <v>0</v>
      </c>
      <c r="O26" s="4">
        <f>SUMIF(L类!E31:E97,A26,L类!K31:K97)</f>
        <v>0</v>
      </c>
      <c r="P26" s="4">
        <f>SUMIF(E类!E:E,A26,E类!K:K)</f>
        <v>0</v>
      </c>
      <c r="Q26" s="4">
        <f>SUMIF(F类!E:E,A26,F类!K:K)</f>
        <v>0</v>
      </c>
      <c r="R26" s="4">
        <f>SUMIF(G类!E:E,A26,G类!K:K)</f>
        <v>0</v>
      </c>
      <c r="S26" s="4">
        <f>SUMIF(J类!E:E,A26,J类!K:K)</f>
        <v>0</v>
      </c>
      <c r="T26" s="4">
        <f>SUMIF(N类!E:E,A26,N类!K:K)</f>
        <v>0</v>
      </c>
      <c r="U26" s="4">
        <f>SUMIF(W类!E:E,A26,W类!K:K)</f>
        <v>0</v>
      </c>
      <c r="V26" s="4">
        <f t="shared" si="5"/>
        <v>0</v>
      </c>
      <c r="W26" s="4"/>
      <c r="X26" s="4"/>
      <c r="Y26" s="4">
        <f t="shared" si="6"/>
        <v>0</v>
      </c>
    </row>
    <row r="27" spans="1:74" ht="15" customHeight="1">
      <c r="A27" s="2" t="s">
        <v>129</v>
      </c>
      <c r="B27" s="2" t="s">
        <v>495</v>
      </c>
      <c r="C27" s="4">
        <f>SUMIF(Y类!E:E,A27,Y类!K:K)</f>
        <v>0</v>
      </c>
      <c r="D27" s="4">
        <f>SUMIF(Z类!E:E,A27,Z类!K:K)</f>
        <v>0</v>
      </c>
      <c r="E27" s="4">
        <f>SUMIF(A类!E:E,A27,A类!K:K)</f>
        <v>0</v>
      </c>
      <c r="F27" s="4">
        <f>SUMIF(T类!E:E,A27,T类!K:K)</f>
        <v>0</v>
      </c>
      <c r="G27" s="4">
        <f>SUMIF(M类!E:E,A27,M类!K:K)</f>
        <v>0</v>
      </c>
      <c r="H27" s="4">
        <f>SUMIF(H类!E:E,A27,H类!K:K)</f>
        <v>0</v>
      </c>
      <c r="I27" s="4">
        <f>SUMIF(V类!E:E,A27,V类!K:K)</f>
        <v>0</v>
      </c>
      <c r="J27" s="4">
        <f>SUMIF(B类!E:E,A27,B类!K:K)</f>
        <v>0</v>
      </c>
      <c r="K27" s="4">
        <f>SUMIF(K类!E:E,A27,K类!K:K)</f>
        <v>0</v>
      </c>
      <c r="L27" s="4">
        <f>SUMIF(D类!E:E,A27,D类!K:K)</f>
        <v>0</v>
      </c>
      <c r="M27" s="4">
        <f>SUMIF(C类打底裤!E:E,A27,C类打底裤!K:K)</f>
        <v>0</v>
      </c>
      <c r="N27" s="4">
        <f>SUMIF(Q类!E:E,A27,Q类!K:K)</f>
        <v>0</v>
      </c>
      <c r="O27" s="4">
        <f>SUMIF(L类!E34:E98,A27,L类!K34:K98)</f>
        <v>0</v>
      </c>
      <c r="P27" s="4">
        <f>SUMIF(E类!E:E,A27,E类!K:K)</f>
        <v>0</v>
      </c>
      <c r="Q27" s="4">
        <f>SUMIF(F类!E:E,A27,F类!K:K)</f>
        <v>0</v>
      </c>
      <c r="R27" s="4">
        <f>SUMIF(G类!E:E,A27,G类!K:K)</f>
        <v>0</v>
      </c>
      <c r="S27" s="4">
        <f>SUMIF(J类!E:E,A27,J类!K:K)</f>
        <v>0</v>
      </c>
      <c r="T27" s="4">
        <f>SUMIF(N类!E:E,A27,N类!K:K)</f>
        <v>0</v>
      </c>
      <c r="U27" s="4">
        <f>SUMIF(W类!E:E,A27,W类!K:K)</f>
        <v>0</v>
      </c>
      <c r="V27" s="4">
        <f t="shared" si="5"/>
        <v>0</v>
      </c>
      <c r="W27" s="4"/>
      <c r="X27" s="4"/>
      <c r="Y27" s="4">
        <f t="shared" si="6"/>
        <v>0</v>
      </c>
    </row>
    <row r="28" spans="1:74" ht="15" customHeight="1">
      <c r="A28" s="2" t="s">
        <v>121</v>
      </c>
      <c r="B28" s="2" t="s">
        <v>495</v>
      </c>
      <c r="C28" s="4">
        <f>SUMIF(Y类!E:E,A28,Y类!K:K)</f>
        <v>0</v>
      </c>
      <c r="D28" s="4">
        <f>SUMIF(Z类!E:E,A28,Z类!K:K)</f>
        <v>0</v>
      </c>
      <c r="E28" s="4">
        <f>SUMIF(A类!E:E,A28,A类!K:K)</f>
        <v>0</v>
      </c>
      <c r="F28" s="4">
        <f>SUMIF(T类!E:E,A28,T类!K:K)</f>
        <v>0</v>
      </c>
      <c r="G28" s="4">
        <f>SUMIF(M类!E:E,A28,M类!K:K)</f>
        <v>0</v>
      </c>
      <c r="H28" s="4">
        <f>SUMIF(H类!E:E,A28,H类!K:K)</f>
        <v>0</v>
      </c>
      <c r="I28" s="4">
        <f>SUMIF(V类!E:E,A28,V类!K:K)</f>
        <v>0</v>
      </c>
      <c r="J28" s="4">
        <f>SUMIF(B类!E:E,A28,B类!K:K)</f>
        <v>0</v>
      </c>
      <c r="K28" s="4">
        <f>SUMIF(K类!E:E,A28,K类!K:K)</f>
        <v>0</v>
      </c>
      <c r="L28" s="4">
        <f>SUMIF(D类!E:E,A28,D类!K:K)</f>
        <v>0</v>
      </c>
      <c r="M28" s="4">
        <f>SUMIF(C类打底裤!E:E,A28,C类打底裤!K:K)</f>
        <v>0</v>
      </c>
      <c r="N28" s="4">
        <f>SUMIF(Q类!E:E,A28,Q类!K:K)</f>
        <v>0</v>
      </c>
      <c r="O28" s="4">
        <f>SUMIF(L类!E35:E99,A28,L类!K35:K99)</f>
        <v>0</v>
      </c>
      <c r="P28" s="4">
        <f>SUMIF(E类!E:E,A28,E类!K:K)</f>
        <v>0</v>
      </c>
      <c r="Q28" s="4">
        <f>SUMIF(F类!E:E,A28,F类!K:K)</f>
        <v>0</v>
      </c>
      <c r="R28" s="4">
        <f>SUMIF(G类!E:E,A28,G类!K:K)</f>
        <v>0</v>
      </c>
      <c r="S28" s="4">
        <f>SUMIF(J类!E:E,A28,J类!K:K)</f>
        <v>0</v>
      </c>
      <c r="T28" s="4">
        <f>SUMIF(N类!E:E,A28,N类!K:K)</f>
        <v>0</v>
      </c>
      <c r="U28" s="4">
        <f>SUMIF(W类!E:E,A28,W类!K:K)</f>
        <v>0</v>
      </c>
      <c r="V28" s="4">
        <f t="shared" si="5"/>
        <v>0</v>
      </c>
      <c r="W28" s="4"/>
      <c r="X28" s="4"/>
      <c r="Y28" s="4">
        <f t="shared" si="6"/>
        <v>0</v>
      </c>
    </row>
    <row r="29" spans="1:74" ht="15" customHeight="1">
      <c r="A29" s="2" t="s">
        <v>429</v>
      </c>
      <c r="B29" s="2" t="s">
        <v>495</v>
      </c>
      <c r="C29" s="4">
        <f>SUMIF(Y类!E:E,A29,Y类!K:K)</f>
        <v>0</v>
      </c>
      <c r="D29" s="4">
        <f>SUMIF(Z类!E:E,A29,Z类!K:K)</f>
        <v>0</v>
      </c>
      <c r="E29" s="4">
        <f>SUMIF(A类!E:E,A29,A类!K:K)</f>
        <v>0</v>
      </c>
      <c r="F29" s="4">
        <f>SUMIF(T类!E:E,A29,T类!K:K)</f>
        <v>0</v>
      </c>
      <c r="G29" s="4">
        <f>SUMIF(M类!E:E,A29,M类!K:K)</f>
        <v>0</v>
      </c>
      <c r="H29" s="4">
        <f>SUMIF(H类!E:E,A29,H类!K:K)</f>
        <v>0</v>
      </c>
      <c r="I29" s="4">
        <f>SUMIF(V类!E:E,A29,V类!K:K)</f>
        <v>0</v>
      </c>
      <c r="J29" s="4">
        <f>SUMIF(B类!E:E,A29,B类!K:K)</f>
        <v>0</v>
      </c>
      <c r="K29" s="4">
        <f>SUMIF(K类!E:E,A29,K类!K:K)</f>
        <v>0</v>
      </c>
      <c r="L29" s="4">
        <f>SUMIF(D类!E:E,A29,D类!K:K)</f>
        <v>0</v>
      </c>
      <c r="M29" s="4">
        <f>SUMIF(C类打底裤!E:E,A29,C类打底裤!K:K)</f>
        <v>0</v>
      </c>
      <c r="N29" s="4">
        <f>SUMIF(Q类!E:E,A29,Q类!K:K)</f>
        <v>0</v>
      </c>
      <c r="O29" s="4">
        <f>SUMIF(L类!E36:E100,A29,L类!K36:K100)</f>
        <v>0</v>
      </c>
      <c r="P29" s="4">
        <f>SUMIF(E类!E:E,A29,E类!K:K)</f>
        <v>0</v>
      </c>
      <c r="Q29" s="4">
        <f>SUMIF(F类!E:E,A29,F类!K:K)</f>
        <v>0</v>
      </c>
      <c r="R29" s="4">
        <f>SUMIF(G类!E:E,A29,G类!K:K)</f>
        <v>0</v>
      </c>
      <c r="S29" s="4">
        <f>SUMIF(J类!E:E,A29,J类!K:K)</f>
        <v>0</v>
      </c>
      <c r="T29" s="4">
        <f>SUMIF(N类!E:E,A29,N类!K:K)</f>
        <v>0</v>
      </c>
      <c r="U29" s="4">
        <f>SUMIF(W类!E:E,A29,W类!K:K)</f>
        <v>0</v>
      </c>
      <c r="V29" s="4">
        <f t="shared" si="5"/>
        <v>0</v>
      </c>
      <c r="W29" s="4"/>
      <c r="X29" s="4"/>
      <c r="Y29" s="4">
        <f t="shared" si="6"/>
        <v>0</v>
      </c>
    </row>
    <row r="30" spans="1:74" ht="15" customHeight="1">
      <c r="A30" s="2" t="s">
        <v>161</v>
      </c>
      <c r="B30" s="2" t="s">
        <v>496</v>
      </c>
      <c r="C30" s="4">
        <f>SUMIF(Y类!E:E,A30,Y类!K:K)</f>
        <v>0</v>
      </c>
      <c r="D30" s="4">
        <f>SUMIF(Z类!E:E,A30,Z类!K:K)</f>
        <v>0</v>
      </c>
      <c r="E30" s="4">
        <f>SUMIF(A类!E:E,A30,A类!K:K)</f>
        <v>0</v>
      </c>
      <c r="F30" s="4">
        <f>SUMIF(T类!E:E,A30,T类!K:K)</f>
        <v>0</v>
      </c>
      <c r="G30" s="4">
        <f>SUMIF(M类!E:E,A30,M类!K:K)</f>
        <v>0</v>
      </c>
      <c r="H30" s="4">
        <f>SUMIF(H类!E:E,A30,H类!K:K)</f>
        <v>0</v>
      </c>
      <c r="I30" s="4">
        <f>SUMIF(V类!E:E,A30,V类!K:K)</f>
        <v>0</v>
      </c>
      <c r="J30" s="4">
        <f>SUMIF(B类!E:E,A30,B类!K:K)</f>
        <v>0</v>
      </c>
      <c r="K30" s="4">
        <f>SUMIF(K类!E:E,A30,K类!K:K)</f>
        <v>0</v>
      </c>
      <c r="L30" s="4">
        <f>SUMIF(D类!E:E,A30,D类!K:K)</f>
        <v>0</v>
      </c>
      <c r="M30" s="4">
        <f>SUMIF(C类打底裤!E:E,A30,C类打底裤!K:K)</f>
        <v>0</v>
      </c>
      <c r="N30" s="4">
        <f>SUMIF(Q类!E:E,A30,Q类!K:K)</f>
        <v>0</v>
      </c>
      <c r="O30" s="4">
        <f>SUMIF(L类!E37:E101,A30,L类!K37:K101)</f>
        <v>0</v>
      </c>
      <c r="P30" s="4">
        <f>SUMIF(E类!E:E,A30,E类!K:K)</f>
        <v>0</v>
      </c>
      <c r="Q30" s="4">
        <f>SUMIF(F类!E:E,A30,F类!K:K)</f>
        <v>0</v>
      </c>
      <c r="R30" s="4">
        <f>SUMIF(G类!E:E,A30,G类!K:K)</f>
        <v>0</v>
      </c>
      <c r="S30" s="4">
        <f>SUMIF(J类!E:E,A30,J类!K:K)</f>
        <v>0</v>
      </c>
      <c r="T30" s="4">
        <f>SUMIF(N类!E:E,A30,N类!K:K)</f>
        <v>0</v>
      </c>
      <c r="U30" s="4">
        <f>SUMIF(W类!E:E,A30,W类!K:K)</f>
        <v>0</v>
      </c>
      <c r="V30" s="4">
        <f t="shared" si="5"/>
        <v>0</v>
      </c>
      <c r="W30" s="4"/>
      <c r="X30" s="4"/>
      <c r="Y30" s="4">
        <f t="shared" si="6"/>
        <v>0</v>
      </c>
    </row>
    <row r="31" spans="1:74" ht="15" customHeight="1">
      <c r="A31" s="2" t="s">
        <v>176</v>
      </c>
      <c r="B31" s="2" t="s">
        <v>496</v>
      </c>
      <c r="C31" s="4">
        <f>SUMIF(Y类!E:E,A31,Y类!K:K)</f>
        <v>0</v>
      </c>
      <c r="D31" s="4">
        <f>SUMIF(Z类!E:E,A31,Z类!K:K)</f>
        <v>0</v>
      </c>
      <c r="E31" s="4">
        <f>SUMIF(A类!E:E,A31,A类!K:K)</f>
        <v>0</v>
      </c>
      <c r="F31" s="4">
        <f>SUMIF(T类!E:E,A31,T类!K:K)</f>
        <v>0</v>
      </c>
      <c r="G31" s="4">
        <f>SUMIF(M类!E:E,A31,M类!K:K)</f>
        <v>0</v>
      </c>
      <c r="H31" s="4">
        <f>SUMIF(H类!E:E,A31,H类!K:K)</f>
        <v>0</v>
      </c>
      <c r="I31" s="4">
        <f>SUMIF(V类!E:E,A31,V类!K:K)</f>
        <v>0</v>
      </c>
      <c r="J31" s="4">
        <f>SUMIF(B类!E:E,A31,B类!K:K)</f>
        <v>0</v>
      </c>
      <c r="K31" s="4">
        <f>SUMIF(K类!E:E,A31,K类!K:K)</f>
        <v>0</v>
      </c>
      <c r="L31" s="4">
        <f>SUMIF(D类!E:E,A31,D类!K:K)</f>
        <v>0</v>
      </c>
      <c r="M31" s="4">
        <f>SUMIF(C类打底裤!E:E,A31,C类打底裤!K:K)</f>
        <v>0</v>
      </c>
      <c r="N31" s="4">
        <f>SUMIF(Q类!E:E,A31,Q类!K:K)</f>
        <v>0</v>
      </c>
      <c r="O31" s="4">
        <f>SUMIF(L类!E38:E102,A31,L类!K38:K102)</f>
        <v>0</v>
      </c>
      <c r="P31" s="4">
        <f>SUMIF(E类!E:E,A31,E类!K:K)</f>
        <v>0</v>
      </c>
      <c r="Q31" s="4">
        <f>SUMIF(F类!E:E,A31,F类!K:K)</f>
        <v>0</v>
      </c>
      <c r="R31" s="4">
        <f>SUMIF(G类!E:E,A31,G类!K:K)</f>
        <v>0</v>
      </c>
      <c r="S31" s="4">
        <f>SUMIF(J类!E:E,A31,J类!K:K)</f>
        <v>0</v>
      </c>
      <c r="T31" s="4">
        <f>SUMIF(N类!E:E,A31,N类!K:K)</f>
        <v>0</v>
      </c>
      <c r="U31" s="4">
        <f>SUMIF(W类!E:E,A31,W类!K:K)</f>
        <v>0</v>
      </c>
      <c r="V31" s="4">
        <f t="shared" si="5"/>
        <v>0</v>
      </c>
      <c r="W31" s="4"/>
      <c r="X31" s="4"/>
      <c r="Y31" s="4">
        <f t="shared" si="6"/>
        <v>0</v>
      </c>
    </row>
    <row r="32" spans="1:74" s="1" customFormat="1" ht="15" customHeight="1">
      <c r="A32" s="2" t="s">
        <v>287</v>
      </c>
      <c r="B32" s="2" t="s">
        <v>496</v>
      </c>
      <c r="C32" s="4">
        <f>SUMIF(Y类!E:E,A32,Y类!K:K)</f>
        <v>0</v>
      </c>
      <c r="D32" s="4">
        <f>SUMIF(Z类!E:E,A32,Z类!K:K)</f>
        <v>0</v>
      </c>
      <c r="E32" s="4">
        <f>SUMIF(A类!E:E,A32,A类!K:K)</f>
        <v>0</v>
      </c>
      <c r="F32" s="4">
        <f>SUMIF(T类!E:E,A32,T类!K:K)</f>
        <v>0</v>
      </c>
      <c r="G32" s="4">
        <f>SUMIF(M类!E:E,A32,M类!K:K)</f>
        <v>0</v>
      </c>
      <c r="H32" s="4">
        <f>SUMIF(H类!E:E,A32,H类!K:K)</f>
        <v>0</v>
      </c>
      <c r="I32" s="4">
        <f>SUMIF(V类!E:E,A32,V类!K:K)</f>
        <v>0</v>
      </c>
      <c r="J32" s="4">
        <f>SUMIF(B类!E:E,A32,B类!K:K)</f>
        <v>0</v>
      </c>
      <c r="K32" s="4">
        <f>SUMIF(K类!E:E,A32,K类!K:K)</f>
        <v>0</v>
      </c>
      <c r="L32" s="4">
        <f>SUMIF(D类!E:E,A32,D类!K:K)</f>
        <v>0</v>
      </c>
      <c r="M32" s="4">
        <f>SUMIF(C类打底裤!E:E,A32,C类打底裤!K:K)</f>
        <v>0</v>
      </c>
      <c r="N32" s="4">
        <f>SUMIF(Q类!E:E,A32,Q类!K:K)</f>
        <v>0</v>
      </c>
      <c r="O32" s="4">
        <f>SUMIF(L类!E39:E103,A32,L类!K39:K103)</f>
        <v>0</v>
      </c>
      <c r="P32" s="4">
        <f>SUMIF(E类!E:E,A32,E类!K:K)</f>
        <v>0</v>
      </c>
      <c r="Q32" s="4">
        <f>SUMIF(F类!E:E,A32,F类!K:K)</f>
        <v>0</v>
      </c>
      <c r="R32" s="4">
        <f>SUMIF(G类!E:E,A32,G类!K:K)</f>
        <v>0</v>
      </c>
      <c r="S32" s="4">
        <f>SUMIF(J类!E:E,A32,J类!K:K)</f>
        <v>0</v>
      </c>
      <c r="T32" s="4">
        <f>SUMIF(N类!E:E,A32,N类!K:K)</f>
        <v>0</v>
      </c>
      <c r="U32" s="4">
        <f>SUMIF(W类!E:E,A32,W类!K:K)</f>
        <v>0</v>
      </c>
      <c r="V32" s="4">
        <f t="shared" si="5"/>
        <v>0</v>
      </c>
      <c r="W32" s="4"/>
      <c r="X32" s="4"/>
      <c r="Y32" s="4">
        <f t="shared" ref="Y32:Y57" si="7">SUM(V32:X32)</f>
        <v>0</v>
      </c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</row>
    <row r="33" spans="1:74" ht="15" customHeight="1">
      <c r="A33" s="2" t="s">
        <v>181</v>
      </c>
      <c r="B33" s="2" t="s">
        <v>496</v>
      </c>
      <c r="C33" s="4">
        <f>SUMIF(Y类!E:E,A33,Y类!K:K)</f>
        <v>0</v>
      </c>
      <c r="D33" s="4">
        <f>SUMIF(Z类!E:E,A33,Z类!K:K)</f>
        <v>0</v>
      </c>
      <c r="E33" s="4">
        <f>SUMIF(A类!E:E,A33,A类!K:K)</f>
        <v>0</v>
      </c>
      <c r="F33" s="4">
        <f>SUMIF(T类!E:E,A33,T类!K:K)</f>
        <v>0</v>
      </c>
      <c r="G33" s="4">
        <f>SUMIF(M类!E:E,A33,M类!K:K)</f>
        <v>0</v>
      </c>
      <c r="H33" s="4">
        <f>SUMIF(H类!E:E,A33,H类!K:K)</f>
        <v>0</v>
      </c>
      <c r="I33" s="4">
        <f>SUMIF(V类!E:E,A33,V类!K:K)</f>
        <v>0</v>
      </c>
      <c r="J33" s="4">
        <f>SUMIF(B类!E:E,A33,B类!K:K)</f>
        <v>0</v>
      </c>
      <c r="K33" s="4">
        <f>SUMIF(K类!E:E,A33,K类!K:K)</f>
        <v>0</v>
      </c>
      <c r="L33" s="4">
        <f>SUMIF(D类!E:E,A33,D类!K:K)</f>
        <v>0</v>
      </c>
      <c r="M33" s="4">
        <f>SUMIF(C类打底裤!E:E,A33,C类打底裤!K:K)</f>
        <v>0</v>
      </c>
      <c r="N33" s="4">
        <f>SUMIF(Q类!E:E,A33,Q类!K:K)</f>
        <v>0</v>
      </c>
      <c r="O33" s="4">
        <f>SUMIF(L类!E40:E104,A33,L类!K40:K104)</f>
        <v>0</v>
      </c>
      <c r="P33" s="4">
        <f>SUMIF(E类!E:E,A33,E类!K:K)</f>
        <v>0</v>
      </c>
      <c r="Q33" s="4">
        <f>SUMIF(F类!E:E,A33,F类!K:K)</f>
        <v>0</v>
      </c>
      <c r="R33" s="4">
        <f>SUMIF(G类!E:E,A33,G类!K:K)</f>
        <v>0</v>
      </c>
      <c r="S33" s="4">
        <f>SUMIF(J类!E:E,A33,J类!K:K)</f>
        <v>0</v>
      </c>
      <c r="T33" s="4">
        <f>SUMIF(N类!E:E,A33,N类!K:K)</f>
        <v>0</v>
      </c>
      <c r="U33" s="4">
        <f>SUMIF(W类!E:E,A33,W类!K:K)</f>
        <v>0</v>
      </c>
      <c r="V33" s="4">
        <f t="shared" si="5"/>
        <v>0</v>
      </c>
      <c r="W33" s="4"/>
      <c r="X33" s="4"/>
      <c r="Y33" s="4">
        <f t="shared" si="7"/>
        <v>0</v>
      </c>
    </row>
    <row r="34" spans="1:74" ht="15" customHeight="1">
      <c r="A34" s="2" t="s">
        <v>144</v>
      </c>
      <c r="B34" s="2" t="s">
        <v>496</v>
      </c>
      <c r="C34" s="4">
        <f>SUMIF(Y类!E:E,A34,Y类!K:K)</f>
        <v>0</v>
      </c>
      <c r="D34" s="4">
        <f>SUMIF(Z类!E:E,A34,Z类!K:K)</f>
        <v>0</v>
      </c>
      <c r="E34" s="4">
        <f>SUMIF(A类!E:E,A34,A类!K:K)</f>
        <v>0</v>
      </c>
      <c r="F34" s="4">
        <f>SUMIF(T类!E:E,A34,T类!K:K)</f>
        <v>0</v>
      </c>
      <c r="G34" s="4">
        <f>SUMIF(M类!E:E,A34,M类!K:K)</f>
        <v>0</v>
      </c>
      <c r="H34" s="4">
        <f>SUMIF(H类!E:E,A34,H类!K:K)</f>
        <v>0</v>
      </c>
      <c r="I34" s="4">
        <f>SUMIF(V类!E:E,A34,V类!K:K)</f>
        <v>0</v>
      </c>
      <c r="J34" s="4">
        <f>SUMIF(B类!E:E,A34,B类!K:K)</f>
        <v>0</v>
      </c>
      <c r="K34" s="4">
        <f>SUMIF(K类!E:E,A34,K类!K:K)</f>
        <v>0</v>
      </c>
      <c r="L34" s="4">
        <f>SUMIF(D类!E:E,A34,D类!K:K)</f>
        <v>0</v>
      </c>
      <c r="M34" s="4">
        <f>SUMIF(C类打底裤!E:E,A34,C类打底裤!K:K)</f>
        <v>0</v>
      </c>
      <c r="N34" s="4">
        <f>SUMIF(Q类!E:E,A34,Q类!K:K)</f>
        <v>0</v>
      </c>
      <c r="O34" s="4">
        <f>SUMIF(L类!E41:E105,A34,L类!K41:K105)</f>
        <v>0</v>
      </c>
      <c r="P34" s="4">
        <f>SUMIF(E类!E:E,A34,E类!K:K)</f>
        <v>0</v>
      </c>
      <c r="Q34" s="4">
        <f>SUMIF(F类!E:E,A34,F类!K:K)</f>
        <v>0</v>
      </c>
      <c r="R34" s="4">
        <f>SUMIF(G类!E:E,A34,G类!K:K)</f>
        <v>0</v>
      </c>
      <c r="S34" s="4">
        <f>SUMIF(J类!E:E,A34,J类!K:K)</f>
        <v>0</v>
      </c>
      <c r="T34" s="4">
        <f>SUMIF(N类!E:E,A34,N类!K:K)</f>
        <v>0</v>
      </c>
      <c r="U34" s="4">
        <f>SUMIF(W类!E:E,A34,W类!K:K)</f>
        <v>0</v>
      </c>
      <c r="V34" s="4">
        <f t="shared" si="5"/>
        <v>0</v>
      </c>
      <c r="W34" s="4"/>
      <c r="X34" s="4"/>
      <c r="Y34" s="4">
        <f t="shared" si="7"/>
        <v>0</v>
      </c>
    </row>
    <row r="35" spans="1:74" ht="15" customHeight="1">
      <c r="A35" s="2" t="s">
        <v>141</v>
      </c>
      <c r="B35" s="2" t="s">
        <v>496</v>
      </c>
      <c r="C35" s="4">
        <f>SUMIF(Y类!E:E,A35,Y类!K:K)</f>
        <v>0</v>
      </c>
      <c r="D35" s="4">
        <f>SUMIF(Z类!E:E,A35,Z类!K:K)</f>
        <v>0</v>
      </c>
      <c r="E35" s="4">
        <f>SUMIF(A类!E:E,A35,A类!K:K)</f>
        <v>0</v>
      </c>
      <c r="F35" s="4">
        <f>SUMIF(T类!E:E,A35,T类!K:K)</f>
        <v>0</v>
      </c>
      <c r="G35" s="4">
        <f>SUMIF(M类!E:E,A35,M类!K:K)</f>
        <v>0</v>
      </c>
      <c r="H35" s="4">
        <f>SUMIF(H类!E:E,A35,H类!K:K)</f>
        <v>0</v>
      </c>
      <c r="I35" s="4">
        <f>SUMIF(V类!E:E,A35,V类!K:K)</f>
        <v>0</v>
      </c>
      <c r="J35" s="4">
        <f>SUMIF(B类!E:E,A35,B类!K:K)</f>
        <v>0</v>
      </c>
      <c r="K35" s="4">
        <f>SUMIF(K类!E:E,A35,K类!K:K)</f>
        <v>0</v>
      </c>
      <c r="L35" s="4">
        <f>SUMIF(D类!E:E,A35,D类!K:K)</f>
        <v>0</v>
      </c>
      <c r="M35" s="4">
        <f>SUMIF(C类打底裤!E:E,A35,C类打底裤!K:K)</f>
        <v>0</v>
      </c>
      <c r="N35" s="4">
        <f>SUMIF(Q类!E:E,A35,Q类!K:K)</f>
        <v>0</v>
      </c>
      <c r="O35" s="4">
        <f>SUMIF(L类!E42:E106,A35,L类!K42:K106)</f>
        <v>0</v>
      </c>
      <c r="P35" s="4">
        <f>SUMIF(E类!E:E,A35,E类!K:K)</f>
        <v>0</v>
      </c>
      <c r="Q35" s="4">
        <f>SUMIF(F类!E:E,A35,F类!K:K)</f>
        <v>0</v>
      </c>
      <c r="R35" s="4">
        <f>SUMIF(G类!E:E,A35,G类!K:K)</f>
        <v>0</v>
      </c>
      <c r="S35" s="4">
        <f>SUMIF(J类!E:E,A35,J类!K:K)</f>
        <v>0</v>
      </c>
      <c r="T35" s="4">
        <f>SUMIF(N类!E:E,A35,N类!K:K)</f>
        <v>0</v>
      </c>
      <c r="U35" s="4">
        <f>SUMIF(W类!E:E,A35,W类!K:K)</f>
        <v>0</v>
      </c>
      <c r="V35" s="4">
        <f t="shared" si="5"/>
        <v>0</v>
      </c>
      <c r="W35" s="4"/>
      <c r="X35" s="4"/>
      <c r="Y35" s="4">
        <f t="shared" si="7"/>
        <v>0</v>
      </c>
    </row>
    <row r="36" spans="1:74" s="1" customFormat="1" ht="15" customHeight="1">
      <c r="A36" s="2" t="s">
        <v>378</v>
      </c>
      <c r="B36" s="2" t="s">
        <v>496</v>
      </c>
      <c r="C36" s="4">
        <f>SUMIF(Y类!E:E,A36,Y类!K:K)</f>
        <v>0</v>
      </c>
      <c r="D36" s="4">
        <f>SUMIF(Z类!E:E,A36,Z类!K:K)</f>
        <v>0</v>
      </c>
      <c r="E36" s="4">
        <f>SUMIF(A类!E:E,A36,A类!K:K)</f>
        <v>0</v>
      </c>
      <c r="F36" s="4">
        <f>SUMIF(T类!E:E,A36,T类!K:K)</f>
        <v>0</v>
      </c>
      <c r="G36" s="4">
        <f>SUMIF(M类!E:E,A36,M类!K:K)</f>
        <v>0</v>
      </c>
      <c r="H36" s="4">
        <f>SUMIF(H类!E:E,A36,H类!K:K)</f>
        <v>0</v>
      </c>
      <c r="I36" s="4">
        <f>SUMIF(V类!E:E,A36,V类!K:K)</f>
        <v>0</v>
      </c>
      <c r="J36" s="4">
        <f>SUMIF(B类!E:E,A36,B类!K:K)</f>
        <v>0</v>
      </c>
      <c r="K36" s="4">
        <f>SUMIF(K类!E:E,A36,K类!K:K)</f>
        <v>0</v>
      </c>
      <c r="L36" s="4">
        <f>SUMIF(D类!E:E,A36,D类!K:K)</f>
        <v>0</v>
      </c>
      <c r="M36" s="4">
        <f>SUMIF(C类打底裤!E:E,A36,C类打底裤!K:K)</f>
        <v>0</v>
      </c>
      <c r="N36" s="4">
        <f>SUMIF(Q类!E:E,A36,Q类!K:K)</f>
        <v>0</v>
      </c>
      <c r="O36" s="4">
        <f>SUMIF(L类!E43:E107,A36,L类!K43:K107)</f>
        <v>0</v>
      </c>
      <c r="P36" s="4">
        <f>SUMIF(E类!E:E,A36,E类!K:K)</f>
        <v>0</v>
      </c>
      <c r="Q36" s="4">
        <f>SUMIF(F类!E:E,A36,F类!K:K)</f>
        <v>0</v>
      </c>
      <c r="R36" s="4">
        <f>SUMIF(G类!E:E,A36,G类!K:K)</f>
        <v>0</v>
      </c>
      <c r="S36" s="4">
        <f>SUMIF(J类!E:E,A36,J类!K:K)</f>
        <v>0</v>
      </c>
      <c r="T36" s="4">
        <f>SUMIF(N类!E:E,A36,N类!K:K)</f>
        <v>0</v>
      </c>
      <c r="U36" s="4">
        <f>SUMIF(W类!E:E,A36,W类!K:K)</f>
        <v>0</v>
      </c>
      <c r="V36" s="4">
        <f t="shared" si="5"/>
        <v>0</v>
      </c>
      <c r="W36" s="4"/>
      <c r="X36" s="4"/>
      <c r="Y36" s="4">
        <f t="shared" si="7"/>
        <v>0</v>
      </c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</row>
    <row r="37" spans="1:74" s="1" customFormat="1" ht="15" customHeight="1">
      <c r="A37" s="2" t="s">
        <v>170</v>
      </c>
      <c r="B37" s="2" t="s">
        <v>496</v>
      </c>
      <c r="C37" s="4">
        <f>SUMIF(Y类!E:E,A37,Y类!K:K)</f>
        <v>0</v>
      </c>
      <c r="D37" s="4">
        <f>SUMIF(Z类!E:E,A37,Z类!K:K)</f>
        <v>0</v>
      </c>
      <c r="E37" s="4">
        <f>SUMIF(A类!E:E,A37,A类!K:K)</f>
        <v>0</v>
      </c>
      <c r="F37" s="4">
        <f>SUMIF(T类!E:E,A37,T类!K:K)</f>
        <v>0</v>
      </c>
      <c r="G37" s="4">
        <f>SUMIF(M类!E:E,A37,M类!K:K)</f>
        <v>0</v>
      </c>
      <c r="H37" s="4">
        <f>SUMIF(H类!E:E,A37,H类!K:K)</f>
        <v>0</v>
      </c>
      <c r="I37" s="4">
        <f>SUMIF(V类!E:E,A37,V类!K:K)</f>
        <v>0</v>
      </c>
      <c r="J37" s="4">
        <f>SUMIF(B类!E:E,A37,B类!K:K)</f>
        <v>0</v>
      </c>
      <c r="K37" s="4">
        <f>SUMIF(K类!E:E,A37,K类!K:K)</f>
        <v>0</v>
      </c>
      <c r="L37" s="4">
        <f>SUMIF(D类!E:E,A37,D类!K:K)</f>
        <v>0</v>
      </c>
      <c r="M37" s="4">
        <f>SUMIF(C类打底裤!E:E,A37,C类打底裤!K:K)</f>
        <v>0</v>
      </c>
      <c r="N37" s="4">
        <f>SUMIF(Q类!E:E,A37,Q类!K:K)</f>
        <v>0</v>
      </c>
      <c r="O37" s="4">
        <f>SUMIF(L类!E44:E108,A37,L类!K44:K108)</f>
        <v>0</v>
      </c>
      <c r="P37" s="4">
        <f>SUMIF(E类!E:E,A37,E类!K:K)</f>
        <v>0</v>
      </c>
      <c r="Q37" s="4">
        <f>SUMIF(F类!E:E,A37,F类!K:K)</f>
        <v>0</v>
      </c>
      <c r="R37" s="4">
        <f>SUMIF(G类!E:E,A37,G类!K:K)</f>
        <v>0</v>
      </c>
      <c r="S37" s="4">
        <f>SUMIF(J类!E:E,A37,J类!K:K)</f>
        <v>0</v>
      </c>
      <c r="T37" s="4">
        <f>SUMIF(N类!E:E,A37,N类!K:K)</f>
        <v>0</v>
      </c>
      <c r="U37" s="4">
        <f>SUMIF(W类!E:E,A37,W类!K:K)</f>
        <v>0</v>
      </c>
      <c r="V37" s="4">
        <f t="shared" si="5"/>
        <v>0</v>
      </c>
      <c r="W37" s="4"/>
      <c r="X37" s="4"/>
      <c r="Y37" s="4">
        <f t="shared" si="7"/>
        <v>0</v>
      </c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</row>
    <row r="38" spans="1:74" ht="15" customHeight="1">
      <c r="A38" s="2" t="s">
        <v>187</v>
      </c>
      <c r="B38" s="2" t="s">
        <v>497</v>
      </c>
      <c r="C38" s="4">
        <f>SUMIF(Y类!E:E,A38,Y类!K:K)</f>
        <v>0</v>
      </c>
      <c r="D38" s="4">
        <f>SUMIF(Z类!E:E,A38,Z类!K:K)</f>
        <v>0</v>
      </c>
      <c r="E38" s="4">
        <f>SUMIF(A类!E:E,A38,A类!K:K)</f>
        <v>0</v>
      </c>
      <c r="F38" s="4">
        <f>SUMIF(T类!E:E,A38,T类!K:K)</f>
        <v>0</v>
      </c>
      <c r="G38" s="4">
        <f>SUMIF(M类!E:E,A38,M类!K:K)</f>
        <v>0</v>
      </c>
      <c r="H38" s="4">
        <f>SUMIF(H类!E:E,A38,H类!K:K)</f>
        <v>0</v>
      </c>
      <c r="I38" s="4">
        <f>SUMIF(V类!E:E,A38,V类!K:K)</f>
        <v>0</v>
      </c>
      <c r="J38" s="4">
        <f>SUMIF(B类!E:E,A38,B类!K:K)</f>
        <v>0</v>
      </c>
      <c r="K38" s="4">
        <f>SUMIF(K类!E:E,A38,K类!K:K)</f>
        <v>0</v>
      </c>
      <c r="L38" s="4">
        <f>SUMIF(D类!E:E,A38,D类!K:K)</f>
        <v>0</v>
      </c>
      <c r="M38" s="4">
        <f>SUMIF(C类打底裤!E:E,A38,C类打底裤!K:K)</f>
        <v>0</v>
      </c>
      <c r="N38" s="4">
        <f>SUMIF(Q类!E:E,A38,Q类!K:K)</f>
        <v>0</v>
      </c>
      <c r="O38" s="4">
        <f>SUMIF(L类!E44:E108,A38,L类!K44:K108)</f>
        <v>0</v>
      </c>
      <c r="P38" s="4">
        <f>SUMIF(E类!E:E,A38,E类!K:K)</f>
        <v>0</v>
      </c>
      <c r="Q38" s="4">
        <f>SUMIF(F类!E:E,A38,F类!K:K)</f>
        <v>0</v>
      </c>
      <c r="R38" s="4">
        <f>SUMIF(G类!E:E,A38,G类!K:K)</f>
        <v>0</v>
      </c>
      <c r="S38" s="4">
        <f>SUMIF(J类!E:E,A38,J类!K:K)</f>
        <v>0</v>
      </c>
      <c r="T38" s="4">
        <f>SUMIF(N类!E:E,A38,N类!K:K)</f>
        <v>0</v>
      </c>
      <c r="U38" s="4">
        <f>SUMIF(W类!E:E,A38,W类!K:K)</f>
        <v>0</v>
      </c>
      <c r="V38" s="4">
        <f t="shared" si="5"/>
        <v>0</v>
      </c>
      <c r="W38" s="4"/>
      <c r="X38" s="4"/>
      <c r="Y38" s="4">
        <f t="shared" si="7"/>
        <v>0</v>
      </c>
    </row>
    <row r="39" spans="1:74" ht="15" customHeight="1">
      <c r="A39" s="2" t="s">
        <v>191</v>
      </c>
      <c r="B39" s="2" t="s">
        <v>497</v>
      </c>
      <c r="C39" s="4">
        <f>SUMIF(Y类!E:E,A39,Y类!K:K)</f>
        <v>0</v>
      </c>
      <c r="D39" s="4">
        <f>SUMIF(Z类!E:E,A39,Z类!K:K)</f>
        <v>0</v>
      </c>
      <c r="E39" s="4">
        <f>SUMIF(A类!E:E,A39,A类!K:K)</f>
        <v>0</v>
      </c>
      <c r="F39" s="4">
        <f>SUMIF(T类!E:E,A39,T类!K:K)</f>
        <v>0</v>
      </c>
      <c r="G39" s="4">
        <f>SUMIF(M类!E:E,A39,M类!K:K)</f>
        <v>0</v>
      </c>
      <c r="H39" s="4">
        <f>SUMIF(H类!E:E,A39,H类!K:K)</f>
        <v>0</v>
      </c>
      <c r="I39" s="4">
        <f>SUMIF(V类!E:E,A39,V类!K:K)</f>
        <v>0</v>
      </c>
      <c r="J39" s="4">
        <f>SUMIF(B类!E:E,A39,B类!K:K)</f>
        <v>0</v>
      </c>
      <c r="K39" s="4">
        <f>SUMIF(K类!E:E,A39,K类!K:K)</f>
        <v>0</v>
      </c>
      <c r="L39" s="4">
        <f>SUMIF(D类!E:E,A39,D类!K:K)</f>
        <v>0</v>
      </c>
      <c r="M39" s="4">
        <f>SUMIF(C类打底裤!E:E,A39,C类打底裤!K:K)</f>
        <v>0</v>
      </c>
      <c r="N39" s="4">
        <f>SUMIF(Q类!E:E,A39,Q类!K:K)</f>
        <v>0</v>
      </c>
      <c r="O39" s="4">
        <f>SUMIF(L类!E46:E109,A39,L类!K46:K109)</f>
        <v>0</v>
      </c>
      <c r="P39" s="4">
        <f>SUMIF(E类!E:E,A39,E类!K:K)</f>
        <v>0</v>
      </c>
      <c r="Q39" s="4">
        <f>SUMIF(F类!E:E,A39,F类!K:K)</f>
        <v>0</v>
      </c>
      <c r="R39" s="4">
        <f>SUMIF(G类!E:E,A39,G类!K:K)</f>
        <v>0</v>
      </c>
      <c r="S39" s="4">
        <f>SUMIF(J类!E:E,A39,J类!K:K)</f>
        <v>0</v>
      </c>
      <c r="T39" s="4">
        <f>SUMIF(N类!E:E,A39,N类!K:K)</f>
        <v>0</v>
      </c>
      <c r="U39" s="4">
        <f>SUMIF(W类!E:E,A39,W类!K:K)</f>
        <v>0</v>
      </c>
      <c r="V39" s="4">
        <f t="shared" si="5"/>
        <v>0</v>
      </c>
      <c r="W39" s="4"/>
      <c r="X39" s="4"/>
      <c r="Y39" s="4">
        <f t="shared" si="7"/>
        <v>0</v>
      </c>
    </row>
    <row r="40" spans="1:74" s="1" customFormat="1" ht="15" customHeight="1">
      <c r="A40" s="2" t="s">
        <v>349</v>
      </c>
      <c r="B40" s="2" t="s">
        <v>497</v>
      </c>
      <c r="C40" s="4">
        <f>SUMIF(Y类!E:E,A40,Y类!K:K)</f>
        <v>0</v>
      </c>
      <c r="D40" s="4">
        <f>SUMIF(Z类!E:E,A40,Z类!K:K)</f>
        <v>0</v>
      </c>
      <c r="E40" s="4">
        <f>SUMIF(A类!E:E,A40,A类!K:K)</f>
        <v>0</v>
      </c>
      <c r="F40" s="4">
        <f>SUMIF(T类!E:E,A40,T类!K:K)</f>
        <v>0</v>
      </c>
      <c r="G40" s="4">
        <f>SUMIF(M类!E:E,A40,M类!K:K)</f>
        <v>0</v>
      </c>
      <c r="H40" s="4">
        <f>SUMIF(H类!E:E,A40,H类!K:K)</f>
        <v>0</v>
      </c>
      <c r="I40" s="4">
        <f>SUMIF(V类!E:E,A40,V类!K:K)</f>
        <v>0</v>
      </c>
      <c r="J40" s="4">
        <f>SUMIF(B类!E:E,A40,B类!K:K)</f>
        <v>0</v>
      </c>
      <c r="K40" s="4">
        <f>SUMIF(K类!E:E,A40,K类!K:K)</f>
        <v>0</v>
      </c>
      <c r="L40" s="4">
        <f>SUMIF(D类!E:E,A40,D类!K:K)</f>
        <v>0</v>
      </c>
      <c r="M40" s="4">
        <f>SUMIF(C类打底裤!E:E,A40,C类打底裤!K:K)</f>
        <v>0</v>
      </c>
      <c r="N40" s="4">
        <f>SUMIF(Q类!E:E,A40,Q类!K:K)</f>
        <v>0</v>
      </c>
      <c r="O40" s="4">
        <f>SUMIF(L类!E48:E111,A40,L类!K48:K111)</f>
        <v>0</v>
      </c>
      <c r="P40" s="4">
        <f>SUMIF(E类!E:E,A40,E类!K:K)</f>
        <v>0</v>
      </c>
      <c r="Q40" s="4">
        <f>SUMIF(F类!E:E,A40,F类!K:K)</f>
        <v>0</v>
      </c>
      <c r="R40" s="4">
        <f>SUMIF(G类!E:E,A40,G类!K:K)</f>
        <v>0</v>
      </c>
      <c r="S40" s="4">
        <f>SUMIF(J类!E:E,A40,J类!K:K)</f>
        <v>0</v>
      </c>
      <c r="T40" s="4">
        <f>SUMIF(N类!E:E,A40,N类!K:K)</f>
        <v>0</v>
      </c>
      <c r="U40" s="4">
        <f>SUMIF(W类!E:E,A40,W类!K:K)</f>
        <v>0</v>
      </c>
      <c r="V40" s="4">
        <f t="shared" si="5"/>
        <v>0</v>
      </c>
      <c r="W40" s="4"/>
      <c r="X40" s="4"/>
      <c r="Y40" s="4">
        <f t="shared" si="7"/>
        <v>0</v>
      </c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</row>
    <row r="41" spans="1:74" ht="15" customHeight="1">
      <c r="A41" s="2" t="s">
        <v>219</v>
      </c>
      <c r="B41" s="2" t="s">
        <v>498</v>
      </c>
      <c r="C41" s="4">
        <f>SUMIF(Y类!E:E,A41,Y类!K:K)</f>
        <v>-5324</v>
      </c>
      <c r="D41" s="4">
        <f>SUMIF(Z类!E:E,A41,Z类!K:K)</f>
        <v>0</v>
      </c>
      <c r="E41" s="4">
        <f>SUMIF(A类!E:E,A41,A类!K:K)</f>
        <v>0</v>
      </c>
      <c r="F41" s="4">
        <f>SUMIF(T类!E:E,A41,T类!K:K)</f>
        <v>0</v>
      </c>
      <c r="G41" s="4">
        <f>SUMIF(M类!E:E,A41,M类!K:K)</f>
        <v>0</v>
      </c>
      <c r="H41" s="4">
        <f>SUMIF(H类!E:E,A41,H类!K:K)</f>
        <v>0</v>
      </c>
      <c r="I41" s="4">
        <f>SUMIF(V类!E:E,A41,V类!K:K)</f>
        <v>0</v>
      </c>
      <c r="J41" s="4">
        <f>SUMIF(B类!E:E,A41,B类!K:K)</f>
        <v>0</v>
      </c>
      <c r="K41" s="4">
        <f>SUMIF(K类!E:E,A41,K类!K:K)</f>
        <v>0</v>
      </c>
      <c r="L41" s="4">
        <f>SUMIF(D类!E:E,A41,D类!K:K)</f>
        <v>0</v>
      </c>
      <c r="M41" s="4">
        <f>SUMIF(C类打底裤!E:E,A41,C类打底裤!K:K)</f>
        <v>0</v>
      </c>
      <c r="N41" s="4">
        <f>SUMIF(Q类!E:E,A41,Q类!K:K)</f>
        <v>0</v>
      </c>
      <c r="O41" s="4">
        <f>SUMIF(L类!E51:E112,A41,L类!K51:K112)</f>
        <v>0</v>
      </c>
      <c r="P41" s="4">
        <f>SUMIF(E类!E:E,A41,E类!K:K)</f>
        <v>0</v>
      </c>
      <c r="Q41" s="4">
        <f>SUMIF(F类!E:E,A41,F类!K:K)</f>
        <v>0</v>
      </c>
      <c r="R41" s="4">
        <f>SUMIF(G类!E:E,A41,G类!K:K)</f>
        <v>0</v>
      </c>
      <c r="S41" s="4">
        <f>SUMIF(J类!E:E,A41,J类!K:K)</f>
        <v>0</v>
      </c>
      <c r="T41" s="4">
        <f>SUMIF(N类!E:E,A41,N类!K:K)</f>
        <v>0</v>
      </c>
      <c r="U41" s="4">
        <f>SUMIF(W类!E:E,A41,W类!K:K)</f>
        <v>0</v>
      </c>
      <c r="V41" s="4">
        <f t="shared" si="5"/>
        <v>-5324</v>
      </c>
      <c r="W41" s="4"/>
      <c r="X41" s="4"/>
      <c r="Y41" s="4">
        <f t="shared" si="7"/>
        <v>-5324</v>
      </c>
    </row>
    <row r="42" spans="1:74" ht="15" customHeight="1">
      <c r="A42" s="2" t="s">
        <v>220</v>
      </c>
      <c r="B42" s="2" t="s">
        <v>498</v>
      </c>
      <c r="C42" s="4">
        <f>SUMIF(Y类!E:E,A42,Y类!K:K)</f>
        <v>-3993</v>
      </c>
      <c r="D42" s="4">
        <f>SUMIF(Z类!E:E,A42,Z类!K:K)</f>
        <v>0</v>
      </c>
      <c r="E42" s="4">
        <f>SUMIF(A类!E:E,A42,A类!K:K)</f>
        <v>0</v>
      </c>
      <c r="F42" s="4">
        <f>SUMIF(T类!E:E,A42,T类!K:K)</f>
        <v>0</v>
      </c>
      <c r="G42" s="4">
        <f>SUMIF(M类!E:E,A42,M类!K:K)</f>
        <v>0</v>
      </c>
      <c r="H42" s="4">
        <f>SUMIF(H类!E:E,A42,H类!K:K)</f>
        <v>0</v>
      </c>
      <c r="I42" s="4">
        <f>SUMIF(V类!E:E,A42,V类!K:K)</f>
        <v>0</v>
      </c>
      <c r="J42" s="4">
        <f>SUMIF(B类!E:E,A42,B类!K:K)</f>
        <v>0</v>
      </c>
      <c r="K42" s="4">
        <f>SUMIF(K类!E:E,A42,K类!K:K)</f>
        <v>0</v>
      </c>
      <c r="L42" s="4">
        <f>SUMIF(D类!E:E,A42,D类!K:K)</f>
        <v>0</v>
      </c>
      <c r="M42" s="4">
        <f>SUMIF(C类打底裤!E:E,A42,C类打底裤!K:K)</f>
        <v>0</v>
      </c>
      <c r="N42" s="4">
        <f>SUMIF(Q类!E:E,A42,Q类!K:K)</f>
        <v>0</v>
      </c>
      <c r="O42" s="4">
        <f>SUMIF(L类!E52:E113,A42,L类!K52:K113)</f>
        <v>0</v>
      </c>
      <c r="P42" s="4">
        <f>SUMIF(E类!E:E,A42,E类!K:K)</f>
        <v>0</v>
      </c>
      <c r="Q42" s="4">
        <f>SUMIF(F类!E:E,A42,F类!K:K)</f>
        <v>0</v>
      </c>
      <c r="R42" s="4">
        <f>SUMIF(G类!E:E,A42,G类!K:K)</f>
        <v>0</v>
      </c>
      <c r="S42" s="4">
        <f>SUMIF(J类!E:E,A42,J类!K:K)</f>
        <v>0</v>
      </c>
      <c r="T42" s="4">
        <f>SUMIF(N类!E:E,A42,N类!K:K)</f>
        <v>0</v>
      </c>
      <c r="U42" s="4">
        <f>SUMIF(W类!E:E,A42,W类!K:K)</f>
        <v>0</v>
      </c>
      <c r="V42" s="4">
        <f t="shared" si="5"/>
        <v>-3993</v>
      </c>
      <c r="W42" s="4"/>
      <c r="X42" s="4"/>
      <c r="Y42" s="4">
        <f t="shared" si="7"/>
        <v>-3993</v>
      </c>
    </row>
    <row r="43" spans="1:74" ht="15" customHeight="1">
      <c r="A43" s="2" t="s">
        <v>221</v>
      </c>
      <c r="B43" s="2" t="s">
        <v>498</v>
      </c>
      <c r="C43" s="4">
        <f>SUMIF(Y类!E:E,A43,Y类!K:K)</f>
        <v>-3630</v>
      </c>
      <c r="D43" s="4">
        <f>SUMIF(Z类!E:E,A43,Z类!K:K)</f>
        <v>0</v>
      </c>
      <c r="E43" s="4">
        <f>SUMIF(A类!E:E,A43,A类!K:K)</f>
        <v>0</v>
      </c>
      <c r="F43" s="4">
        <f>SUMIF(T类!E:E,A43,T类!K:K)</f>
        <v>0</v>
      </c>
      <c r="G43" s="4">
        <f>SUMIF(M类!E:E,A43,M类!K:K)</f>
        <v>0</v>
      </c>
      <c r="H43" s="4">
        <f>SUMIF(H类!E:E,A43,H类!K:K)</f>
        <v>0</v>
      </c>
      <c r="I43" s="4">
        <f>SUMIF(V类!E:E,A43,V类!K:K)</f>
        <v>0</v>
      </c>
      <c r="J43" s="4">
        <f>SUMIF(B类!E:E,A43,B类!K:K)</f>
        <v>0</v>
      </c>
      <c r="K43" s="4">
        <f>SUMIF(K类!E:E,A43,K类!K:K)</f>
        <v>0</v>
      </c>
      <c r="L43" s="4">
        <f>SUMIF(D类!E:E,A43,D类!K:K)</f>
        <v>0</v>
      </c>
      <c r="M43" s="4">
        <f>SUMIF(C类打底裤!E:E,A43,C类打底裤!K:K)</f>
        <v>0</v>
      </c>
      <c r="N43" s="4">
        <f>SUMIF(Q类!E:E,A43,Q类!K:K)</f>
        <v>0</v>
      </c>
      <c r="O43" s="4">
        <f>SUMIF(L类!E53:E114,A43,L类!K53:K114)</f>
        <v>0</v>
      </c>
      <c r="P43" s="4">
        <f>SUMIF(E类!E:E,A43,E类!K:K)</f>
        <v>0</v>
      </c>
      <c r="Q43" s="4">
        <f>SUMIF(F类!E:E,A43,F类!K:K)</f>
        <v>0</v>
      </c>
      <c r="R43" s="4">
        <f>SUMIF(G类!E:E,A43,G类!K:K)</f>
        <v>0</v>
      </c>
      <c r="S43" s="4">
        <f>SUMIF(J类!E:E,A43,J类!K:K)</f>
        <v>0</v>
      </c>
      <c r="T43" s="4">
        <f>SUMIF(N类!E:E,A43,N类!K:K)</f>
        <v>0</v>
      </c>
      <c r="U43" s="4">
        <f>SUMIF(W类!E:E,A43,W类!K:K)</f>
        <v>0</v>
      </c>
      <c r="V43" s="4">
        <f t="shared" si="5"/>
        <v>-3630</v>
      </c>
      <c r="W43" s="4"/>
      <c r="X43" s="4"/>
      <c r="Y43" s="4">
        <f t="shared" si="7"/>
        <v>-3630</v>
      </c>
    </row>
    <row r="44" spans="1:74" ht="15" customHeight="1">
      <c r="A44" s="2" t="s">
        <v>224</v>
      </c>
      <c r="B44" s="2" t="s">
        <v>498</v>
      </c>
      <c r="C44" s="4">
        <f>SUMIF(Y类!E:E,A44,Y类!K:K)</f>
        <v>-3300</v>
      </c>
      <c r="D44" s="4">
        <f>SUMIF(Z类!E:E,A44,Z类!K:K)</f>
        <v>0</v>
      </c>
      <c r="E44" s="4">
        <f>SUMIF(A类!E:E,A44,A类!K:K)</f>
        <v>0</v>
      </c>
      <c r="F44" s="4">
        <f>SUMIF(T类!E:E,A44,T类!K:K)</f>
        <v>0</v>
      </c>
      <c r="G44" s="4">
        <f>SUMIF(M类!E:E,A44,M类!K:K)</f>
        <v>0</v>
      </c>
      <c r="H44" s="4">
        <f>SUMIF(H类!E:E,A44,H类!K:K)</f>
        <v>0</v>
      </c>
      <c r="I44" s="4">
        <f>SUMIF(V类!E:E,A44,V类!K:K)</f>
        <v>0</v>
      </c>
      <c r="J44" s="4">
        <f>SUMIF(B类!E:E,A44,B类!K:K)</f>
        <v>0</v>
      </c>
      <c r="K44" s="4">
        <f>SUMIF(K类!E:E,A44,K类!K:K)</f>
        <v>0</v>
      </c>
      <c r="L44" s="4">
        <f>SUMIF(D类!E:E,A44,D类!K:K)</f>
        <v>0</v>
      </c>
      <c r="M44" s="4">
        <f>SUMIF(C类打底裤!E:E,A44,C类打底裤!K:K)</f>
        <v>0</v>
      </c>
      <c r="N44" s="4">
        <f>SUMIF(Q类!E:E,A44,Q类!K:K)</f>
        <v>0</v>
      </c>
      <c r="O44" s="4">
        <f>SUMIF(L类!E56:E115,A44,L类!K56:K115)</f>
        <v>0</v>
      </c>
      <c r="P44" s="4">
        <f>SUMIF(E类!E:E,A44,E类!K:K)</f>
        <v>0</v>
      </c>
      <c r="Q44" s="4">
        <f>SUMIF(F类!E:E,A44,F类!K:K)</f>
        <v>0</v>
      </c>
      <c r="R44" s="4">
        <f>SUMIF(G类!E:E,A44,G类!K:K)</f>
        <v>0</v>
      </c>
      <c r="S44" s="4">
        <f>SUMIF(J类!E:E,A44,J类!K:K)</f>
        <v>0</v>
      </c>
      <c r="T44" s="4">
        <f>SUMIF(N类!E:E,A44,N类!K:K)</f>
        <v>0</v>
      </c>
      <c r="U44" s="4">
        <f>SUMIF(W类!E:E,A44,W类!K:K)</f>
        <v>0</v>
      </c>
      <c r="V44" s="4">
        <f t="shared" si="5"/>
        <v>-3300</v>
      </c>
      <c r="W44" s="4"/>
      <c r="X44" s="4"/>
      <c r="Y44" s="4">
        <f t="shared" si="7"/>
        <v>-3300</v>
      </c>
    </row>
    <row r="45" spans="1:74" s="1" customFormat="1" ht="15" customHeight="1">
      <c r="A45" s="2" t="s">
        <v>222</v>
      </c>
      <c r="B45" s="2" t="s">
        <v>498</v>
      </c>
      <c r="C45" s="4">
        <f>SUMIF(Y类!E:E,A45,Y类!K:K)</f>
        <v>-3300</v>
      </c>
      <c r="D45" s="4">
        <f>SUMIF(Z类!E:E,A45,Z类!K:K)</f>
        <v>0</v>
      </c>
      <c r="E45" s="4">
        <f>SUMIF(A类!E:E,A45,A类!K:K)</f>
        <v>0</v>
      </c>
      <c r="F45" s="4">
        <f>SUMIF(T类!E:E,A45,T类!K:K)</f>
        <v>0</v>
      </c>
      <c r="G45" s="4">
        <f>SUMIF(M类!E:E,A45,M类!K:K)</f>
        <v>0</v>
      </c>
      <c r="H45" s="4">
        <f>SUMIF(H类!E:E,A45,H类!K:K)</f>
        <v>0</v>
      </c>
      <c r="I45" s="4">
        <f>SUMIF(V类!E:E,A45,V类!K:K)</f>
        <v>0</v>
      </c>
      <c r="J45" s="4">
        <f>SUMIF(B类!E:E,A45,B类!K:K)</f>
        <v>0</v>
      </c>
      <c r="K45" s="4">
        <f>SUMIF(K类!E:E,A45,K类!K:K)</f>
        <v>0</v>
      </c>
      <c r="L45" s="4">
        <f>SUMIF(D类!E:E,A45,D类!K:K)</f>
        <v>0</v>
      </c>
      <c r="M45" s="4">
        <f>SUMIF(C类打底裤!E:E,A45,C类打底裤!K:K)</f>
        <v>0</v>
      </c>
      <c r="N45" s="4">
        <f>SUMIF(Q类!E:E,A45,Q类!K:K)</f>
        <v>0</v>
      </c>
      <c r="O45" s="4">
        <f>SUMIF(L类!E58:E117,A45,L类!K58:K117)</f>
        <v>0</v>
      </c>
      <c r="P45" s="4">
        <f>SUMIF(E类!E:E,A45,E类!K:K)</f>
        <v>0</v>
      </c>
      <c r="Q45" s="4">
        <f>SUMIF(F类!E:E,A45,F类!K:K)</f>
        <v>0</v>
      </c>
      <c r="R45" s="4">
        <f>SUMIF(G类!E:E,A45,G类!K:K)</f>
        <v>0</v>
      </c>
      <c r="S45" s="4">
        <f>SUMIF(J类!E:E,A45,J类!K:K)</f>
        <v>0</v>
      </c>
      <c r="T45" s="4">
        <f>SUMIF(N类!E:E,A45,N类!K:K)</f>
        <v>0</v>
      </c>
      <c r="U45" s="4">
        <f>SUMIF(W类!E:E,A45,W类!K:K)</f>
        <v>0</v>
      </c>
      <c r="V45" s="4">
        <f t="shared" si="5"/>
        <v>-3300</v>
      </c>
      <c r="W45" s="4"/>
      <c r="X45" s="4"/>
      <c r="Y45" s="4">
        <f t="shared" si="7"/>
        <v>-3300</v>
      </c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</row>
    <row r="46" spans="1:74" s="1" customFormat="1" ht="15" customHeight="1">
      <c r="A46" s="2" t="s">
        <v>223</v>
      </c>
      <c r="B46" s="2" t="s">
        <v>498</v>
      </c>
      <c r="C46" s="4">
        <f>SUMIF(Y类!E:E,A46,Y类!K:K)</f>
        <v>-3500</v>
      </c>
      <c r="D46" s="4">
        <f>SUMIF(Z类!E:E,A46,Z类!K:K)</f>
        <v>0</v>
      </c>
      <c r="E46" s="4">
        <f>SUMIF(A类!E:E,A46,A类!K:K)</f>
        <v>0</v>
      </c>
      <c r="F46" s="4">
        <f>SUMIF(T类!E:E,A46,T类!K:K)</f>
        <v>0</v>
      </c>
      <c r="G46" s="4">
        <f>SUMIF(M类!E:E,A46,M类!K:K)</f>
        <v>0</v>
      </c>
      <c r="H46" s="4">
        <f>SUMIF(H类!E:E,A46,H类!K:K)</f>
        <v>0</v>
      </c>
      <c r="I46" s="4">
        <f>SUMIF(V类!E:E,A46,V类!K:K)</f>
        <v>0</v>
      </c>
      <c r="J46" s="4">
        <f>SUMIF(B类!E:E,A46,B类!K:K)</f>
        <v>0</v>
      </c>
      <c r="K46" s="4">
        <f>SUMIF(K类!E:E,A46,K类!K:K)</f>
        <v>0</v>
      </c>
      <c r="L46" s="4">
        <f>SUMIF(D类!E:E,A46,D类!K:K)</f>
        <v>0</v>
      </c>
      <c r="M46" s="4">
        <f>SUMIF(C类打底裤!E:E,A46,C类打底裤!K:K)</f>
        <v>0</v>
      </c>
      <c r="N46" s="4">
        <f>SUMIF(Q类!E:E,A46,Q类!K:K)</f>
        <v>0</v>
      </c>
      <c r="O46" s="4">
        <f>SUMIF(L类!E61:E119,A46,L类!K61:K119)</f>
        <v>0</v>
      </c>
      <c r="P46" s="4">
        <f>SUMIF(E类!E:E,A46,E类!K:K)</f>
        <v>0</v>
      </c>
      <c r="Q46" s="4">
        <f>SUMIF(F类!E:E,A46,F类!K:K)</f>
        <v>0</v>
      </c>
      <c r="R46" s="4">
        <f>SUMIF(G类!E:E,A46,G类!K:K)</f>
        <v>0</v>
      </c>
      <c r="S46" s="4">
        <f>SUMIF(J类!E:E,A46,J类!K:K)</f>
        <v>0</v>
      </c>
      <c r="T46" s="4">
        <f>SUMIF(N类!E:E,A46,N类!K:K)</f>
        <v>0</v>
      </c>
      <c r="U46" s="4">
        <f>SUMIF(W类!E:E,A46,W类!K:K)</f>
        <v>0</v>
      </c>
      <c r="V46" s="4">
        <f t="shared" si="5"/>
        <v>-3500</v>
      </c>
      <c r="W46" s="4"/>
      <c r="X46" s="4"/>
      <c r="Y46" s="4">
        <f t="shared" si="7"/>
        <v>-3500</v>
      </c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</row>
    <row r="47" spans="1:74" s="1" customFormat="1" ht="15" customHeight="1">
      <c r="A47" s="2" t="s">
        <v>225</v>
      </c>
      <c r="B47" s="2" t="s">
        <v>498</v>
      </c>
      <c r="C47" s="4">
        <f>SUMIF(Y类!E:E,A47,Y类!K:K)</f>
        <v>-3000</v>
      </c>
      <c r="D47" s="4">
        <f>SUMIF(Z类!E:E,A47,Z类!K:K)</f>
        <v>0</v>
      </c>
      <c r="E47" s="4">
        <f>SUMIF(A类!E:E,A47,A类!K:K)</f>
        <v>0</v>
      </c>
      <c r="F47" s="4">
        <f>SUMIF(T类!E:E,A47,T类!K:K)</f>
        <v>0</v>
      </c>
      <c r="G47" s="4">
        <f>SUMIF(M类!E:E,A47,M类!K:K)</f>
        <v>0</v>
      </c>
      <c r="H47" s="4">
        <f>SUMIF(H类!E:E,A47,H类!K:K)</f>
        <v>0</v>
      </c>
      <c r="I47" s="4">
        <f>SUMIF(V类!E:E,A47,V类!K:K)</f>
        <v>0</v>
      </c>
      <c r="J47" s="4">
        <f>SUMIF(B类!E:E,A47,B类!K:K)</f>
        <v>0</v>
      </c>
      <c r="K47" s="4">
        <f>SUMIF(K类!E:E,A47,K类!K:K)</f>
        <v>0</v>
      </c>
      <c r="L47" s="4">
        <f>SUMIF(D类!E:E,A47,D类!K:K)</f>
        <v>0</v>
      </c>
      <c r="M47" s="4">
        <f>SUMIF(C类打底裤!E:E,A47,C类打底裤!K:K)</f>
        <v>0</v>
      </c>
      <c r="N47" s="4">
        <f>SUMIF(Q类!E:E,A47,Q类!K:K)</f>
        <v>0</v>
      </c>
      <c r="O47" s="4">
        <f>SUMIF(L类!E63:E120,A47,L类!K63:K120)</f>
        <v>0</v>
      </c>
      <c r="P47" s="4">
        <f>SUMIF(E类!E:E,A47,E类!K:K)</f>
        <v>0</v>
      </c>
      <c r="Q47" s="4">
        <f>SUMIF(F类!E:E,A47,F类!K:K)</f>
        <v>0</v>
      </c>
      <c r="R47" s="4">
        <f>SUMIF(G类!E:E,A47,G类!K:K)</f>
        <v>0</v>
      </c>
      <c r="S47" s="4">
        <f>SUMIF(J类!E:E,A47,J类!K:K)</f>
        <v>0</v>
      </c>
      <c r="T47" s="4">
        <f>SUMIF(N类!E:E,A47,N类!K:K)</f>
        <v>0</v>
      </c>
      <c r="U47" s="4">
        <f>SUMIF(W类!E:E,A47,W类!K:K)</f>
        <v>0</v>
      </c>
      <c r="V47" s="4">
        <f t="shared" si="5"/>
        <v>-3000</v>
      </c>
      <c r="W47" s="4"/>
      <c r="X47" s="4"/>
      <c r="Y47" s="4">
        <f t="shared" si="7"/>
        <v>-3000</v>
      </c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</row>
    <row r="48" spans="1:74" s="1" customFormat="1" ht="15" customHeight="1">
      <c r="A48" s="2" t="s">
        <v>226</v>
      </c>
      <c r="B48" s="2" t="s">
        <v>498</v>
      </c>
      <c r="C48" s="4">
        <f>SUMIF(Y类!E:E,A48,Y类!K:K)</f>
        <v>-3000</v>
      </c>
      <c r="D48" s="4">
        <f>SUMIF(Z类!E:E,A48,Z类!K:K)</f>
        <v>0</v>
      </c>
      <c r="E48" s="4">
        <f>SUMIF(A类!E:E,A48,A类!K:K)</f>
        <v>0</v>
      </c>
      <c r="F48" s="4">
        <f>SUMIF(T类!E:E,A48,T类!K:K)</f>
        <v>0</v>
      </c>
      <c r="G48" s="4">
        <f>SUMIF(M类!E:E,A48,M类!K:K)</f>
        <v>0</v>
      </c>
      <c r="H48" s="4">
        <f>SUMIF(H类!E:E,A48,H类!K:K)</f>
        <v>0</v>
      </c>
      <c r="I48" s="4">
        <f>SUMIF(V类!E:E,A48,V类!K:K)</f>
        <v>0</v>
      </c>
      <c r="J48" s="4">
        <f>SUMIF(B类!E:E,A48,B类!K:K)</f>
        <v>0</v>
      </c>
      <c r="K48" s="4">
        <f>SUMIF(K类!E:E,A48,K类!K:K)</f>
        <v>0</v>
      </c>
      <c r="L48" s="4">
        <f>SUMIF(D类!E:E,A48,D类!K:K)</f>
        <v>0</v>
      </c>
      <c r="M48" s="4">
        <f>SUMIF(C类打底裤!E:E,A48,C类打底裤!K:K)</f>
        <v>0</v>
      </c>
      <c r="N48" s="4">
        <f>SUMIF(Q类!E:E,A48,Q类!K:K)</f>
        <v>0</v>
      </c>
      <c r="O48" s="4">
        <f>SUMIF(L类!E57:E116,A48,L类!K57:K116)</f>
        <v>0</v>
      </c>
      <c r="P48" s="4">
        <f>SUMIF(E类!E:E,A48,E类!K:K)</f>
        <v>0</v>
      </c>
      <c r="Q48" s="4">
        <f>SUMIF(F类!E:E,A48,F类!K:K)</f>
        <v>0</v>
      </c>
      <c r="R48" s="4">
        <f>SUMIF(G类!E:E,A48,G类!K:K)</f>
        <v>0</v>
      </c>
      <c r="S48" s="4">
        <f>SUMIF(J类!E:E,A48,J类!K:K)</f>
        <v>0</v>
      </c>
      <c r="T48" s="4">
        <f>SUMIF(N类!E:E,A48,N类!K:K)</f>
        <v>0</v>
      </c>
      <c r="U48" s="4">
        <f>SUMIF(W类!E:E,A48,W类!K:K)</f>
        <v>0</v>
      </c>
      <c r="V48" s="4">
        <f t="shared" si="5"/>
        <v>-3000</v>
      </c>
      <c r="W48" s="4"/>
      <c r="X48" s="4"/>
      <c r="Y48" s="4">
        <f t="shared" si="7"/>
        <v>-3000</v>
      </c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s="1" customFormat="1" ht="15" customHeight="1">
      <c r="A49" s="5"/>
      <c r="B49" s="5" t="s">
        <v>396</v>
      </c>
      <c r="C49" s="4">
        <f>SUMIF(Y类!E:E,A49,Y类!K:K)</f>
        <v>0</v>
      </c>
      <c r="D49" s="4">
        <f>SUMIF(Z类!E:E,A49,Z类!K:K)</f>
        <v>0</v>
      </c>
      <c r="E49" s="4">
        <f>SUMIF(A类!E:E,A49,A类!K:K)</f>
        <v>0</v>
      </c>
      <c r="F49" s="4">
        <f>SUMIF(T类!E:E,A49,T类!K:K)</f>
        <v>0</v>
      </c>
      <c r="G49" s="4">
        <f>SUMIF(M类!E:E,A49,M类!K:K)</f>
        <v>0</v>
      </c>
      <c r="H49" s="4">
        <f>SUMIF(H类!E:E,A49,H类!K:K)</f>
        <v>0</v>
      </c>
      <c r="I49" s="4">
        <f>SUMIF(V类!E:E,A49,V类!K:K)</f>
        <v>0</v>
      </c>
      <c r="J49" s="4">
        <f>SUMIF(B类!E:E,A49,B类!K:K)</f>
        <v>0</v>
      </c>
      <c r="K49" s="4">
        <f>SUMIF(K类!E:E,A49,K类!K:K)</f>
        <v>0</v>
      </c>
      <c r="L49" s="4">
        <f>SUMIF(D类!E:E,A49,D类!K:K)</f>
        <v>0</v>
      </c>
      <c r="M49" s="4">
        <f>SUMIF(C类打底裤!E:E,A49,C类打底裤!K:K)</f>
        <v>0</v>
      </c>
      <c r="N49" s="4">
        <f>SUMIF(Q类!E:E,A49,Q类!K:K)</f>
        <v>0</v>
      </c>
      <c r="O49" s="4">
        <f>SUMIF(L类!E59:E118,A49,L类!K59:K118)</f>
        <v>0</v>
      </c>
      <c r="P49" s="4">
        <f>SUMIF(E类!E:E,A49,E类!K:K)</f>
        <v>0</v>
      </c>
      <c r="Q49" s="4">
        <f>SUMIF(F类!E:E,A49,F类!K:K)</f>
        <v>0</v>
      </c>
      <c r="R49" s="4">
        <f>SUMIF(G类!E:E,A49,G类!K:K)</f>
        <v>0</v>
      </c>
      <c r="S49" s="4">
        <f>SUMIF(J类!E:E,A49,J类!K:K)</f>
        <v>0</v>
      </c>
      <c r="T49" s="4">
        <f>SUMIF(N类!E:E,A49,N类!K:K)</f>
        <v>0</v>
      </c>
      <c r="U49" s="4">
        <f>SUMIF(W类!E:E,A49,W类!K:K)</f>
        <v>0</v>
      </c>
      <c r="V49" s="4">
        <f t="shared" si="5"/>
        <v>0</v>
      </c>
      <c r="W49" s="4"/>
      <c r="X49" s="4"/>
      <c r="Y49" s="4">
        <f t="shared" si="7"/>
        <v>0</v>
      </c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 ht="15" customHeight="1">
      <c r="A50" s="5"/>
      <c r="B50" s="5" t="s">
        <v>396</v>
      </c>
      <c r="C50" s="4">
        <f>SUMIF(Y类!E:E,A50,Y类!K:K)</f>
        <v>0</v>
      </c>
      <c r="D50" s="4">
        <f>SUMIF(Z类!E:E,A50,Z类!K:K)</f>
        <v>0</v>
      </c>
      <c r="E50" s="4">
        <f>SUMIF(A类!E:E,A50,A类!K:K)</f>
        <v>0</v>
      </c>
      <c r="F50" s="4">
        <f>SUMIF(T类!E:E,A50,T类!K:K)</f>
        <v>0</v>
      </c>
      <c r="G50" s="4">
        <f>SUMIF(M类!E:E,A50,M类!K:K)</f>
        <v>0</v>
      </c>
      <c r="H50" s="4">
        <f>SUMIF(H类!E:E,A50,H类!K:K)</f>
        <v>0</v>
      </c>
      <c r="I50" s="4">
        <f>SUMIF(V类!E:E,A50,V类!K:K)</f>
        <v>0</v>
      </c>
      <c r="J50" s="4">
        <f>SUMIF(B类!E:E,A50,B类!K:K)</f>
        <v>0</v>
      </c>
      <c r="K50" s="4">
        <f>SUMIF(K类!E:E,A50,K类!K:K)</f>
        <v>0</v>
      </c>
      <c r="L50" s="4">
        <f>SUMIF(D类!E:E,A50,D类!K:K)</f>
        <v>0</v>
      </c>
      <c r="M50" s="4">
        <f>SUMIF(C类打底裤!E:E,A50,C类打底裤!K:K)</f>
        <v>0</v>
      </c>
      <c r="N50" s="4">
        <f>SUMIF(Q类!E:E,A50,Q类!K:K)</f>
        <v>0</v>
      </c>
      <c r="O50" s="4">
        <f>SUMIF(L类!E47:E110,A50,L类!K47:K110)</f>
        <v>0</v>
      </c>
      <c r="P50" s="4">
        <f>SUMIF(E类!E:E,A50,E类!K:K)</f>
        <v>0</v>
      </c>
      <c r="Q50" s="4">
        <f>SUMIF(F类!E:E,A50,F类!K:K)</f>
        <v>0</v>
      </c>
      <c r="R50" s="4">
        <f>SUMIF(G类!E:E,A50,G类!K:K)</f>
        <v>0</v>
      </c>
      <c r="S50" s="4">
        <f>SUMIF(J类!E:E,A50,J类!K:K)</f>
        <v>0</v>
      </c>
      <c r="T50" s="4">
        <f>SUMIF(N类!E:E,A50,N类!K:K)</f>
        <v>0</v>
      </c>
      <c r="U50" s="4">
        <f>SUMIF(W类!E:E,A50,W类!K:K)</f>
        <v>0</v>
      </c>
      <c r="V50" s="4">
        <f t="shared" si="5"/>
        <v>0</v>
      </c>
      <c r="W50" s="4"/>
      <c r="X50" s="4"/>
      <c r="Y50" s="4">
        <f t="shared" si="7"/>
        <v>0</v>
      </c>
    </row>
    <row r="51" spans="1:74" ht="15" customHeight="1">
      <c r="A51" s="5"/>
      <c r="B51" s="5" t="s">
        <v>396</v>
      </c>
      <c r="C51" s="4">
        <f>SUMIF(Y类!E:E,A51,Y类!K:K)</f>
        <v>0</v>
      </c>
      <c r="D51" s="4">
        <f>SUMIF(Z类!E:E,A51,Z类!K:K)</f>
        <v>0</v>
      </c>
      <c r="E51" s="4">
        <f>SUMIF(A类!E:E,A51,A类!K:K)</f>
        <v>0</v>
      </c>
      <c r="F51" s="4">
        <f>SUMIF(T类!E:E,A51,T类!K:K)</f>
        <v>0</v>
      </c>
      <c r="G51" s="4">
        <f>SUMIF(M类!E:E,A51,M类!K:K)</f>
        <v>0</v>
      </c>
      <c r="H51" s="4">
        <f>SUMIF(H类!E:E,A51,H类!K:K)</f>
        <v>0</v>
      </c>
      <c r="I51" s="4">
        <f>SUMIF(V类!E:E,A51,V类!K:K)</f>
        <v>0</v>
      </c>
      <c r="J51" s="4">
        <f>SUMIF(B类!E:E,A51,B类!K:K)</f>
        <v>0</v>
      </c>
      <c r="K51" s="4">
        <f>SUMIF(K类!E:E,A51,K类!K:K)</f>
        <v>0</v>
      </c>
      <c r="L51" s="4">
        <f>SUMIF(D类!E:E,A51,D类!K:K)</f>
        <v>0</v>
      </c>
      <c r="M51" s="4">
        <f>SUMIF(C类打底裤!E:E,A51,C类打底裤!K:K)</f>
        <v>0</v>
      </c>
      <c r="N51" s="4">
        <f>SUMIF(Q类!E:E,A51,Q类!K:K)</f>
        <v>0</v>
      </c>
      <c r="O51" s="4">
        <f>SUMIF(L类!E16:E83,A51,L类!K16:K83)</f>
        <v>0</v>
      </c>
      <c r="P51" s="4">
        <f>SUMIF(E类!E:E,A51,E类!K:K)</f>
        <v>0</v>
      </c>
      <c r="Q51" s="4">
        <f>SUMIF(F类!E:E,A51,F类!K:K)</f>
        <v>0</v>
      </c>
      <c r="R51" s="4">
        <f>SUMIF(G类!E:E,A51,G类!K:K)</f>
        <v>0</v>
      </c>
      <c r="S51" s="4">
        <f>SUMIF(J类!E:E,A51,J类!K:K)</f>
        <v>0</v>
      </c>
      <c r="T51" s="4">
        <f>SUMIF(N类!E:E,A51,N类!K:K)</f>
        <v>0</v>
      </c>
      <c r="U51" s="4">
        <f>SUMIF(W类!E:E,A51,W类!K:K)</f>
        <v>0</v>
      </c>
      <c r="V51" s="4">
        <f t="shared" si="5"/>
        <v>0</v>
      </c>
      <c r="W51" s="4"/>
      <c r="X51" s="4"/>
      <c r="Y51" s="4">
        <f t="shared" si="7"/>
        <v>0</v>
      </c>
    </row>
    <row r="52" spans="1:74" s="1" customFormat="1" ht="15" customHeight="1">
      <c r="A52" s="5"/>
      <c r="B52" s="5" t="s">
        <v>396</v>
      </c>
      <c r="C52" s="4">
        <f>SUMIF(Y类!E:E,A52,Y类!K:K)</f>
        <v>0</v>
      </c>
      <c r="D52" s="4">
        <f>SUMIF(Z类!E:E,A52,Z类!K:K)</f>
        <v>0</v>
      </c>
      <c r="E52" s="4">
        <f>SUMIF(A类!E:E,A52,A类!K:K)</f>
        <v>0</v>
      </c>
      <c r="F52" s="4">
        <f>SUMIF(T类!E:E,A52,T类!K:K)</f>
        <v>0</v>
      </c>
      <c r="G52" s="4">
        <f>SUMIF(M类!E:E,A52,M类!K:K)</f>
        <v>0</v>
      </c>
      <c r="H52" s="4">
        <f>SUMIF(H类!E:E,A52,H类!K:K)</f>
        <v>0</v>
      </c>
      <c r="I52" s="4">
        <f>SUMIF(V类!E:E,A52,V类!K:K)</f>
        <v>0</v>
      </c>
      <c r="J52" s="4">
        <f>SUMIF(B类!E:E,A52,B类!K:K)</f>
        <v>0</v>
      </c>
      <c r="K52" s="4">
        <f>SUMIF(K类!E:E,A52,K类!K:K)</f>
        <v>0</v>
      </c>
      <c r="L52" s="4">
        <f>SUMIF(D类!E:E,A52,D类!K:K)</f>
        <v>0</v>
      </c>
      <c r="M52" s="4">
        <f>SUMIF(C类打底裤!E:E,A52,C类打底裤!K:K)</f>
        <v>0</v>
      </c>
      <c r="N52" s="4">
        <f>SUMIF(Q类!E:E,A52,Q类!K:K)</f>
        <v>0</v>
      </c>
      <c r="O52" s="4">
        <f>SUMIF(L类!E22:E89,A52,L类!K22:K89)</f>
        <v>0</v>
      </c>
      <c r="P52" s="4">
        <f>SUMIF(E类!E:E,A52,E类!K:K)</f>
        <v>0</v>
      </c>
      <c r="Q52" s="4">
        <f>SUMIF(F类!E:E,A52,F类!K:K)</f>
        <v>0</v>
      </c>
      <c r="R52" s="4">
        <f>SUMIF(G类!E:E,A52,G类!K:K)</f>
        <v>0</v>
      </c>
      <c r="S52" s="4">
        <f>SUMIF(J类!E:E,A52,J类!K:K)</f>
        <v>0</v>
      </c>
      <c r="T52" s="4">
        <f>SUMIF(N类!E:E,A52,N类!K:K)</f>
        <v>0</v>
      </c>
      <c r="U52" s="4">
        <f>SUMIF(W类!E:E,A52,W类!K:K)</f>
        <v>0</v>
      </c>
      <c r="V52" s="4">
        <f t="shared" si="5"/>
        <v>0</v>
      </c>
      <c r="W52" s="4"/>
      <c r="X52" s="4"/>
      <c r="Y52" s="4">
        <f t="shared" si="7"/>
        <v>0</v>
      </c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</row>
    <row r="53" spans="1:74" s="1" customFormat="1" ht="15" customHeight="1">
      <c r="A53" s="5"/>
      <c r="B53" s="5" t="s">
        <v>396</v>
      </c>
      <c r="C53" s="4">
        <f>SUMIF(Y类!E:E,A53,Y类!K:K)</f>
        <v>0</v>
      </c>
      <c r="D53" s="4">
        <f>SUMIF(Z类!E:E,A53,Z类!K:K)</f>
        <v>0</v>
      </c>
      <c r="E53" s="4">
        <f>SUMIF(A类!E:E,A53,A类!K:K)</f>
        <v>0</v>
      </c>
      <c r="F53" s="4">
        <f>SUMIF(T类!E:E,A53,T类!K:K)</f>
        <v>0</v>
      </c>
      <c r="G53" s="4">
        <f>SUMIF(M类!E:E,A53,M类!K:K)</f>
        <v>0</v>
      </c>
      <c r="H53" s="4">
        <f>SUMIF(H类!E:E,A53,H类!K:K)</f>
        <v>0</v>
      </c>
      <c r="I53" s="4">
        <f>SUMIF(V类!E:E,A53,V类!K:K)</f>
        <v>0</v>
      </c>
      <c r="J53" s="4">
        <f>SUMIF(B类!E:E,A53,B类!K:K)</f>
        <v>0</v>
      </c>
      <c r="K53" s="4">
        <f>SUMIF(K类!E:E,A53,K类!K:K)</f>
        <v>0</v>
      </c>
      <c r="L53" s="4">
        <f>SUMIF(D类!E:E,A53,D类!K:K)</f>
        <v>0</v>
      </c>
      <c r="M53" s="4">
        <f>SUMIF(C类打底裤!E:E,A53,C类打底裤!K:K)</f>
        <v>0</v>
      </c>
      <c r="N53" s="4">
        <f>SUMIF(Q类!E:E,A53,Q类!K:K)</f>
        <v>0</v>
      </c>
      <c r="O53" s="4">
        <f>SUMIF(L类!E66:E121,A53,L类!K66:K121)</f>
        <v>0</v>
      </c>
      <c r="P53" s="4">
        <f>SUMIF(E类!E:E,A53,E类!K:K)</f>
        <v>0</v>
      </c>
      <c r="Q53" s="4">
        <f>SUMIF(F类!E:E,A53,F类!K:K)</f>
        <v>0</v>
      </c>
      <c r="R53" s="4">
        <f>SUMIF(G类!E:E,A53,G类!K:K)</f>
        <v>0</v>
      </c>
      <c r="S53" s="4">
        <f>SUMIF(J类!E:E,A53,J类!K:K)</f>
        <v>0</v>
      </c>
      <c r="T53" s="4">
        <f>SUMIF(N类!E:E,A53,N类!K:K)</f>
        <v>0</v>
      </c>
      <c r="U53" s="4">
        <f>SUMIF(W类!E:E,A53,W类!K:K)</f>
        <v>0</v>
      </c>
      <c r="V53" s="4">
        <f t="shared" si="5"/>
        <v>0</v>
      </c>
      <c r="W53" s="4"/>
      <c r="X53" s="4"/>
      <c r="Y53" s="4">
        <f t="shared" si="7"/>
        <v>0</v>
      </c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</row>
    <row r="54" spans="1:74" s="1" customFormat="1" ht="15" customHeight="1">
      <c r="A54" s="5"/>
      <c r="B54" s="5" t="s">
        <v>396</v>
      </c>
      <c r="C54" s="4">
        <f>SUMIF(Y类!E:E,A54,Y类!K:K)</f>
        <v>0</v>
      </c>
      <c r="D54" s="4">
        <f>SUMIF(Z类!E:E,A54,Z类!K:K)</f>
        <v>0</v>
      </c>
      <c r="E54" s="4">
        <f>SUMIF(A类!E:E,A54,A类!K:K)</f>
        <v>0</v>
      </c>
      <c r="F54" s="4">
        <f>SUMIF(T类!E:E,A54,T类!K:K)</f>
        <v>0</v>
      </c>
      <c r="G54" s="4">
        <f>SUMIF(M类!E:E,A54,M类!K:K)</f>
        <v>0</v>
      </c>
      <c r="H54" s="4">
        <f>SUMIF(H类!E:E,A54,H类!K:K)</f>
        <v>0</v>
      </c>
      <c r="I54" s="4">
        <f>SUMIF(V类!E:E,A54,V类!K:K)</f>
        <v>0</v>
      </c>
      <c r="J54" s="4">
        <f>SUMIF(B类!E:E,A54,B类!K:K)</f>
        <v>0</v>
      </c>
      <c r="K54" s="4">
        <f>SUMIF(K类!E:E,A54,K类!K:K)</f>
        <v>0</v>
      </c>
      <c r="L54" s="4">
        <f>SUMIF(D类!E:E,A54,D类!K:K)</f>
        <v>0</v>
      </c>
      <c r="M54" s="4">
        <f>SUMIF(C类打底裤!E:E,A54,C类打底裤!K:K)</f>
        <v>0</v>
      </c>
      <c r="N54" s="4">
        <f>SUMIF(Q类!E:E,A54,Q类!K:K)</f>
        <v>0</v>
      </c>
      <c r="O54" s="4">
        <f>SUMIF(L类!E67:E122,A54,L类!K67:K122)</f>
        <v>0</v>
      </c>
      <c r="P54" s="4">
        <f>SUMIF(E类!E:E,A54,E类!K:K)</f>
        <v>0</v>
      </c>
      <c r="Q54" s="4">
        <f>SUMIF(F类!E:E,A54,F类!K:K)</f>
        <v>0</v>
      </c>
      <c r="R54" s="4">
        <f>SUMIF(G类!E:E,A54,G类!K:K)</f>
        <v>0</v>
      </c>
      <c r="S54" s="4">
        <f>SUMIF(J类!E:E,A54,J类!K:K)</f>
        <v>0</v>
      </c>
      <c r="T54" s="4">
        <f>SUMIF(N类!E:E,A54,N类!K:K)</f>
        <v>0</v>
      </c>
      <c r="U54" s="4">
        <f>SUMIF(W类!E:E,A54,W类!K:K)</f>
        <v>0</v>
      </c>
      <c r="V54" s="4">
        <f t="shared" si="5"/>
        <v>0</v>
      </c>
      <c r="W54" s="4"/>
      <c r="X54" s="4"/>
      <c r="Y54" s="4">
        <f t="shared" si="7"/>
        <v>0</v>
      </c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</row>
    <row r="55" spans="1:74" s="1" customFormat="1" ht="15" customHeight="1">
      <c r="A55" s="5"/>
      <c r="B55" s="5" t="s">
        <v>396</v>
      </c>
      <c r="C55" s="4">
        <f>SUMIF(Y类!E:E,A55,Y类!K:K)</f>
        <v>0</v>
      </c>
      <c r="D55" s="4">
        <f>SUMIF(Z类!E:E,A55,Z类!K:K)</f>
        <v>0</v>
      </c>
      <c r="E55" s="4">
        <f>SUMIF(A类!E:E,A55,A类!K:K)</f>
        <v>0</v>
      </c>
      <c r="F55" s="4">
        <f>SUMIF(T类!E:E,A55,T类!K:K)</f>
        <v>0</v>
      </c>
      <c r="G55" s="4">
        <f>SUMIF(M类!E:E,A55,M类!K:K)</f>
        <v>0</v>
      </c>
      <c r="H55" s="4">
        <f>SUMIF(H类!E:E,A55,H类!K:K)</f>
        <v>0</v>
      </c>
      <c r="I55" s="4">
        <f>SUMIF(V类!E:E,A55,V类!K:K)</f>
        <v>0</v>
      </c>
      <c r="J55" s="4">
        <f>SUMIF(B类!E:E,A55,B类!K:K)</f>
        <v>0</v>
      </c>
      <c r="K55" s="4">
        <f>SUMIF(K类!E:E,A55,K类!K:K)</f>
        <v>0</v>
      </c>
      <c r="L55" s="4">
        <f>SUMIF(D类!E:E,A55,D类!K:K)</f>
        <v>0</v>
      </c>
      <c r="M55" s="4">
        <f>SUMIF(C类打底裤!E:E,A55,C类打底裤!K:K)</f>
        <v>0</v>
      </c>
      <c r="N55" s="4">
        <f>SUMIF(Q类!E:E,A55,Q类!K:K)</f>
        <v>0</v>
      </c>
      <c r="O55" s="4">
        <f>SUMIF(L类!E68:E123,A55,L类!K68:K123)</f>
        <v>0</v>
      </c>
      <c r="P55" s="4">
        <f>SUMIF(E类!E:E,A55,E类!K:K)</f>
        <v>0</v>
      </c>
      <c r="Q55" s="4">
        <f>SUMIF(F类!E:E,A55,F类!K:K)</f>
        <v>0</v>
      </c>
      <c r="R55" s="4">
        <f>SUMIF(G类!E:E,A55,G类!K:K)</f>
        <v>0</v>
      </c>
      <c r="S55" s="4">
        <f>SUMIF(J类!E:E,A55,J类!K:K)</f>
        <v>0</v>
      </c>
      <c r="T55" s="4">
        <f>SUMIF(N类!E:E,A55,N类!K:K)</f>
        <v>0</v>
      </c>
      <c r="U55" s="4">
        <f>SUMIF(W类!E:E,A55,W类!K:K)</f>
        <v>0</v>
      </c>
      <c r="V55" s="4">
        <f t="shared" si="5"/>
        <v>0</v>
      </c>
      <c r="W55" s="4"/>
      <c r="X55" s="4"/>
      <c r="Y55" s="4">
        <f t="shared" si="7"/>
        <v>0</v>
      </c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</row>
    <row r="56" spans="1:74" s="1" customFormat="1" ht="15" customHeight="1">
      <c r="A56" s="5"/>
      <c r="B56" s="5" t="s">
        <v>396</v>
      </c>
      <c r="C56" s="4">
        <f>SUMIF(Y类!E:E,A56,Y类!K:K)</f>
        <v>0</v>
      </c>
      <c r="D56" s="4">
        <f>SUMIF(Z类!E:E,A56,Z类!K:K)</f>
        <v>0</v>
      </c>
      <c r="E56" s="4">
        <f>SUMIF(A类!E:E,A56,A类!K:K)</f>
        <v>0</v>
      </c>
      <c r="F56" s="4">
        <f>SUMIF(T类!E:E,A56,T类!K:K)</f>
        <v>0</v>
      </c>
      <c r="G56" s="4">
        <f>SUMIF(M类!E:E,A56,M类!K:K)</f>
        <v>0</v>
      </c>
      <c r="H56" s="4">
        <f>SUMIF(H类!E:E,A56,H类!K:K)</f>
        <v>0</v>
      </c>
      <c r="I56" s="4">
        <f>SUMIF(V类!E:E,A56,V类!K:K)</f>
        <v>0</v>
      </c>
      <c r="J56" s="4">
        <f>SUMIF(B类!E:E,A56,B类!K:K)</f>
        <v>0</v>
      </c>
      <c r="K56" s="4">
        <f>SUMIF(K类!E:E,A56,K类!K:K)</f>
        <v>0</v>
      </c>
      <c r="L56" s="4">
        <f>SUMIF(D类!E:E,A56,D类!K:K)</f>
        <v>0</v>
      </c>
      <c r="M56" s="4">
        <f>SUMIF(C类打底裤!E:E,A56,C类打底裤!K:K)</f>
        <v>0</v>
      </c>
      <c r="N56" s="4">
        <f>SUMIF(Q类!E:E,A56,Q类!K:K)</f>
        <v>0</v>
      </c>
      <c r="O56" s="4">
        <f>SUMIF(L类!E69:E124,A56,L类!K69:K124)</f>
        <v>0</v>
      </c>
      <c r="P56" s="4">
        <f>SUMIF(E类!E:E,A56,E类!K:K)</f>
        <v>0</v>
      </c>
      <c r="Q56" s="4">
        <f>SUMIF(F类!E:E,A56,F类!K:K)</f>
        <v>0</v>
      </c>
      <c r="R56" s="4">
        <f>SUMIF(G类!E:E,A56,G类!K:K)</f>
        <v>0</v>
      </c>
      <c r="S56" s="4">
        <f>SUMIF(J类!E:E,A56,J类!K:K)</f>
        <v>0</v>
      </c>
      <c r="T56" s="4">
        <f>SUMIF(N类!E:E,A56,N类!K:K)</f>
        <v>0</v>
      </c>
      <c r="U56" s="4">
        <f>SUMIF(W类!E:E,A56,W类!K:K)</f>
        <v>0</v>
      </c>
      <c r="V56" s="4">
        <f t="shared" si="5"/>
        <v>0</v>
      </c>
      <c r="W56" s="4"/>
      <c r="X56" s="4"/>
      <c r="Y56" s="4">
        <f t="shared" si="7"/>
        <v>0</v>
      </c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</row>
    <row r="57" spans="1:74" s="1" customFormat="1" ht="15" customHeight="1">
      <c r="A57" s="5"/>
      <c r="B57" s="5" t="s">
        <v>396</v>
      </c>
      <c r="C57" s="4">
        <f>SUMIF(Y类!E:E,A57,Y类!K:K)</f>
        <v>0</v>
      </c>
      <c r="D57" s="4">
        <f>SUMIF(Z类!E:E,A57,Z类!K:K)</f>
        <v>0</v>
      </c>
      <c r="E57" s="4">
        <f>SUMIF(A类!E:E,A57,A类!K:K)</f>
        <v>0</v>
      </c>
      <c r="F57" s="4">
        <f>SUMIF(T类!E:E,A57,T类!K:K)</f>
        <v>0</v>
      </c>
      <c r="G57" s="4">
        <f>SUMIF(M类!E:E,A57,M类!K:K)</f>
        <v>0</v>
      </c>
      <c r="H57" s="4">
        <f>SUMIF(H类!E:E,A57,H类!K:K)</f>
        <v>0</v>
      </c>
      <c r="I57" s="4">
        <f>SUMIF(V类!E:E,A57,V类!K:K)</f>
        <v>0</v>
      </c>
      <c r="J57" s="4">
        <f>SUMIF(B类!E:E,A57,B类!K:K)</f>
        <v>0</v>
      </c>
      <c r="K57" s="4">
        <f>SUMIF(K类!E:E,A57,K类!K:K)</f>
        <v>0</v>
      </c>
      <c r="L57" s="4">
        <f>SUMIF(D类!E:E,A57,D类!K:K)</f>
        <v>0</v>
      </c>
      <c r="M57" s="4">
        <f>SUMIF(C类打底裤!E:E,A57,C类打底裤!K:K)</f>
        <v>0</v>
      </c>
      <c r="N57" s="4">
        <f>SUMIF(Q类!E:E,A57,Q类!K:K)</f>
        <v>0</v>
      </c>
      <c r="O57" s="4">
        <f>SUMIF(L类!E70:E125,A57,L类!K70:K125)</f>
        <v>0</v>
      </c>
      <c r="P57" s="4">
        <f>SUMIF(E类!E:E,A57,E类!K:K)</f>
        <v>0</v>
      </c>
      <c r="Q57" s="4">
        <f>SUMIF(F类!E:E,A57,F类!K:K)</f>
        <v>0</v>
      </c>
      <c r="R57" s="4">
        <f>SUMIF(G类!E:E,A57,G类!K:K)</f>
        <v>0</v>
      </c>
      <c r="S57" s="4">
        <f>SUMIF(J类!E:E,A57,J类!K:K)</f>
        <v>0</v>
      </c>
      <c r="T57" s="4">
        <f>SUMIF(N类!E:E,A57,N类!K:K)</f>
        <v>0</v>
      </c>
      <c r="U57" s="4">
        <f>SUMIF(W类!E:E,A57,W类!K:K)</f>
        <v>0</v>
      </c>
      <c r="V57" s="4">
        <f t="shared" si="5"/>
        <v>0</v>
      </c>
      <c r="W57" s="4"/>
      <c r="X57" s="4"/>
      <c r="Y57" s="4">
        <f t="shared" si="7"/>
        <v>0</v>
      </c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</row>
    <row r="58" spans="1:74" ht="15" customHeight="1">
      <c r="A58" s="2" t="s">
        <v>492</v>
      </c>
      <c r="B58" s="2"/>
      <c r="C58" s="4">
        <f t="shared" ref="C58:Y58" si="8">SUM(C3:C57)</f>
        <v>-36670</v>
      </c>
      <c r="D58" s="4">
        <f t="shared" si="8"/>
        <v>0</v>
      </c>
      <c r="E58" s="4">
        <f t="shared" si="8"/>
        <v>0</v>
      </c>
      <c r="F58" s="4">
        <f t="shared" si="8"/>
        <v>0</v>
      </c>
      <c r="G58" s="4">
        <f t="shared" si="8"/>
        <v>0</v>
      </c>
      <c r="H58" s="4">
        <f t="shared" si="8"/>
        <v>0</v>
      </c>
      <c r="I58" s="4">
        <f t="shared" si="8"/>
        <v>0</v>
      </c>
      <c r="J58" s="4">
        <f t="shared" si="8"/>
        <v>0</v>
      </c>
      <c r="K58" s="4">
        <f t="shared" si="8"/>
        <v>0</v>
      </c>
      <c r="L58" s="4">
        <f t="shared" si="8"/>
        <v>0</v>
      </c>
      <c r="M58" s="4">
        <f t="shared" si="8"/>
        <v>0</v>
      </c>
      <c r="N58" s="4">
        <f t="shared" si="8"/>
        <v>0</v>
      </c>
      <c r="O58" s="4">
        <f t="shared" si="8"/>
        <v>0</v>
      </c>
      <c r="P58" s="4">
        <f t="shared" si="8"/>
        <v>0</v>
      </c>
      <c r="Q58" s="4">
        <f t="shared" si="8"/>
        <v>0</v>
      </c>
      <c r="R58" s="4">
        <f t="shared" si="8"/>
        <v>0</v>
      </c>
      <c r="S58" s="4">
        <f t="shared" si="8"/>
        <v>0</v>
      </c>
      <c r="T58" s="4">
        <f t="shared" si="8"/>
        <v>0</v>
      </c>
      <c r="U58" s="4">
        <f t="shared" si="8"/>
        <v>0</v>
      </c>
      <c r="V58" s="4">
        <f t="shared" si="8"/>
        <v>-36670</v>
      </c>
      <c r="W58" s="4">
        <f t="shared" si="8"/>
        <v>0</v>
      </c>
      <c r="X58" s="4">
        <f t="shared" si="8"/>
        <v>0</v>
      </c>
      <c r="Y58" s="4">
        <f t="shared" si="8"/>
        <v>-36670</v>
      </c>
      <c r="Z58">
        <f>Y58+Z69</f>
        <v>182076.17</v>
      </c>
    </row>
    <row r="59" spans="1:74">
      <c r="X59" s="7"/>
      <c r="Y59" s="7"/>
    </row>
    <row r="61" spans="1:74">
      <c r="M61" s="6"/>
      <c r="N61" s="7"/>
      <c r="O61" s="6"/>
      <c r="P61" s="6"/>
      <c r="Q61" s="8"/>
      <c r="S61" t="s">
        <v>93</v>
      </c>
      <c r="T61" s="9" t="s">
        <v>230</v>
      </c>
      <c r="U61" s="6" t="s">
        <v>499</v>
      </c>
      <c r="V61" s="7" t="s">
        <v>466</v>
      </c>
      <c r="W61" t="s">
        <v>500</v>
      </c>
      <c r="X61" s="6" t="s">
        <v>243</v>
      </c>
      <c r="Y61" t="s">
        <v>235</v>
      </c>
    </row>
    <row r="62" spans="1:74">
      <c r="T62" s="10" t="s">
        <v>474</v>
      </c>
      <c r="U62" s="11">
        <f>15965.41+1204.98+15811.64+80.94</f>
        <v>33062.97</v>
      </c>
      <c r="V62" s="11">
        <f>-4636.77+1565.67+2674.01+10.58</f>
        <v>-386.51000000000016</v>
      </c>
      <c r="W62" s="11"/>
      <c r="X62" s="11">
        <f>-2039.98+1051.4+2327.11+17.74</f>
        <v>1356.2700000000002</v>
      </c>
      <c r="Y62" s="2">
        <f>-2852.56+273.28+1089.13</f>
        <v>-1490.1499999999996</v>
      </c>
    </row>
    <row r="63" spans="1:74">
      <c r="T63" s="10" t="s">
        <v>473</v>
      </c>
      <c r="U63" s="12">
        <f>20186.76+1600.62+1073.37</f>
        <v>22860.749999999996</v>
      </c>
      <c r="V63" s="11">
        <f>-2547.51+155.35+78</f>
        <v>-2314.1600000000003</v>
      </c>
      <c r="W63" s="11"/>
      <c r="X63" s="11">
        <f>6084.95+936.97+795.8</f>
        <v>7817.72</v>
      </c>
      <c r="Y63" s="2">
        <f>-614.09+1108.11+1171.67</f>
        <v>1665.69</v>
      </c>
    </row>
    <row r="64" spans="1:74">
      <c r="T64" s="10" t="s">
        <v>472</v>
      </c>
      <c r="U64" s="7">
        <f>70686.38+2512.65+2853.59+2396.59+17972.22+827.54-600.32+28.71</f>
        <v>96677.359999999986</v>
      </c>
      <c r="V64" s="11">
        <f>-2039.89+63.44+994.87+6.55+842.95+138.76+713.63</f>
        <v>720.31</v>
      </c>
      <c r="W64" s="11"/>
      <c r="X64" s="11">
        <f>6390.36+423.56+9052.19+294.78+312.29+238.15+2.83</f>
        <v>16714.160000000003</v>
      </c>
      <c r="Y64" s="2">
        <f>8284.7+699.14+2129.53+14615.43+2015.04+3863.04+508.53</f>
        <v>32115.410000000003</v>
      </c>
    </row>
    <row r="65" spans="20:28">
      <c r="T65" s="10" t="s">
        <v>433</v>
      </c>
      <c r="U65" s="12">
        <v>2833.41</v>
      </c>
      <c r="V65" s="15">
        <v>5255.48</v>
      </c>
      <c r="W65" s="15">
        <v>35.81</v>
      </c>
      <c r="X65" s="15">
        <v>696.54</v>
      </c>
      <c r="Y65" s="2">
        <v>115.4</v>
      </c>
    </row>
    <row r="66" spans="20:28">
      <c r="T66" s="2" t="s">
        <v>446</v>
      </c>
      <c r="U66" s="12">
        <v>822.21</v>
      </c>
      <c r="V66" s="15">
        <v>121.43</v>
      </c>
      <c r="W66" s="15"/>
      <c r="X66" s="15">
        <v>57.73</v>
      </c>
      <c r="Y66" s="2"/>
    </row>
    <row r="67" spans="20:28">
      <c r="T67" s="16" t="s">
        <v>448</v>
      </c>
      <c r="U67" s="2">
        <v>7.07</v>
      </c>
      <c r="V67" s="2">
        <v>1.27</v>
      </c>
      <c r="W67" s="2"/>
      <c r="X67" s="2"/>
      <c r="Y67" s="2"/>
    </row>
    <row r="68" spans="20:28">
      <c r="T68" s="2" t="s">
        <v>449</v>
      </c>
      <c r="U68" s="2"/>
      <c r="V68" s="2"/>
      <c r="W68" s="2"/>
      <c r="X68" s="2"/>
      <c r="Y68" s="2"/>
    </row>
    <row r="69" spans="20:28">
      <c r="U69">
        <f t="shared" ref="U69:Y69" si="9">SUM(U62:U68)</f>
        <v>156263.76999999999</v>
      </c>
      <c r="V69">
        <f t="shared" si="9"/>
        <v>3397.8199999999988</v>
      </c>
      <c r="W69">
        <f t="shared" si="9"/>
        <v>35.81</v>
      </c>
      <c r="X69">
        <f t="shared" si="9"/>
        <v>26642.420000000002</v>
      </c>
      <c r="Y69">
        <f t="shared" si="9"/>
        <v>32406.350000000006</v>
      </c>
      <c r="Z69">
        <f>SUM(S69:Y69)</f>
        <v>218746.17</v>
      </c>
      <c r="AA69">
        <f>Y类!K190+A类!K106+T类!K152+M类!K190+Z类!K161+H类!K143+V类!K63+B类!K167+K类!K118+D类!K161+MS类!J25+C类打底裤!K101+Q类!K107+L类!K84+G类!K141+E类!K135+N类!K109+J类!K43+F类!K86+W类!K37</f>
        <v>-16167.98588534736</v>
      </c>
      <c r="AB69">
        <f>AA69-Z69-W58</f>
        <v>-234914.15588534737</v>
      </c>
    </row>
    <row r="71" spans="20:28">
      <c r="U71">
        <f>Y类!K182+A类!K99+T类!K146+M类!K183+Z类!K154+H类!K136+V类!K56+B类!K158+K类!K111+D类!K154+C类打底裤!K93+Q类!K99+L类!K77+E类!K127+F类!K79+G类!K133+N类!K102+J类!K37+W类!K30</f>
        <v>-9567</v>
      </c>
      <c r="V71">
        <f>Y类!K183+A类!K100+T类!K147+M类!K184+Z类!K155+H类!K137+V类!K57+B类!K159+K类!K112+D类!K155+C类打底裤!K94+Q类!K100+L类!K78+E类!K128+F类!K80+G类!K134+N类!K103+J类!K38+W类!K31</f>
        <v>-28967</v>
      </c>
      <c r="W71">
        <f>Y类!K184+A类!K101+T类!K148+M类!K185+Z类!K156+H类!K138+V类!K58+B类!K160+K类!K113+D类!K156+C类打底裤!K95+Q类!K101+L类!K79+E类!K129+F类!K81+G类!K135+N类!K104+J类!K39+W类!K32</f>
        <v>-20000</v>
      </c>
      <c r="X71">
        <f>Y类!K185+A类!K102+T类!K149+M类!K186+Z类!K157+H类!K139+V类!K59+B类!K161+K类!K114+D类!K157+C类打底裤!K96+Q类!K102+L类!K80+E类!K130+F类!K82+G类!K136+N类!K105+J类!K40+W类!K33</f>
        <v>-6000</v>
      </c>
      <c r="Y71">
        <f>Y类!K186+A类!K103+T类!K150+M类!K187+Z类!K158+H类!K140+V类!K60+B类!K162+K类!K115+D类!K158+C类打底裤!K97+Q类!K103+L类!K81+E类!K131+F类!K83+G类!K137+N类!K106+J类!K41+W类!K34</f>
        <v>-13300</v>
      </c>
    </row>
    <row r="73" spans="20:28">
      <c r="T73" s="9" t="s">
        <v>230</v>
      </c>
      <c r="U73" s="6" t="s">
        <v>499</v>
      </c>
      <c r="V73" s="7" t="s">
        <v>466</v>
      </c>
      <c r="W73" t="s">
        <v>500</v>
      </c>
      <c r="X73" s="6" t="s">
        <v>243</v>
      </c>
      <c r="Y73" t="s">
        <v>235</v>
      </c>
    </row>
    <row r="74" spans="20:28">
      <c r="T74" s="10" t="s">
        <v>474</v>
      </c>
      <c r="U74" s="17">
        <f>15965.41+1204.98+15811.64+80.94+Z7</f>
        <v>33062.97</v>
      </c>
      <c r="V74" s="17">
        <f>-4636.77+1565.67+2674.01+10.58</f>
        <v>-386.51000000000016</v>
      </c>
      <c r="W74" s="17"/>
      <c r="X74" s="17">
        <f>-2039.98+1051.4+2327.11+17.74</f>
        <v>1356.2700000000002</v>
      </c>
      <c r="Y74" s="4">
        <f>-2852.56+273.28+1089.13</f>
        <v>-1490.1499999999996</v>
      </c>
    </row>
    <row r="75" spans="20:28">
      <c r="T75" s="10" t="s">
        <v>473</v>
      </c>
      <c r="U75" s="18">
        <f>20186.76+1600.62+1073.37+AA7</f>
        <v>22860.749999999996</v>
      </c>
      <c r="V75" s="17">
        <f>-2547.51+155.35+78</f>
        <v>-2314.1600000000003</v>
      </c>
      <c r="W75" s="17"/>
      <c r="X75" s="17">
        <f>6084.95+936.97+795.8</f>
        <v>7817.72</v>
      </c>
      <c r="Y75" s="4">
        <f>-614.09+1108.11+1171.67</f>
        <v>1665.69</v>
      </c>
    </row>
    <row r="76" spans="20:28">
      <c r="T76" s="10" t="s">
        <v>472</v>
      </c>
      <c r="U76" s="19">
        <f>70686.38+2512.65+2853.59+2396.59+17972.22+827.54-600.32+28.71+AB7</f>
        <v>96677.359999999986</v>
      </c>
      <c r="V76" s="17">
        <f>-2039.89+63.44+994.87+6.55+842.95+138.76+713.63</f>
        <v>720.31</v>
      </c>
      <c r="W76" s="17"/>
      <c r="X76" s="17">
        <f>6390.36+423.56+9052.19+294.78+312.29+238.15+2.83</f>
        <v>16714.160000000003</v>
      </c>
      <c r="Y76" s="4">
        <f>8284.7+699.14+2129.53+14615.43+2015.04+3863.04+508.53</f>
        <v>32115.410000000003</v>
      </c>
    </row>
    <row r="77" spans="20:28">
      <c r="T77" s="10" t="s">
        <v>433</v>
      </c>
      <c r="U77" s="18">
        <f>2833.41+AC7</f>
        <v>2833.41</v>
      </c>
      <c r="V77" s="20">
        <v>5255.48</v>
      </c>
      <c r="W77" s="20">
        <v>35.81</v>
      </c>
      <c r="X77" s="20">
        <v>696.54</v>
      </c>
      <c r="Y77" s="4">
        <v>115.4</v>
      </c>
    </row>
    <row r="78" spans="20:28">
      <c r="T78" s="2" t="s">
        <v>446</v>
      </c>
      <c r="U78" s="18">
        <f>822.21+AD7</f>
        <v>822.21</v>
      </c>
      <c r="V78" s="20">
        <v>121.43</v>
      </c>
      <c r="W78" s="20"/>
      <c r="X78" s="20">
        <v>57.73</v>
      </c>
      <c r="Y78" s="4"/>
    </row>
    <row r="79" spans="20:28">
      <c r="T79" s="2" t="s">
        <v>448</v>
      </c>
      <c r="U79" s="4">
        <v>7.07</v>
      </c>
      <c r="V79" s="4">
        <v>1.27</v>
      </c>
      <c r="W79" s="4"/>
      <c r="X79" s="4"/>
      <c r="Y79" s="4"/>
    </row>
    <row r="80" spans="20:28">
      <c r="T80" s="2" t="s">
        <v>449</v>
      </c>
      <c r="U80" s="2"/>
      <c r="V80" s="2"/>
      <c r="W80" s="2"/>
      <c r="X80" s="2"/>
      <c r="Y80" s="2"/>
    </row>
    <row r="81" spans="21:26">
      <c r="U81">
        <f t="shared" ref="U81:Y81" si="10">SUM(U74:U80)</f>
        <v>156263.76999999999</v>
      </c>
      <c r="V81">
        <f t="shared" si="10"/>
        <v>3397.8199999999988</v>
      </c>
      <c r="W81">
        <f t="shared" si="10"/>
        <v>35.81</v>
      </c>
      <c r="X81">
        <f t="shared" si="10"/>
        <v>26642.420000000002</v>
      </c>
      <c r="Y81">
        <f t="shared" si="10"/>
        <v>32406.350000000006</v>
      </c>
      <c r="Z81">
        <f>SUM(U81:Y81)</f>
        <v>218746.17</v>
      </c>
    </row>
    <row r="82" spans="21:26">
      <c r="Z82">
        <f>Z81+Y58</f>
        <v>182076.17</v>
      </c>
    </row>
    <row r="83" spans="21:26">
      <c r="Z83">
        <f>Z82-Y3-Y4-Y5-Y6</f>
        <v>182076.17</v>
      </c>
    </row>
  </sheetData>
  <phoneticPr fontId="37" type="noConversion"/>
  <pageMargins left="0.71" right="0.71" top="0.75" bottom="0.75" header="0.31" footer="0.31"/>
  <pageSetup paperSize="9" scale="49" orientation="landscape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168"/>
  <sheetViews>
    <sheetView zoomScaleSheetLayoutView="100" workbookViewId="0">
      <pane ySplit="2" topLeftCell="A127" activePane="bottomLeft" state="frozen"/>
      <selection pane="bottomLeft" activeCell="G138" sqref="G138"/>
    </sheetView>
  </sheetViews>
  <sheetFormatPr defaultRowHeight="13.5"/>
  <cols>
    <col min="1" max="1" width="10.875" style="21" hidden="1" customWidth="1"/>
    <col min="2" max="2" width="8.75" style="21" hidden="1" customWidth="1"/>
    <col min="3" max="3" width="10" style="21" customWidth="1"/>
    <col min="4" max="4" width="11.875" style="21" customWidth="1"/>
    <col min="5" max="5" width="9.5" style="21" customWidth="1"/>
    <col min="6" max="6" width="15.5" style="21" customWidth="1"/>
    <col min="7" max="7" width="14.125" style="59" customWidth="1"/>
    <col min="8" max="8" width="12.375" style="60" customWidth="1"/>
    <col min="9" max="9" width="16" style="88" customWidth="1"/>
    <col min="10" max="10" width="14.625" style="59" customWidth="1"/>
    <col min="11" max="11" width="14.5" style="59" customWidth="1"/>
    <col min="12" max="12" width="11.5" style="59" customWidth="1"/>
    <col min="13" max="13" width="12.75" style="59" customWidth="1"/>
    <col min="14" max="14" width="10.125" style="21" customWidth="1"/>
    <col min="15" max="15" width="8.5" style="21" customWidth="1"/>
    <col min="16" max="16" width="18.25" style="21" customWidth="1"/>
    <col min="17" max="17" width="13.875" style="21" customWidth="1"/>
    <col min="18" max="19" width="12.75" style="21" customWidth="1"/>
    <col min="20" max="20" width="14" style="21" customWidth="1"/>
    <col min="21" max="22" width="9" style="21"/>
    <col min="23" max="24" width="8.125" style="21" customWidth="1"/>
    <col min="25" max="25" width="7.75" style="21" customWidth="1"/>
    <col min="26" max="26" width="13.25" style="21" customWidth="1"/>
    <col min="27" max="16384" width="9" style="21"/>
  </cols>
  <sheetData>
    <row r="1" spans="1:25">
      <c r="C1" s="21" t="s">
        <v>263</v>
      </c>
    </row>
    <row r="2" spans="1:25" s="22" customFormat="1" ht="21" customHeight="1">
      <c r="A2" s="24"/>
      <c r="B2" s="24"/>
      <c r="C2" s="25" t="s">
        <v>1</v>
      </c>
      <c r="D2" s="25" t="s">
        <v>2</v>
      </c>
      <c r="E2" s="25"/>
      <c r="F2" s="26" t="s">
        <v>3</v>
      </c>
      <c r="G2" s="27" t="s">
        <v>4</v>
      </c>
      <c r="H2" s="28" t="s">
        <v>5</v>
      </c>
      <c r="I2" s="29" t="s">
        <v>6</v>
      </c>
      <c r="J2" s="29" t="s">
        <v>7</v>
      </c>
      <c r="K2" s="38" t="s">
        <v>8</v>
      </c>
      <c r="L2" s="39"/>
      <c r="M2" s="40" t="s">
        <v>9</v>
      </c>
      <c r="N2" s="41">
        <v>7.01</v>
      </c>
      <c r="O2" s="42"/>
      <c r="P2" s="43"/>
      <c r="Q2" s="44"/>
      <c r="R2" s="45"/>
      <c r="S2" s="45"/>
      <c r="W2" s="46"/>
      <c r="X2" s="46"/>
      <c r="Y2" s="46"/>
    </row>
    <row r="3" spans="1:25">
      <c r="A3" s="64">
        <v>43556</v>
      </c>
      <c r="B3" s="62" t="s">
        <v>263</v>
      </c>
      <c r="C3" s="102" t="s">
        <v>10</v>
      </c>
      <c r="D3" s="21" t="s">
        <v>39</v>
      </c>
      <c r="E3" s="21" t="s">
        <v>264</v>
      </c>
      <c r="F3" s="33" t="s">
        <v>265</v>
      </c>
      <c r="G3" s="33"/>
      <c r="H3" s="54"/>
      <c r="I3" s="67"/>
      <c r="J3" s="57">
        <f t="shared" ref="J3:J28" si="0">(G3*H3*0.98)-I3</f>
        <v>0</v>
      </c>
      <c r="K3" s="57">
        <f>(J3+J4+J5+J21+J22+J23+J32+J33+J34)*0.2*N2</f>
        <v>0</v>
      </c>
      <c r="L3" s="57"/>
      <c r="M3" s="57"/>
      <c r="N3" s="33" t="s">
        <v>37</v>
      </c>
    </row>
    <row r="4" spans="1:25">
      <c r="A4" s="64">
        <v>43556</v>
      </c>
      <c r="B4" s="62" t="s">
        <v>263</v>
      </c>
      <c r="C4" s="103"/>
      <c r="D4" s="21" t="s">
        <v>39</v>
      </c>
      <c r="E4" s="21" t="s">
        <v>264</v>
      </c>
      <c r="F4" s="33" t="s">
        <v>266</v>
      </c>
      <c r="G4" s="33"/>
      <c r="H4" s="54"/>
      <c r="I4" s="68"/>
      <c r="J4" s="57">
        <f t="shared" si="0"/>
        <v>0</v>
      </c>
      <c r="K4" s="57"/>
      <c r="L4" s="57"/>
      <c r="M4" s="57"/>
      <c r="N4" s="33"/>
    </row>
    <row r="5" spans="1:25">
      <c r="A5" s="64">
        <v>43556</v>
      </c>
      <c r="B5" s="62" t="s">
        <v>263</v>
      </c>
      <c r="C5" s="103"/>
      <c r="D5" s="21" t="s">
        <v>39</v>
      </c>
      <c r="E5" s="21" t="s">
        <v>264</v>
      </c>
      <c r="F5" s="33" t="s">
        <v>267</v>
      </c>
      <c r="G5" s="33"/>
      <c r="H5" s="54"/>
      <c r="I5" s="68"/>
      <c r="J5" s="57">
        <f t="shared" si="0"/>
        <v>0</v>
      </c>
      <c r="K5" s="57"/>
      <c r="L5" s="57"/>
      <c r="M5" s="57"/>
      <c r="N5" s="33"/>
    </row>
    <row r="6" spans="1:25">
      <c r="A6" s="64">
        <v>43556</v>
      </c>
      <c r="B6" s="62" t="s">
        <v>263</v>
      </c>
      <c r="C6" s="103"/>
      <c r="D6" s="21" t="s">
        <v>51</v>
      </c>
      <c r="E6" s="21" t="s">
        <v>52</v>
      </c>
      <c r="F6" s="33" t="s">
        <v>53</v>
      </c>
      <c r="G6" s="33"/>
      <c r="H6" s="54"/>
      <c r="I6" s="67"/>
      <c r="J6" s="57">
        <f t="shared" si="0"/>
        <v>0</v>
      </c>
      <c r="K6" s="57">
        <f>(J6+J7+J8+J38+J39+J40+J24+J12+J13+J25)*0.05*N2</f>
        <v>0</v>
      </c>
      <c r="L6" s="57">
        <f>K6/0.05*0.25</f>
        <v>0</v>
      </c>
      <c r="M6" s="57">
        <f>L6-K6-3000</f>
        <v>-3000</v>
      </c>
      <c r="N6" s="33"/>
    </row>
    <row r="7" spans="1:25">
      <c r="A7" s="64">
        <v>43556</v>
      </c>
      <c r="B7" s="62" t="s">
        <v>263</v>
      </c>
      <c r="C7" s="103"/>
      <c r="D7" s="21" t="s">
        <v>51</v>
      </c>
      <c r="E7" s="21" t="s">
        <v>52</v>
      </c>
      <c r="F7" s="33" t="s">
        <v>55</v>
      </c>
      <c r="G7" s="33"/>
      <c r="H7" s="54"/>
      <c r="I7" s="67"/>
      <c r="J7" s="57">
        <f t="shared" si="0"/>
        <v>0</v>
      </c>
      <c r="K7" s="57"/>
      <c r="L7" s="57"/>
      <c r="M7" s="57"/>
      <c r="N7" s="33"/>
    </row>
    <row r="8" spans="1:25">
      <c r="A8" s="64">
        <v>43556</v>
      </c>
      <c r="B8" s="62" t="s">
        <v>263</v>
      </c>
      <c r="C8" s="103"/>
      <c r="D8" s="21" t="s">
        <v>51</v>
      </c>
      <c r="E8" s="21" t="s">
        <v>52</v>
      </c>
      <c r="F8" s="33" t="s">
        <v>54</v>
      </c>
      <c r="G8" s="31"/>
      <c r="H8" s="54"/>
      <c r="I8" s="67"/>
      <c r="J8" s="57">
        <f t="shared" si="0"/>
        <v>0</v>
      </c>
      <c r="K8" s="57"/>
      <c r="L8" s="57"/>
      <c r="M8" s="57"/>
      <c r="N8" s="33"/>
    </row>
    <row r="9" spans="1:25">
      <c r="A9" s="64">
        <v>43556</v>
      </c>
      <c r="B9" s="62" t="s">
        <v>263</v>
      </c>
      <c r="C9" s="103"/>
      <c r="D9" s="21" t="s">
        <v>32</v>
      </c>
      <c r="E9" s="21" t="s">
        <v>268</v>
      </c>
      <c r="F9" s="33" t="s">
        <v>269</v>
      </c>
      <c r="G9" s="57"/>
      <c r="H9" s="54"/>
      <c r="I9" s="67"/>
      <c r="J9" s="57">
        <f t="shared" si="0"/>
        <v>0</v>
      </c>
      <c r="K9" s="57"/>
      <c r="L9" s="57"/>
      <c r="M9" s="57"/>
      <c r="N9" s="33"/>
    </row>
    <row r="10" spans="1:25">
      <c r="A10" s="64">
        <v>43556</v>
      </c>
      <c r="B10" s="62" t="s">
        <v>263</v>
      </c>
      <c r="C10" s="103"/>
      <c r="D10" s="21" t="s">
        <v>32</v>
      </c>
      <c r="E10" s="21" t="s">
        <v>268</v>
      </c>
      <c r="F10" s="33" t="s">
        <v>270</v>
      </c>
      <c r="G10" s="57"/>
      <c r="H10" s="54"/>
      <c r="I10" s="67"/>
      <c r="J10" s="57">
        <f t="shared" si="0"/>
        <v>0</v>
      </c>
      <c r="K10" s="57"/>
      <c r="L10" s="57"/>
      <c r="M10" s="57"/>
      <c r="N10" s="33"/>
    </row>
    <row r="11" spans="1:25">
      <c r="A11" s="64">
        <v>43556</v>
      </c>
      <c r="B11" s="62" t="s">
        <v>263</v>
      </c>
      <c r="C11" s="103"/>
      <c r="D11" s="21" t="s">
        <v>32</v>
      </c>
      <c r="E11" s="21" t="s">
        <v>268</v>
      </c>
      <c r="F11" s="33" t="s">
        <v>271</v>
      </c>
      <c r="G11" s="57"/>
      <c r="H11" s="54"/>
      <c r="I11" s="85"/>
      <c r="J11" s="57">
        <f t="shared" si="0"/>
        <v>0</v>
      </c>
      <c r="K11" s="57"/>
      <c r="L11" s="57"/>
      <c r="M11" s="57"/>
      <c r="N11" s="33"/>
    </row>
    <row r="12" spans="1:25">
      <c r="A12" s="64">
        <v>43556</v>
      </c>
      <c r="B12" s="62" t="s">
        <v>263</v>
      </c>
      <c r="C12" s="103"/>
      <c r="D12" s="21" t="s">
        <v>73</v>
      </c>
      <c r="E12" s="21" t="s">
        <v>52</v>
      </c>
      <c r="F12" s="33" t="s">
        <v>53</v>
      </c>
      <c r="G12" s="57"/>
      <c r="H12" s="54"/>
      <c r="I12" s="67"/>
      <c r="J12" s="57">
        <f t="shared" si="0"/>
        <v>0</v>
      </c>
      <c r="K12" s="57"/>
      <c r="L12" s="57"/>
      <c r="M12" s="57"/>
      <c r="N12" s="33"/>
    </row>
    <row r="13" spans="1:25">
      <c r="A13" s="64"/>
      <c r="B13" s="62"/>
      <c r="C13" s="103"/>
      <c r="D13" s="21" t="s">
        <v>73</v>
      </c>
      <c r="E13" s="21" t="s">
        <v>52</v>
      </c>
      <c r="F13" s="33" t="s">
        <v>54</v>
      </c>
      <c r="G13" s="57"/>
      <c r="H13" s="54"/>
      <c r="I13" s="67"/>
      <c r="J13" s="57">
        <f t="shared" si="0"/>
        <v>0</v>
      </c>
      <c r="K13" s="57"/>
      <c r="L13" s="57"/>
      <c r="M13" s="57"/>
      <c r="N13" s="33"/>
    </row>
    <row r="14" spans="1:25">
      <c r="A14" s="64">
        <v>43556</v>
      </c>
      <c r="B14" s="62" t="s">
        <v>263</v>
      </c>
      <c r="C14" s="103"/>
      <c r="D14" s="21" t="s">
        <v>272</v>
      </c>
      <c r="E14" s="21" t="s">
        <v>240</v>
      </c>
      <c r="F14" s="33" t="s">
        <v>241</v>
      </c>
      <c r="G14" s="57"/>
      <c r="H14" s="54"/>
      <c r="I14" s="67"/>
      <c r="J14" s="57">
        <f t="shared" si="0"/>
        <v>0</v>
      </c>
      <c r="K14" s="57"/>
      <c r="L14" s="57"/>
      <c r="M14" s="57"/>
      <c r="N14" s="33"/>
    </row>
    <row r="15" spans="1:25">
      <c r="A15" s="64">
        <v>43556</v>
      </c>
      <c r="B15" s="62" t="s">
        <v>263</v>
      </c>
      <c r="C15" s="103"/>
      <c r="D15" s="21" t="s">
        <v>272</v>
      </c>
      <c r="E15" s="21" t="s">
        <v>240</v>
      </c>
      <c r="F15" s="33" t="s">
        <v>273</v>
      </c>
      <c r="G15" s="57"/>
      <c r="H15" s="54"/>
      <c r="I15" s="67"/>
      <c r="J15" s="57">
        <f t="shared" si="0"/>
        <v>0</v>
      </c>
      <c r="K15" s="57"/>
      <c r="L15" s="57"/>
      <c r="M15" s="57"/>
      <c r="N15" s="33"/>
    </row>
    <row r="16" spans="1:25">
      <c r="A16" s="64">
        <v>43556</v>
      </c>
      <c r="B16" s="62" t="s">
        <v>263</v>
      </c>
      <c r="C16" s="103"/>
      <c r="D16" s="21" t="s">
        <v>272</v>
      </c>
      <c r="E16" s="21" t="s">
        <v>240</v>
      </c>
      <c r="F16" s="33" t="s">
        <v>274</v>
      </c>
      <c r="G16" s="57"/>
      <c r="H16" s="54"/>
      <c r="I16" s="67"/>
      <c r="J16" s="57">
        <f t="shared" si="0"/>
        <v>0</v>
      </c>
      <c r="K16" s="57"/>
      <c r="L16" s="57"/>
      <c r="M16" s="57"/>
      <c r="N16" s="33"/>
    </row>
    <row r="17" spans="1:14">
      <c r="A17" s="64">
        <v>43556</v>
      </c>
      <c r="B17" s="62" t="s">
        <v>263</v>
      </c>
      <c r="C17" s="103"/>
      <c r="D17" s="21" t="s">
        <v>38</v>
      </c>
      <c r="E17" s="21" t="s">
        <v>268</v>
      </c>
      <c r="F17" s="33" t="s">
        <v>269</v>
      </c>
      <c r="G17" s="57"/>
      <c r="H17" s="54"/>
      <c r="I17" s="67"/>
      <c r="J17" s="57">
        <f t="shared" si="0"/>
        <v>0</v>
      </c>
      <c r="K17" s="57"/>
      <c r="L17" s="57"/>
      <c r="M17" s="57"/>
      <c r="N17" s="33"/>
    </row>
    <row r="18" spans="1:14">
      <c r="A18" s="64">
        <v>43556</v>
      </c>
      <c r="B18" s="62" t="s">
        <v>263</v>
      </c>
      <c r="C18" s="103"/>
      <c r="D18" s="21" t="s">
        <v>38</v>
      </c>
      <c r="E18" s="21" t="s">
        <v>268</v>
      </c>
      <c r="F18" s="33" t="s">
        <v>270</v>
      </c>
      <c r="G18" s="57"/>
      <c r="H18" s="54"/>
      <c r="I18" s="67"/>
      <c r="J18" s="57">
        <f t="shared" si="0"/>
        <v>0</v>
      </c>
      <c r="K18" s="57"/>
      <c r="L18" s="57"/>
      <c r="M18" s="57"/>
      <c r="N18" s="33"/>
    </row>
    <row r="19" spans="1:14">
      <c r="A19" s="64">
        <v>43556</v>
      </c>
      <c r="B19" s="62" t="s">
        <v>263</v>
      </c>
      <c r="C19" s="103"/>
      <c r="D19" s="21" t="s">
        <v>38</v>
      </c>
      <c r="E19" s="21" t="s">
        <v>268</v>
      </c>
      <c r="F19" s="33" t="s">
        <v>271</v>
      </c>
      <c r="G19" s="57"/>
      <c r="H19" s="54"/>
      <c r="I19" s="67"/>
      <c r="J19" s="57">
        <f t="shared" si="0"/>
        <v>0</v>
      </c>
      <c r="K19" s="57"/>
      <c r="L19" s="57"/>
      <c r="M19" s="57"/>
      <c r="N19" s="33"/>
    </row>
    <row r="20" spans="1:14">
      <c r="A20" s="64">
        <v>43556</v>
      </c>
      <c r="B20" s="62" t="s">
        <v>263</v>
      </c>
      <c r="C20" s="103"/>
      <c r="D20" s="21" t="s">
        <v>62</v>
      </c>
      <c r="E20" s="21" t="s">
        <v>63</v>
      </c>
      <c r="F20" s="33" t="s">
        <v>64</v>
      </c>
      <c r="G20" s="57"/>
      <c r="H20" s="54"/>
      <c r="I20" s="67"/>
      <c r="J20" s="57">
        <f t="shared" si="0"/>
        <v>0</v>
      </c>
      <c r="K20" s="57">
        <f>J20*0.05*N2</f>
        <v>0</v>
      </c>
      <c r="L20" s="57">
        <f>K20/0.05*0.25</f>
        <v>0</v>
      </c>
      <c r="M20" s="57">
        <f>L20-K20</f>
        <v>0</v>
      </c>
      <c r="N20" s="33"/>
    </row>
    <row r="21" spans="1:14">
      <c r="A21" s="64">
        <v>43556</v>
      </c>
      <c r="B21" s="62" t="s">
        <v>263</v>
      </c>
      <c r="C21" s="103"/>
      <c r="D21" s="21" t="s">
        <v>11</v>
      </c>
      <c r="E21" s="21" t="s">
        <v>264</v>
      </c>
      <c r="F21" s="33" t="s">
        <v>265</v>
      </c>
      <c r="G21" s="57"/>
      <c r="H21" s="54"/>
      <c r="I21" s="67"/>
      <c r="J21" s="57">
        <f t="shared" si="0"/>
        <v>0</v>
      </c>
      <c r="K21" s="57"/>
      <c r="L21" s="57"/>
      <c r="M21" s="57"/>
      <c r="N21" s="33"/>
    </row>
    <row r="22" spans="1:14">
      <c r="A22" s="64">
        <v>43556</v>
      </c>
      <c r="B22" s="62" t="s">
        <v>263</v>
      </c>
      <c r="C22" s="103"/>
      <c r="D22" s="21" t="s">
        <v>11</v>
      </c>
      <c r="E22" s="21" t="s">
        <v>264</v>
      </c>
      <c r="F22" s="33" t="s">
        <v>266</v>
      </c>
      <c r="G22" s="57"/>
      <c r="H22" s="54"/>
      <c r="I22" s="67"/>
      <c r="J22" s="57">
        <f t="shared" si="0"/>
        <v>0</v>
      </c>
      <c r="K22" s="57"/>
      <c r="L22" s="57"/>
      <c r="M22" s="57"/>
      <c r="N22" s="33"/>
    </row>
    <row r="23" spans="1:14">
      <c r="A23" s="64">
        <v>43556</v>
      </c>
      <c r="B23" s="62" t="s">
        <v>263</v>
      </c>
      <c r="C23" s="103"/>
      <c r="D23" s="21" t="s">
        <v>11</v>
      </c>
      <c r="E23" s="21" t="s">
        <v>264</v>
      </c>
      <c r="F23" s="33" t="s">
        <v>267</v>
      </c>
      <c r="G23" s="57"/>
      <c r="H23" s="54"/>
      <c r="I23" s="67"/>
      <c r="J23" s="57">
        <f t="shared" si="0"/>
        <v>0</v>
      </c>
      <c r="K23" s="57"/>
      <c r="L23" s="57"/>
      <c r="M23" s="57"/>
      <c r="N23" s="33"/>
    </row>
    <row r="24" spans="1:14">
      <c r="A24" s="64">
        <v>43556</v>
      </c>
      <c r="B24" s="62" t="s">
        <v>263</v>
      </c>
      <c r="C24" s="103"/>
      <c r="D24" s="21" t="s">
        <v>56</v>
      </c>
      <c r="E24" s="21" t="s">
        <v>52</v>
      </c>
      <c r="F24" s="33" t="s">
        <v>53</v>
      </c>
      <c r="G24" s="57"/>
      <c r="H24" s="54"/>
      <c r="I24" s="67"/>
      <c r="J24" s="57">
        <f t="shared" si="0"/>
        <v>0</v>
      </c>
      <c r="K24" s="57"/>
      <c r="L24" s="57"/>
      <c r="M24" s="57"/>
      <c r="N24" s="33"/>
    </row>
    <row r="25" spans="1:14">
      <c r="A25" s="64">
        <v>43556</v>
      </c>
      <c r="B25" s="62" t="s">
        <v>263</v>
      </c>
      <c r="C25" s="103"/>
      <c r="D25" s="21" t="s">
        <v>29</v>
      </c>
      <c r="E25" s="21" t="s">
        <v>52</v>
      </c>
      <c r="F25" s="33" t="s">
        <v>53</v>
      </c>
      <c r="G25" s="57"/>
      <c r="H25" s="54"/>
      <c r="I25" s="7"/>
      <c r="J25" s="57">
        <f t="shared" si="0"/>
        <v>0</v>
      </c>
      <c r="K25" s="57"/>
      <c r="L25" s="57"/>
      <c r="M25" s="57"/>
      <c r="N25" s="33"/>
    </row>
    <row r="26" spans="1:14">
      <c r="A26" s="64">
        <v>43556</v>
      </c>
      <c r="B26" s="62" t="s">
        <v>263</v>
      </c>
      <c r="C26" s="103"/>
      <c r="D26" s="21" t="s">
        <v>31</v>
      </c>
      <c r="E26" s="21" t="s">
        <v>240</v>
      </c>
      <c r="F26" s="33" t="s">
        <v>241</v>
      </c>
      <c r="G26" s="57"/>
      <c r="H26" s="54"/>
      <c r="I26" s="67"/>
      <c r="J26" s="57">
        <f t="shared" si="0"/>
        <v>0</v>
      </c>
      <c r="K26" s="57">
        <f>(J26+J27+J28+J29+J30+J14+J15+J16)*0.04*N2</f>
        <v>0</v>
      </c>
      <c r="L26" s="57">
        <f>K26/0.04*0.25</f>
        <v>0</v>
      </c>
      <c r="M26" s="57">
        <f>L26-K26-3000</f>
        <v>-3000</v>
      </c>
      <c r="N26" s="33"/>
    </row>
    <row r="27" spans="1:14">
      <c r="A27" s="64">
        <v>43556</v>
      </c>
      <c r="B27" s="62" t="s">
        <v>263</v>
      </c>
      <c r="C27" s="103"/>
      <c r="D27" s="21" t="s">
        <v>31</v>
      </c>
      <c r="E27" s="21" t="s">
        <v>240</v>
      </c>
      <c r="F27" s="33" t="s">
        <v>273</v>
      </c>
      <c r="G27" s="57"/>
      <c r="H27" s="54"/>
      <c r="I27" s="67"/>
      <c r="J27" s="57">
        <f t="shared" si="0"/>
        <v>0</v>
      </c>
      <c r="K27" s="57"/>
      <c r="L27" s="57"/>
      <c r="M27" s="57"/>
      <c r="N27" s="33"/>
    </row>
    <row r="28" spans="1:14">
      <c r="A28" s="64">
        <v>43556</v>
      </c>
      <c r="B28" s="62" t="s">
        <v>263</v>
      </c>
      <c r="C28" s="103"/>
      <c r="D28" s="21" t="s">
        <v>31</v>
      </c>
      <c r="E28" s="21" t="s">
        <v>240</v>
      </c>
      <c r="F28" s="33" t="s">
        <v>274</v>
      </c>
      <c r="G28" s="57"/>
      <c r="H28" s="54"/>
      <c r="I28" s="67"/>
      <c r="J28" s="57">
        <f t="shared" si="0"/>
        <v>0</v>
      </c>
      <c r="K28" s="57"/>
      <c r="L28" s="57"/>
      <c r="M28" s="57"/>
      <c r="N28" s="33"/>
    </row>
    <row r="29" spans="1:14">
      <c r="A29" s="64">
        <v>43556</v>
      </c>
      <c r="B29" s="62" t="s">
        <v>263</v>
      </c>
      <c r="C29" s="103"/>
      <c r="D29" s="21" t="s">
        <v>78</v>
      </c>
      <c r="E29" s="21" t="s">
        <v>240</v>
      </c>
      <c r="F29" s="33" t="s">
        <v>273</v>
      </c>
      <c r="G29" s="57"/>
      <c r="H29" s="54"/>
      <c r="I29" s="67"/>
      <c r="J29" s="57">
        <f t="shared" ref="J29:J35" si="1">(G29*H29*0.98)-I29</f>
        <v>0</v>
      </c>
      <c r="K29" s="57"/>
      <c r="L29" s="57"/>
      <c r="M29" s="57"/>
      <c r="N29" s="33"/>
    </row>
    <row r="30" spans="1:14">
      <c r="A30" s="64">
        <v>43556</v>
      </c>
      <c r="B30" s="62" t="s">
        <v>263</v>
      </c>
      <c r="C30" s="103"/>
      <c r="D30" s="21" t="s">
        <v>78</v>
      </c>
      <c r="E30" s="21" t="s">
        <v>240</v>
      </c>
      <c r="F30" s="33" t="s">
        <v>274</v>
      </c>
      <c r="G30" s="57"/>
      <c r="H30" s="54"/>
      <c r="I30" s="67"/>
      <c r="J30" s="57">
        <f t="shared" si="1"/>
        <v>0</v>
      </c>
      <c r="K30" s="57"/>
      <c r="L30" s="57"/>
      <c r="M30" s="57"/>
      <c r="N30" s="33"/>
    </row>
    <row r="31" spans="1:14">
      <c r="A31" s="64">
        <v>43556</v>
      </c>
      <c r="B31" s="62" t="s">
        <v>263</v>
      </c>
      <c r="C31" s="103"/>
      <c r="D31" s="21" t="s">
        <v>72</v>
      </c>
      <c r="E31" s="21" t="s">
        <v>268</v>
      </c>
      <c r="F31" s="33" t="s">
        <v>269</v>
      </c>
      <c r="G31" s="57"/>
      <c r="H31" s="54"/>
      <c r="I31" s="67"/>
      <c r="J31" s="57">
        <f t="shared" si="1"/>
        <v>0</v>
      </c>
      <c r="K31" s="57">
        <f>(J31+J35+J36+J37+J9+J10+J11+J17+J18+J19)*0.03*N2</f>
        <v>0</v>
      </c>
      <c r="L31" s="57">
        <f>K31/0.03*0.25</f>
        <v>0</v>
      </c>
      <c r="M31" s="57">
        <f>L31-K31-3000</f>
        <v>-3000</v>
      </c>
      <c r="N31" s="33"/>
    </row>
    <row r="32" spans="1:14">
      <c r="A32" s="64">
        <v>43556</v>
      </c>
      <c r="B32" s="62" t="s">
        <v>263</v>
      </c>
      <c r="C32" s="103"/>
      <c r="D32" s="21" t="s">
        <v>60</v>
      </c>
      <c r="E32" s="21" t="s">
        <v>264</v>
      </c>
      <c r="F32" s="33" t="s">
        <v>265</v>
      </c>
      <c r="G32" s="57"/>
      <c r="H32" s="54"/>
      <c r="I32" s="68"/>
      <c r="J32" s="57">
        <f t="shared" si="1"/>
        <v>0</v>
      </c>
      <c r="K32" s="57"/>
      <c r="L32" s="57"/>
      <c r="M32" s="57"/>
      <c r="N32" s="33"/>
    </row>
    <row r="33" spans="1:14">
      <c r="A33" s="64">
        <v>43556</v>
      </c>
      <c r="B33" s="62" t="s">
        <v>263</v>
      </c>
      <c r="C33" s="103"/>
      <c r="D33" s="21" t="s">
        <v>60</v>
      </c>
      <c r="E33" s="21" t="s">
        <v>264</v>
      </c>
      <c r="F33" s="33" t="s">
        <v>267</v>
      </c>
      <c r="G33" s="57"/>
      <c r="H33" s="54"/>
      <c r="I33" s="68"/>
      <c r="J33" s="57">
        <f t="shared" si="1"/>
        <v>0</v>
      </c>
      <c r="K33" s="57"/>
      <c r="L33" s="57"/>
      <c r="M33" s="57"/>
      <c r="N33" s="33"/>
    </row>
    <row r="34" spans="1:14">
      <c r="A34" s="64"/>
      <c r="B34" s="62"/>
      <c r="C34" s="103"/>
      <c r="D34" s="95" t="s">
        <v>60</v>
      </c>
      <c r="E34" s="21" t="s">
        <v>264</v>
      </c>
      <c r="F34" s="33" t="s">
        <v>275</v>
      </c>
      <c r="G34" s="57"/>
      <c r="H34" s="54"/>
      <c r="I34" s="67"/>
      <c r="J34" s="57">
        <f t="shared" si="1"/>
        <v>0</v>
      </c>
      <c r="K34" s="57"/>
      <c r="L34" s="57"/>
      <c r="M34" s="57"/>
      <c r="N34" s="33"/>
    </row>
    <row r="35" spans="1:14">
      <c r="A35" s="64">
        <v>43556</v>
      </c>
      <c r="B35" s="62" t="s">
        <v>263</v>
      </c>
      <c r="C35" s="103"/>
      <c r="D35" s="21" t="s">
        <v>70</v>
      </c>
      <c r="E35" s="21" t="s">
        <v>268</v>
      </c>
      <c r="F35" s="33" t="s">
        <v>269</v>
      </c>
      <c r="G35" s="57"/>
      <c r="H35" s="54"/>
      <c r="I35" s="67"/>
      <c r="J35" s="57">
        <f t="shared" si="1"/>
        <v>0</v>
      </c>
      <c r="K35" s="57"/>
      <c r="L35" s="57"/>
      <c r="M35" s="57"/>
      <c r="N35" s="33"/>
    </row>
    <row r="36" spans="1:14">
      <c r="A36" s="64">
        <v>43556</v>
      </c>
      <c r="B36" s="62" t="s">
        <v>263</v>
      </c>
      <c r="C36" s="103"/>
      <c r="D36" s="21" t="s">
        <v>70</v>
      </c>
      <c r="E36" s="21" t="s">
        <v>268</v>
      </c>
      <c r="F36" s="33" t="s">
        <v>270</v>
      </c>
      <c r="G36" s="57"/>
      <c r="H36" s="54"/>
      <c r="I36" s="67"/>
      <c r="J36" s="57">
        <f t="shared" ref="J36:J54" si="2">(G36*H36*0.98)-I36</f>
        <v>0</v>
      </c>
      <c r="K36" s="57"/>
      <c r="L36" s="57"/>
      <c r="M36" s="57"/>
      <c r="N36" s="33"/>
    </row>
    <row r="37" spans="1:14">
      <c r="A37" s="64">
        <v>43556</v>
      </c>
      <c r="B37" s="62" t="s">
        <v>263</v>
      </c>
      <c r="C37" s="103"/>
      <c r="D37" s="21" t="s">
        <v>70</v>
      </c>
      <c r="E37" s="21" t="s">
        <v>268</v>
      </c>
      <c r="F37" s="33" t="s">
        <v>271</v>
      </c>
      <c r="G37" s="57"/>
      <c r="H37" s="54"/>
      <c r="I37" s="68"/>
      <c r="J37" s="57">
        <f t="shared" si="2"/>
        <v>0</v>
      </c>
      <c r="K37" s="57"/>
      <c r="L37" s="57"/>
      <c r="M37" s="57"/>
      <c r="N37" s="33"/>
    </row>
    <row r="38" spans="1:14">
      <c r="A38" s="64">
        <v>43556</v>
      </c>
      <c r="B38" s="62" t="s">
        <v>263</v>
      </c>
      <c r="C38" s="103"/>
      <c r="D38" s="21" t="s">
        <v>276</v>
      </c>
      <c r="E38" s="21" t="s">
        <v>52</v>
      </c>
      <c r="F38" s="33" t="s">
        <v>53</v>
      </c>
      <c r="G38" s="74"/>
      <c r="H38" s="54"/>
      <c r="I38" s="67"/>
      <c r="J38" s="57">
        <f t="shared" si="2"/>
        <v>0</v>
      </c>
      <c r="K38" s="57"/>
      <c r="L38" s="57"/>
      <c r="M38" s="57"/>
      <c r="N38" s="33"/>
    </row>
    <row r="39" spans="1:14">
      <c r="A39" s="64">
        <v>43556</v>
      </c>
      <c r="B39" s="62" t="s">
        <v>263</v>
      </c>
      <c r="C39" s="103"/>
      <c r="D39" s="21" t="s">
        <v>276</v>
      </c>
      <c r="E39" s="21" t="s">
        <v>52</v>
      </c>
      <c r="F39" s="33" t="s">
        <v>277</v>
      </c>
      <c r="G39" s="74"/>
      <c r="H39" s="54"/>
      <c r="I39" s="67"/>
      <c r="J39" s="57">
        <f t="shared" si="2"/>
        <v>0</v>
      </c>
      <c r="K39" s="57"/>
      <c r="L39" s="57"/>
      <c r="M39" s="57"/>
      <c r="N39" s="33"/>
    </row>
    <row r="40" spans="1:14">
      <c r="A40" s="64">
        <v>43556</v>
      </c>
      <c r="B40" s="62" t="s">
        <v>263</v>
      </c>
      <c r="C40" s="103"/>
      <c r="D40" s="21" t="s">
        <v>276</v>
      </c>
      <c r="E40" s="21" t="s">
        <v>52</v>
      </c>
      <c r="F40" s="33" t="s">
        <v>54</v>
      </c>
      <c r="G40" s="74"/>
      <c r="H40" s="54"/>
      <c r="I40" s="67"/>
      <c r="J40" s="57">
        <f t="shared" si="2"/>
        <v>0</v>
      </c>
      <c r="K40" s="57"/>
      <c r="L40" s="57"/>
      <c r="M40" s="57"/>
      <c r="N40" s="33"/>
    </row>
    <row r="41" spans="1:14">
      <c r="A41" s="64"/>
      <c r="B41" s="62"/>
      <c r="C41" s="103"/>
      <c r="D41" s="95" t="s">
        <v>75</v>
      </c>
      <c r="E41" s="21" t="s">
        <v>278</v>
      </c>
      <c r="F41" s="33" t="s">
        <v>279</v>
      </c>
      <c r="G41" s="74"/>
      <c r="H41" s="54"/>
      <c r="I41" s="68"/>
      <c r="J41" s="57">
        <f t="shared" si="2"/>
        <v>0</v>
      </c>
      <c r="K41" s="57">
        <f>(J41)*0.2*N2</f>
        <v>0</v>
      </c>
      <c r="L41" s="57"/>
      <c r="M41" s="57"/>
      <c r="N41" s="33"/>
    </row>
    <row r="42" spans="1:14">
      <c r="A42" s="64">
        <v>43556</v>
      </c>
      <c r="B42" s="62" t="s">
        <v>263</v>
      </c>
      <c r="C42" s="102" t="s">
        <v>106</v>
      </c>
      <c r="D42" s="21" t="s">
        <v>280</v>
      </c>
      <c r="E42" s="21" t="s">
        <v>113</v>
      </c>
      <c r="F42" s="33" t="s">
        <v>135</v>
      </c>
      <c r="G42" s="57"/>
      <c r="H42" s="54"/>
      <c r="I42" s="67"/>
      <c r="J42" s="57">
        <f t="shared" si="2"/>
        <v>0</v>
      </c>
      <c r="K42" s="57"/>
      <c r="L42" s="57"/>
      <c r="M42" s="57"/>
      <c r="N42" s="33"/>
    </row>
    <row r="43" spans="1:14" ht="14.25" customHeight="1">
      <c r="A43" s="64">
        <v>43556</v>
      </c>
      <c r="B43" s="62" t="s">
        <v>263</v>
      </c>
      <c r="C43" s="103"/>
      <c r="D43" s="21" t="s">
        <v>280</v>
      </c>
      <c r="E43" s="21" t="s">
        <v>113</v>
      </c>
      <c r="F43" s="33" t="s">
        <v>136</v>
      </c>
      <c r="G43" s="57"/>
      <c r="H43" s="54"/>
      <c r="I43" s="67"/>
      <c r="J43" s="57">
        <f t="shared" si="2"/>
        <v>0</v>
      </c>
      <c r="K43" s="57"/>
      <c r="L43" s="57"/>
      <c r="M43" s="57"/>
      <c r="N43" s="33"/>
    </row>
    <row r="44" spans="1:14" ht="14.25" customHeight="1">
      <c r="A44" s="64"/>
      <c r="B44" s="62"/>
      <c r="C44" s="103"/>
      <c r="D44" s="21" t="s">
        <v>133</v>
      </c>
      <c r="E44" s="21" t="s">
        <v>113</v>
      </c>
      <c r="F44" s="33" t="s">
        <v>135</v>
      </c>
      <c r="G44" s="57"/>
      <c r="H44" s="54"/>
      <c r="I44" s="67"/>
      <c r="J44" s="57">
        <f t="shared" si="2"/>
        <v>0</v>
      </c>
      <c r="K44" s="57"/>
      <c r="L44" s="57"/>
      <c r="M44" s="57"/>
      <c r="N44" s="33"/>
    </row>
    <row r="45" spans="1:14" ht="14.25" customHeight="1">
      <c r="A45" s="64"/>
      <c r="B45" s="62"/>
      <c r="C45" s="103"/>
      <c r="D45" s="21" t="s">
        <v>133</v>
      </c>
      <c r="E45" s="21" t="s">
        <v>113</v>
      </c>
      <c r="F45" s="33" t="s">
        <v>136</v>
      </c>
      <c r="G45" s="57"/>
      <c r="H45" s="54"/>
      <c r="I45" s="67"/>
      <c r="J45" s="57">
        <f t="shared" si="2"/>
        <v>0</v>
      </c>
      <c r="K45" s="57"/>
      <c r="L45" s="57"/>
      <c r="M45" s="57"/>
      <c r="N45" s="33"/>
    </row>
    <row r="46" spans="1:14" ht="14.25" customHeight="1">
      <c r="A46" s="64">
        <v>43556</v>
      </c>
      <c r="B46" s="62" t="s">
        <v>263</v>
      </c>
      <c r="C46" s="103"/>
      <c r="D46" s="21" t="s">
        <v>111</v>
      </c>
      <c r="E46" s="21" t="s">
        <v>108</v>
      </c>
      <c r="F46" s="33" t="s">
        <v>109</v>
      </c>
      <c r="G46" s="57"/>
      <c r="H46" s="54"/>
      <c r="I46" s="67"/>
      <c r="J46" s="57">
        <f t="shared" si="2"/>
        <v>0</v>
      </c>
      <c r="K46" s="57">
        <f>(J47+J46++J56+J57+J58+J59+J60)*0.03*N2</f>
        <v>0</v>
      </c>
      <c r="L46" s="57">
        <f>K46/0.03*0.25</f>
        <v>0</v>
      </c>
      <c r="M46" s="57">
        <f>L46-K46</f>
        <v>0</v>
      </c>
      <c r="N46" s="33"/>
    </row>
    <row r="47" spans="1:14" ht="14.25" customHeight="1">
      <c r="A47" s="64"/>
      <c r="B47" s="62"/>
      <c r="C47" s="103"/>
      <c r="D47" s="21" t="s">
        <v>111</v>
      </c>
      <c r="E47" s="21" t="s">
        <v>108</v>
      </c>
      <c r="F47" s="33" t="s">
        <v>110</v>
      </c>
      <c r="G47" s="57"/>
      <c r="H47" s="54"/>
      <c r="I47" s="67"/>
      <c r="J47" s="57">
        <f t="shared" si="2"/>
        <v>0</v>
      </c>
      <c r="K47" s="57"/>
      <c r="L47" s="57"/>
      <c r="M47" s="57"/>
      <c r="N47" s="33"/>
    </row>
    <row r="48" spans="1:14" ht="14.25" customHeight="1">
      <c r="A48" s="64">
        <v>43556</v>
      </c>
      <c r="B48" s="62" t="s">
        <v>263</v>
      </c>
      <c r="C48" s="103"/>
      <c r="D48" s="21" t="s">
        <v>127</v>
      </c>
      <c r="E48" s="21" t="s">
        <v>117</v>
      </c>
      <c r="F48" s="33" t="s">
        <v>281</v>
      </c>
      <c r="G48" s="57"/>
      <c r="H48" s="54"/>
      <c r="I48" s="67"/>
      <c r="J48" s="57">
        <f t="shared" si="2"/>
        <v>0</v>
      </c>
      <c r="K48" s="57">
        <f>(J49+J50+J51+J52+J48)*0.15*N2</f>
        <v>0</v>
      </c>
      <c r="L48" s="57"/>
      <c r="M48" s="57"/>
      <c r="N48" s="33"/>
    </row>
    <row r="49" spans="1:14" ht="14.25" customHeight="1">
      <c r="A49" s="64">
        <v>43556</v>
      </c>
      <c r="B49" s="62" t="s">
        <v>263</v>
      </c>
      <c r="C49" s="103"/>
      <c r="D49" s="21" t="s">
        <v>127</v>
      </c>
      <c r="E49" s="21" t="s">
        <v>117</v>
      </c>
      <c r="F49" s="33" t="s">
        <v>282</v>
      </c>
      <c r="G49" s="57"/>
      <c r="H49" s="54"/>
      <c r="I49" s="67"/>
      <c r="J49" s="57">
        <f t="shared" si="2"/>
        <v>0</v>
      </c>
      <c r="K49" s="57"/>
      <c r="L49" s="57"/>
      <c r="M49" s="57"/>
      <c r="N49" s="33"/>
    </row>
    <row r="50" spans="1:14" ht="14.25" customHeight="1">
      <c r="A50" s="64">
        <v>43556</v>
      </c>
      <c r="B50" s="62" t="s">
        <v>263</v>
      </c>
      <c r="C50" s="103"/>
      <c r="D50" s="21" t="s">
        <v>116</v>
      </c>
      <c r="E50" s="21" t="s">
        <v>117</v>
      </c>
      <c r="F50" s="33" t="s">
        <v>281</v>
      </c>
      <c r="G50" s="57"/>
      <c r="H50" s="54"/>
      <c r="I50" s="67"/>
      <c r="J50" s="57">
        <f t="shared" si="2"/>
        <v>0</v>
      </c>
      <c r="K50" s="57"/>
      <c r="L50" s="57"/>
      <c r="M50" s="57"/>
      <c r="N50" s="33"/>
    </row>
    <row r="51" spans="1:14" ht="14.25" customHeight="1">
      <c r="A51" s="64">
        <v>43556</v>
      </c>
      <c r="B51" s="62" t="s">
        <v>263</v>
      </c>
      <c r="C51" s="103"/>
      <c r="D51" s="21" t="s">
        <v>116</v>
      </c>
      <c r="E51" s="21" t="s">
        <v>117</v>
      </c>
      <c r="F51" s="33" t="s">
        <v>282</v>
      </c>
      <c r="G51" s="57"/>
      <c r="H51" s="54"/>
      <c r="I51" s="67"/>
      <c r="J51" s="57">
        <f t="shared" si="2"/>
        <v>0</v>
      </c>
      <c r="K51" s="57"/>
      <c r="L51" s="57"/>
      <c r="M51" s="57"/>
      <c r="N51" s="33"/>
    </row>
    <row r="52" spans="1:14" ht="14.25" customHeight="1">
      <c r="A52" s="64">
        <v>43556</v>
      </c>
      <c r="B52" s="62" t="s">
        <v>263</v>
      </c>
      <c r="C52" s="103"/>
      <c r="D52" s="21" t="s">
        <v>116</v>
      </c>
      <c r="E52" s="21" t="s">
        <v>117</v>
      </c>
      <c r="F52" s="33" t="s">
        <v>283</v>
      </c>
      <c r="G52" s="57"/>
      <c r="H52" s="54"/>
      <c r="I52" s="67"/>
      <c r="J52" s="57">
        <f t="shared" si="2"/>
        <v>0</v>
      </c>
      <c r="K52" s="57"/>
      <c r="L52" s="57"/>
      <c r="M52" s="57"/>
      <c r="N52" s="33"/>
    </row>
    <row r="53" spans="1:14" ht="14.25" customHeight="1">
      <c r="A53" s="64">
        <v>43556</v>
      </c>
      <c r="B53" s="62" t="s">
        <v>263</v>
      </c>
      <c r="C53" s="103"/>
      <c r="D53" s="21" t="s">
        <v>137</v>
      </c>
      <c r="E53" s="21" t="s">
        <v>113</v>
      </c>
      <c r="F53" s="33" t="s">
        <v>114</v>
      </c>
      <c r="G53" s="57"/>
      <c r="H53" s="54"/>
      <c r="I53" s="67"/>
      <c r="J53" s="57">
        <f t="shared" si="2"/>
        <v>0</v>
      </c>
      <c r="K53" s="57"/>
      <c r="L53" s="57">
        <f>K53/0.03*0.25</f>
        <v>0</v>
      </c>
      <c r="M53" s="57">
        <f>L53-K53</f>
        <v>0</v>
      </c>
      <c r="N53" s="33"/>
    </row>
    <row r="54" spans="1:14" ht="14.25" customHeight="1">
      <c r="A54" s="64">
        <v>43556</v>
      </c>
      <c r="B54" s="62" t="s">
        <v>263</v>
      </c>
      <c r="C54" s="103"/>
      <c r="D54" s="21" t="s">
        <v>137</v>
      </c>
      <c r="E54" s="21" t="s">
        <v>113</v>
      </c>
      <c r="F54" s="33" t="s">
        <v>115</v>
      </c>
      <c r="G54" s="57"/>
      <c r="H54" s="54"/>
      <c r="I54" s="67"/>
      <c r="J54" s="57">
        <f t="shared" si="2"/>
        <v>0</v>
      </c>
      <c r="K54" s="57"/>
      <c r="L54" s="57"/>
      <c r="M54" s="57"/>
      <c r="N54" s="33"/>
    </row>
    <row r="55" spans="1:14" ht="14.25" customHeight="1">
      <c r="A55" s="64">
        <v>43556</v>
      </c>
      <c r="B55" s="62" t="s">
        <v>263</v>
      </c>
      <c r="C55" s="103"/>
      <c r="D55" s="21" t="s">
        <v>137</v>
      </c>
      <c r="E55" s="21" t="s">
        <v>244</v>
      </c>
      <c r="F55" s="33" t="s">
        <v>284</v>
      </c>
      <c r="G55" s="57"/>
      <c r="H55" s="54"/>
      <c r="I55" s="67"/>
      <c r="J55" s="57">
        <f t="shared" ref="J55:J60" si="3">(G55*H55*0.98)-I55</f>
        <v>0</v>
      </c>
      <c r="K55" s="57"/>
      <c r="L55" s="57"/>
      <c r="M55" s="57"/>
      <c r="N55" s="33"/>
    </row>
    <row r="56" spans="1:14" ht="14.25" customHeight="1">
      <c r="A56" s="64">
        <v>43556</v>
      </c>
      <c r="B56" s="62" t="s">
        <v>263</v>
      </c>
      <c r="C56" s="103"/>
      <c r="D56" s="21" t="s">
        <v>138</v>
      </c>
      <c r="E56" s="21" t="s">
        <v>108</v>
      </c>
      <c r="F56" s="33" t="s">
        <v>109</v>
      </c>
      <c r="G56" s="57"/>
      <c r="H56" s="54"/>
      <c r="I56" s="67"/>
      <c r="J56" s="57">
        <f t="shared" si="3"/>
        <v>0</v>
      </c>
      <c r="K56" s="57"/>
      <c r="L56" s="57">
        <f>K56/0.04*0.25</f>
        <v>0</v>
      </c>
      <c r="M56" s="57">
        <f>L56-K56</f>
        <v>0</v>
      </c>
      <c r="N56" s="33"/>
    </row>
    <row r="57" spans="1:14" ht="14.25" customHeight="1">
      <c r="A57" s="64">
        <v>43556</v>
      </c>
      <c r="B57" s="62" t="s">
        <v>263</v>
      </c>
      <c r="C57" s="103"/>
      <c r="D57" s="21" t="s">
        <v>138</v>
      </c>
      <c r="E57" s="21" t="s">
        <v>108</v>
      </c>
      <c r="F57" s="33" t="s">
        <v>110</v>
      </c>
      <c r="G57" s="57"/>
      <c r="H57" s="54"/>
      <c r="I57" s="68"/>
      <c r="J57" s="57">
        <f t="shared" si="3"/>
        <v>0</v>
      </c>
      <c r="K57" s="57"/>
      <c r="L57" s="57"/>
      <c r="M57" s="57"/>
      <c r="N57" s="33"/>
    </row>
    <row r="58" spans="1:14" ht="14.25" customHeight="1">
      <c r="A58" s="64">
        <v>43556</v>
      </c>
      <c r="B58" s="62" t="s">
        <v>263</v>
      </c>
      <c r="C58" s="103"/>
      <c r="D58" s="21" t="s">
        <v>107</v>
      </c>
      <c r="E58" s="21" t="s">
        <v>108</v>
      </c>
      <c r="F58" s="33" t="s">
        <v>109</v>
      </c>
      <c r="G58" s="57"/>
      <c r="H58" s="54"/>
      <c r="I58" s="67"/>
      <c r="J58" s="57">
        <f t="shared" si="3"/>
        <v>0</v>
      </c>
      <c r="K58" s="57"/>
      <c r="L58" s="57"/>
      <c r="M58" s="57"/>
      <c r="N58" s="33"/>
    </row>
    <row r="59" spans="1:14" ht="14.25" customHeight="1">
      <c r="A59" s="64">
        <v>43556</v>
      </c>
      <c r="B59" s="62" t="s">
        <v>263</v>
      </c>
      <c r="C59" s="103"/>
      <c r="D59" s="21" t="s">
        <v>107</v>
      </c>
      <c r="E59" s="21" t="s">
        <v>108</v>
      </c>
      <c r="F59" s="33" t="s">
        <v>110</v>
      </c>
      <c r="G59" s="57"/>
      <c r="H59" s="54"/>
      <c r="I59" s="67"/>
      <c r="J59" s="57">
        <f t="shared" si="3"/>
        <v>0</v>
      </c>
      <c r="K59" s="57"/>
      <c r="L59" s="57"/>
      <c r="M59" s="57"/>
      <c r="N59" s="33"/>
    </row>
    <row r="60" spans="1:14" ht="14.25" customHeight="1">
      <c r="A60" s="64"/>
      <c r="B60" s="62"/>
      <c r="C60" s="103"/>
      <c r="D60" s="95" t="s">
        <v>285</v>
      </c>
      <c r="E60" s="21" t="s">
        <v>108</v>
      </c>
      <c r="F60" s="33" t="s">
        <v>109</v>
      </c>
      <c r="G60" s="57"/>
      <c r="H60" s="54"/>
      <c r="I60" s="67"/>
      <c r="J60" s="57">
        <f t="shared" si="3"/>
        <v>0</v>
      </c>
      <c r="K60" s="57"/>
      <c r="L60" s="57"/>
      <c r="M60" s="57"/>
      <c r="N60" s="33"/>
    </row>
    <row r="61" spans="1:14" ht="14.25" customHeight="1">
      <c r="A61" s="64">
        <v>43556</v>
      </c>
      <c r="B61" s="62" t="s">
        <v>263</v>
      </c>
      <c r="C61" s="103"/>
      <c r="D61" s="21" t="s">
        <v>128</v>
      </c>
      <c r="E61" s="21" t="s">
        <v>129</v>
      </c>
      <c r="F61" s="33" t="s">
        <v>130</v>
      </c>
      <c r="G61" s="57"/>
      <c r="H61" s="54"/>
      <c r="I61" s="67"/>
      <c r="J61" s="57">
        <f t="shared" ref="J61:J81" si="4">(G61*H61*0.98)-I61</f>
        <v>0</v>
      </c>
      <c r="K61" s="57"/>
      <c r="L61" s="57"/>
      <c r="M61" s="57"/>
      <c r="N61" s="33"/>
    </row>
    <row r="62" spans="1:14" ht="14.25" customHeight="1">
      <c r="A62" s="64">
        <v>43556</v>
      </c>
      <c r="B62" s="62" t="s">
        <v>263</v>
      </c>
      <c r="C62" s="103"/>
      <c r="D62" s="21" t="s">
        <v>128</v>
      </c>
      <c r="E62" s="21" t="s">
        <v>129</v>
      </c>
      <c r="F62" s="33" t="s">
        <v>131</v>
      </c>
      <c r="G62" s="57"/>
      <c r="H62" s="54"/>
      <c r="I62" s="67"/>
      <c r="J62" s="57">
        <f t="shared" si="4"/>
        <v>0</v>
      </c>
      <c r="K62" s="57"/>
      <c r="L62" s="57"/>
      <c r="M62" s="57"/>
      <c r="N62" s="33"/>
    </row>
    <row r="63" spans="1:14" ht="14.25" customHeight="1">
      <c r="A63" s="64">
        <v>43556</v>
      </c>
      <c r="B63" s="62" t="s">
        <v>263</v>
      </c>
      <c r="C63" s="103"/>
      <c r="D63" s="21" t="s">
        <v>133</v>
      </c>
      <c r="E63" s="21" t="s">
        <v>129</v>
      </c>
      <c r="F63" s="33" t="s">
        <v>130</v>
      </c>
      <c r="G63" s="57"/>
      <c r="H63" s="54"/>
      <c r="I63" s="67"/>
      <c r="J63" s="57">
        <f t="shared" si="4"/>
        <v>0</v>
      </c>
      <c r="K63" s="57">
        <f>(J63+J64+J61+J62)*0.05*N2</f>
        <v>0</v>
      </c>
      <c r="L63" s="57">
        <f>K63/0.05*0.25</f>
        <v>0</v>
      </c>
      <c r="M63" s="57">
        <f>L63-K63</f>
        <v>0</v>
      </c>
      <c r="N63" s="33"/>
    </row>
    <row r="64" spans="1:14" ht="14.25" customHeight="1">
      <c r="A64" s="64">
        <v>43556</v>
      </c>
      <c r="B64" s="62" t="s">
        <v>263</v>
      </c>
      <c r="C64" s="103"/>
      <c r="D64" s="21" t="s">
        <v>133</v>
      </c>
      <c r="E64" s="21" t="s">
        <v>129</v>
      </c>
      <c r="F64" s="33" t="s">
        <v>131</v>
      </c>
      <c r="G64" s="57"/>
      <c r="H64" s="54"/>
      <c r="I64" s="67"/>
      <c r="J64" s="57">
        <f t="shared" si="4"/>
        <v>0</v>
      </c>
      <c r="K64" s="57"/>
      <c r="L64" s="57"/>
      <c r="M64" s="57"/>
      <c r="N64" s="33"/>
    </row>
    <row r="65" spans="1:14" ht="14.25" customHeight="1">
      <c r="A65" s="64">
        <v>43556</v>
      </c>
      <c r="B65" s="62" t="s">
        <v>263</v>
      </c>
      <c r="C65" s="103"/>
      <c r="D65" s="21" t="s">
        <v>120</v>
      </c>
      <c r="E65" s="21" t="s">
        <v>121</v>
      </c>
      <c r="F65" s="33" t="s">
        <v>122</v>
      </c>
      <c r="G65" s="57"/>
      <c r="H65" s="54"/>
      <c r="I65" s="67"/>
      <c r="J65" s="57">
        <f t="shared" si="4"/>
        <v>0</v>
      </c>
      <c r="K65" s="57">
        <f>(J65+J66+J71+J72+J73+J74+J75+J76)*0.05*N2</f>
        <v>0</v>
      </c>
      <c r="L65" s="57">
        <f>K65/0.05*0.25</f>
        <v>0</v>
      </c>
      <c r="M65" s="57">
        <f>L65-K65-3300</f>
        <v>-3300</v>
      </c>
      <c r="N65" s="33"/>
    </row>
    <row r="66" spans="1:14" ht="14.25" customHeight="1">
      <c r="A66" s="64">
        <v>43556</v>
      </c>
      <c r="B66" s="62" t="s">
        <v>263</v>
      </c>
      <c r="C66" s="103"/>
      <c r="D66" s="21" t="s">
        <v>120</v>
      </c>
      <c r="E66" s="21" t="s">
        <v>121</v>
      </c>
      <c r="F66" s="33" t="s">
        <v>124</v>
      </c>
      <c r="G66" s="57"/>
      <c r="H66" s="54"/>
      <c r="I66" s="67"/>
      <c r="J66" s="57">
        <f t="shared" si="4"/>
        <v>0</v>
      </c>
      <c r="K66" s="57"/>
      <c r="L66" s="57"/>
      <c r="M66" s="57"/>
      <c r="N66" s="33"/>
    </row>
    <row r="67" spans="1:14" ht="14.25" customHeight="1">
      <c r="A67" s="64">
        <v>43556</v>
      </c>
      <c r="B67" s="62" t="s">
        <v>263</v>
      </c>
      <c r="C67" s="103"/>
      <c r="D67" s="21" t="s">
        <v>126</v>
      </c>
      <c r="E67" s="21" t="s">
        <v>113</v>
      </c>
      <c r="F67" s="33" t="s">
        <v>114</v>
      </c>
      <c r="G67" s="57"/>
      <c r="H67" s="54"/>
      <c r="I67" s="68"/>
      <c r="J67" s="57">
        <f t="shared" si="4"/>
        <v>0</v>
      </c>
      <c r="K67" s="57"/>
      <c r="L67" s="57"/>
      <c r="M67" s="57"/>
      <c r="N67" s="33"/>
    </row>
    <row r="68" spans="1:14" ht="14.25" customHeight="1">
      <c r="A68" s="64">
        <v>43556</v>
      </c>
      <c r="B68" s="62" t="s">
        <v>263</v>
      </c>
      <c r="C68" s="103"/>
      <c r="D68" s="21" t="s">
        <v>126</v>
      </c>
      <c r="E68" s="21" t="s">
        <v>113</v>
      </c>
      <c r="F68" s="33" t="s">
        <v>115</v>
      </c>
      <c r="G68" s="57"/>
      <c r="H68" s="54"/>
      <c r="I68" s="67"/>
      <c r="J68" s="57">
        <f t="shared" si="4"/>
        <v>0</v>
      </c>
      <c r="K68" s="57"/>
      <c r="L68" s="57"/>
      <c r="M68" s="57"/>
      <c r="N68" s="33"/>
    </row>
    <row r="69" spans="1:14" ht="14.25" customHeight="1">
      <c r="A69" s="64">
        <v>43556</v>
      </c>
      <c r="B69" s="62" t="s">
        <v>263</v>
      </c>
      <c r="C69" s="103"/>
      <c r="D69" s="21" t="s">
        <v>112</v>
      </c>
      <c r="E69" s="21" t="s">
        <v>113</v>
      </c>
      <c r="F69" s="33" t="s">
        <v>114</v>
      </c>
      <c r="G69" s="57"/>
      <c r="H69" s="54"/>
      <c r="I69" s="67"/>
      <c r="J69" s="57">
        <f t="shared" si="4"/>
        <v>0</v>
      </c>
      <c r="K69" s="57"/>
      <c r="L69" s="57"/>
      <c r="M69" s="57"/>
      <c r="N69" s="33"/>
    </row>
    <row r="70" spans="1:14" ht="14.25" customHeight="1">
      <c r="A70" s="64">
        <v>43556</v>
      </c>
      <c r="B70" s="62" t="s">
        <v>263</v>
      </c>
      <c r="C70" s="103"/>
      <c r="D70" s="21" t="s">
        <v>112</v>
      </c>
      <c r="E70" s="21" t="s">
        <v>113</v>
      </c>
      <c r="F70" s="33" t="s">
        <v>115</v>
      </c>
      <c r="G70" s="57"/>
      <c r="H70" s="54"/>
      <c r="I70" s="67"/>
      <c r="J70" s="57">
        <f t="shared" si="4"/>
        <v>0</v>
      </c>
      <c r="K70" s="57"/>
      <c r="L70" s="57"/>
      <c r="M70" s="57"/>
      <c r="N70" s="33"/>
    </row>
    <row r="71" spans="1:14" ht="14.25" customHeight="1">
      <c r="A71" s="64">
        <v>43556</v>
      </c>
      <c r="B71" s="62" t="s">
        <v>263</v>
      </c>
      <c r="C71" s="103"/>
      <c r="D71" s="21" t="s">
        <v>123</v>
      </c>
      <c r="E71" s="21" t="s">
        <v>121</v>
      </c>
      <c r="F71" s="33" t="s">
        <v>122</v>
      </c>
      <c r="G71" s="57"/>
      <c r="H71" s="54"/>
      <c r="I71" s="67"/>
      <c r="J71" s="57">
        <f t="shared" si="4"/>
        <v>0</v>
      </c>
      <c r="K71" s="57"/>
      <c r="L71" s="57"/>
      <c r="M71" s="57"/>
      <c r="N71" s="33"/>
    </row>
    <row r="72" spans="1:14" ht="14.25" customHeight="1">
      <c r="A72" s="64">
        <v>43556</v>
      </c>
      <c r="B72" s="62" t="s">
        <v>263</v>
      </c>
      <c r="C72" s="103"/>
      <c r="D72" s="21" t="s">
        <v>123</v>
      </c>
      <c r="E72" s="21" t="s">
        <v>121</v>
      </c>
      <c r="F72" s="33" t="s">
        <v>124</v>
      </c>
      <c r="G72" s="57"/>
      <c r="H72" s="54"/>
      <c r="I72" s="67"/>
      <c r="J72" s="57">
        <f t="shared" si="4"/>
        <v>0</v>
      </c>
      <c r="K72" s="57"/>
      <c r="L72" s="57"/>
      <c r="M72" s="57"/>
      <c r="N72" s="33"/>
    </row>
    <row r="73" spans="1:14" ht="14.25" customHeight="1">
      <c r="A73" s="64">
        <v>43556</v>
      </c>
      <c r="B73" s="62" t="s">
        <v>263</v>
      </c>
      <c r="C73" s="103"/>
      <c r="D73" s="21" t="s">
        <v>125</v>
      </c>
      <c r="E73" s="21" t="s">
        <v>121</v>
      </c>
      <c r="F73" s="33" t="s">
        <v>122</v>
      </c>
      <c r="G73" s="57"/>
      <c r="H73" s="54"/>
      <c r="I73" s="68"/>
      <c r="J73" s="57">
        <f t="shared" si="4"/>
        <v>0</v>
      </c>
      <c r="K73" s="57"/>
      <c r="L73" s="57"/>
      <c r="M73" s="57"/>
      <c r="N73" s="33"/>
    </row>
    <row r="74" spans="1:14" ht="14.25" customHeight="1">
      <c r="A74" s="64">
        <v>43556</v>
      </c>
      <c r="B74" s="62" t="s">
        <v>263</v>
      </c>
      <c r="C74" s="103"/>
      <c r="D74" s="21" t="s">
        <v>125</v>
      </c>
      <c r="E74" s="21" t="s">
        <v>121</v>
      </c>
      <c r="F74" s="33" t="s">
        <v>124</v>
      </c>
      <c r="G74" s="57"/>
      <c r="H74" s="54"/>
      <c r="I74" s="67"/>
      <c r="J74" s="57">
        <f t="shared" si="4"/>
        <v>0</v>
      </c>
      <c r="K74" s="57"/>
      <c r="L74" s="57"/>
      <c r="M74" s="57"/>
      <c r="N74" s="33"/>
    </row>
    <row r="75" spans="1:14" ht="14.25" customHeight="1">
      <c r="A75" s="64">
        <v>43556</v>
      </c>
      <c r="B75" s="62" t="s">
        <v>263</v>
      </c>
      <c r="C75" s="103"/>
      <c r="D75" s="21" t="s">
        <v>286</v>
      </c>
      <c r="E75" s="21" t="s">
        <v>121</v>
      </c>
      <c r="F75" s="33" t="s">
        <v>122</v>
      </c>
      <c r="G75" s="57"/>
      <c r="H75" s="54"/>
      <c r="I75" s="67"/>
      <c r="J75" s="57">
        <f t="shared" si="4"/>
        <v>0</v>
      </c>
      <c r="K75" s="57"/>
      <c r="L75" s="57"/>
      <c r="M75" s="57"/>
      <c r="N75" s="33"/>
    </row>
    <row r="76" spans="1:14" ht="14.25" customHeight="1">
      <c r="A76" s="64">
        <v>43556</v>
      </c>
      <c r="B76" s="62" t="s">
        <v>263</v>
      </c>
      <c r="C76" s="103"/>
      <c r="D76" s="21" t="s">
        <v>286</v>
      </c>
      <c r="E76" s="21" t="s">
        <v>121</v>
      </c>
      <c r="F76" s="33" t="s">
        <v>124</v>
      </c>
      <c r="G76" s="57"/>
      <c r="H76" s="54"/>
      <c r="I76" s="68"/>
      <c r="J76" s="57">
        <f t="shared" si="4"/>
        <v>0</v>
      </c>
      <c r="K76" s="57"/>
      <c r="L76" s="57"/>
      <c r="M76" s="57"/>
      <c r="N76" s="33"/>
    </row>
    <row r="77" spans="1:14" ht="14.25" customHeight="1">
      <c r="A77" s="64"/>
      <c r="B77" s="62"/>
      <c r="C77" s="103"/>
      <c r="D77" s="21" t="s">
        <v>134</v>
      </c>
      <c r="E77" s="21" t="s">
        <v>113</v>
      </c>
      <c r="F77" s="33" t="s">
        <v>135</v>
      </c>
      <c r="G77" s="57"/>
      <c r="H77" s="54"/>
      <c r="I77" s="67"/>
      <c r="J77" s="57">
        <f t="shared" si="4"/>
        <v>0</v>
      </c>
      <c r="K77" s="57"/>
      <c r="L77" s="57"/>
      <c r="M77" s="57"/>
      <c r="N77" s="33"/>
    </row>
    <row r="78" spans="1:14" ht="14.25" customHeight="1">
      <c r="A78" s="64">
        <v>43556</v>
      </c>
      <c r="B78" s="62" t="s">
        <v>263</v>
      </c>
      <c r="C78" s="102" t="s">
        <v>139</v>
      </c>
      <c r="D78" s="21" t="s">
        <v>140</v>
      </c>
      <c r="E78" s="21" t="s">
        <v>141</v>
      </c>
      <c r="F78" s="33" t="s">
        <v>153</v>
      </c>
      <c r="G78" s="57"/>
      <c r="H78" s="54"/>
      <c r="I78" s="68"/>
      <c r="J78" s="57">
        <f t="shared" si="4"/>
        <v>0</v>
      </c>
      <c r="K78" s="57"/>
      <c r="L78" s="57"/>
      <c r="M78" s="57"/>
      <c r="N78" s="33"/>
    </row>
    <row r="79" spans="1:14" ht="14.25" customHeight="1">
      <c r="A79" s="64">
        <v>43556</v>
      </c>
      <c r="B79" s="62" t="s">
        <v>263</v>
      </c>
      <c r="C79" s="103"/>
      <c r="D79" s="21" t="s">
        <v>140</v>
      </c>
      <c r="E79" s="21" t="s">
        <v>141</v>
      </c>
      <c r="F79" s="33" t="s">
        <v>142</v>
      </c>
      <c r="G79" s="57"/>
      <c r="H79" s="54"/>
      <c r="I79" s="67"/>
      <c r="J79" s="57">
        <f t="shared" si="4"/>
        <v>0</v>
      </c>
      <c r="K79" s="57"/>
      <c r="L79" s="57"/>
      <c r="M79" s="57"/>
      <c r="N79" s="33"/>
    </row>
    <row r="80" spans="1:14" ht="14.25" customHeight="1">
      <c r="A80" s="64"/>
      <c r="B80" s="62"/>
      <c r="C80" s="103"/>
      <c r="D80" s="21" t="s">
        <v>140</v>
      </c>
      <c r="E80" s="21" t="s">
        <v>141</v>
      </c>
      <c r="F80" s="33" t="s">
        <v>143</v>
      </c>
      <c r="G80" s="57"/>
      <c r="H80" s="54"/>
      <c r="I80" s="67"/>
      <c r="J80" s="57">
        <f t="shared" si="4"/>
        <v>0</v>
      </c>
      <c r="K80" s="57"/>
      <c r="L80" s="57"/>
      <c r="M80" s="57"/>
      <c r="N80" s="33"/>
    </row>
    <row r="81" spans="1:14">
      <c r="A81" s="64">
        <v>43556</v>
      </c>
      <c r="B81" s="62" t="s">
        <v>263</v>
      </c>
      <c r="C81" s="103"/>
      <c r="D81" s="21" t="s">
        <v>146</v>
      </c>
      <c r="E81" s="21" t="s">
        <v>144</v>
      </c>
      <c r="F81" s="33" t="s">
        <v>167</v>
      </c>
      <c r="G81" s="57"/>
      <c r="H81" s="54"/>
      <c r="I81" s="67"/>
      <c r="J81" s="57">
        <f t="shared" si="4"/>
        <v>0</v>
      </c>
      <c r="K81" s="57"/>
      <c r="L81" s="57">
        <f>K81/0.04*0.25</f>
        <v>0</v>
      </c>
      <c r="M81" s="57"/>
      <c r="N81" s="33"/>
    </row>
    <row r="82" spans="1:14">
      <c r="A82" s="64">
        <v>43556</v>
      </c>
      <c r="B82" s="62" t="s">
        <v>263</v>
      </c>
      <c r="C82" s="103"/>
      <c r="D82" s="21" t="s">
        <v>146</v>
      </c>
      <c r="E82" s="21" t="s">
        <v>144</v>
      </c>
      <c r="F82" s="33" t="s">
        <v>145</v>
      </c>
      <c r="G82" s="57"/>
      <c r="H82" s="54"/>
      <c r="I82" s="67"/>
      <c r="J82" s="57">
        <f t="shared" ref="J82:J91" si="5">(G82*H82*0.98)-I82</f>
        <v>0</v>
      </c>
      <c r="K82" s="57"/>
      <c r="L82" s="57"/>
      <c r="M82" s="57"/>
      <c r="N82" s="33"/>
    </row>
    <row r="83" spans="1:14">
      <c r="A83" s="64">
        <v>43556</v>
      </c>
      <c r="B83" s="62" t="s">
        <v>263</v>
      </c>
      <c r="C83" s="103"/>
      <c r="D83" s="21" t="s">
        <v>146</v>
      </c>
      <c r="E83" s="21" t="s">
        <v>144</v>
      </c>
      <c r="F83" s="33" t="s">
        <v>147</v>
      </c>
      <c r="G83" s="57"/>
      <c r="H83" s="54"/>
      <c r="I83" s="67"/>
      <c r="J83" s="57">
        <f t="shared" si="5"/>
        <v>0</v>
      </c>
      <c r="K83" s="57"/>
      <c r="L83" s="57"/>
      <c r="M83" s="57"/>
      <c r="N83" s="33"/>
    </row>
    <row r="84" spans="1:14">
      <c r="A84" s="64">
        <v>43556</v>
      </c>
      <c r="B84" s="62" t="s">
        <v>263</v>
      </c>
      <c r="C84" s="103"/>
      <c r="D84" s="21" t="s">
        <v>152</v>
      </c>
      <c r="E84" s="21" t="s">
        <v>141</v>
      </c>
      <c r="F84" s="33" t="s">
        <v>153</v>
      </c>
      <c r="G84" s="57"/>
      <c r="H84" s="54"/>
      <c r="I84" s="67"/>
      <c r="J84" s="57">
        <f t="shared" si="5"/>
        <v>0</v>
      </c>
      <c r="K84" s="57">
        <f>(J84+J85+J86+J78+J79+J80)*0.03*N2</f>
        <v>0</v>
      </c>
      <c r="L84" s="57">
        <f>K84/0.03*0.25</f>
        <v>0</v>
      </c>
      <c r="M84" s="57">
        <f>L84-K84</f>
        <v>0</v>
      </c>
      <c r="N84" s="33"/>
    </row>
    <row r="85" spans="1:14">
      <c r="A85" s="64">
        <v>43556</v>
      </c>
      <c r="B85" s="62" t="s">
        <v>263</v>
      </c>
      <c r="C85" s="103"/>
      <c r="D85" s="21" t="s">
        <v>152</v>
      </c>
      <c r="E85" s="21" t="s">
        <v>141</v>
      </c>
      <c r="F85" s="33" t="s">
        <v>142</v>
      </c>
      <c r="G85" s="57"/>
      <c r="H85" s="54"/>
      <c r="I85" s="67"/>
      <c r="J85" s="57">
        <f t="shared" si="5"/>
        <v>0</v>
      </c>
      <c r="K85" s="57"/>
      <c r="L85" s="57"/>
      <c r="M85" s="57"/>
      <c r="N85" s="33"/>
    </row>
    <row r="86" spans="1:14">
      <c r="A86" s="64">
        <v>43556</v>
      </c>
      <c r="B86" s="62" t="s">
        <v>263</v>
      </c>
      <c r="C86" s="103"/>
      <c r="D86" s="21" t="s">
        <v>152</v>
      </c>
      <c r="E86" s="21" t="s">
        <v>141</v>
      </c>
      <c r="F86" s="33" t="s">
        <v>143</v>
      </c>
      <c r="G86" s="57"/>
      <c r="H86" s="54"/>
      <c r="I86" s="67"/>
      <c r="J86" s="57">
        <f t="shared" si="5"/>
        <v>0</v>
      </c>
      <c r="K86" s="57"/>
      <c r="L86" s="57"/>
      <c r="M86" s="57"/>
      <c r="N86" s="33"/>
    </row>
    <row r="87" spans="1:14">
      <c r="A87" s="64"/>
      <c r="B87" s="62"/>
      <c r="C87" s="103"/>
      <c r="D87" s="95" t="s">
        <v>158</v>
      </c>
      <c r="E87" s="75" t="s">
        <v>149</v>
      </c>
      <c r="F87" s="75" t="s">
        <v>150</v>
      </c>
      <c r="G87" s="76"/>
      <c r="H87" s="77"/>
      <c r="I87" s="67"/>
      <c r="J87" s="57">
        <f t="shared" si="5"/>
        <v>0</v>
      </c>
      <c r="K87" s="57"/>
      <c r="L87" s="57"/>
      <c r="M87" s="57"/>
      <c r="N87" s="33"/>
    </row>
    <row r="88" spans="1:14">
      <c r="A88" s="64"/>
      <c r="B88" s="62"/>
      <c r="C88" s="103"/>
      <c r="D88" s="95" t="s">
        <v>158</v>
      </c>
      <c r="E88" s="75" t="s">
        <v>149</v>
      </c>
      <c r="F88" s="75" t="s">
        <v>151</v>
      </c>
      <c r="G88" s="76"/>
      <c r="H88" s="77"/>
      <c r="I88" s="67"/>
      <c r="J88" s="57">
        <f t="shared" si="5"/>
        <v>0</v>
      </c>
      <c r="K88" s="57"/>
      <c r="L88" s="57"/>
      <c r="M88" s="57"/>
      <c r="N88" s="33"/>
    </row>
    <row r="89" spans="1:14">
      <c r="A89" s="64"/>
      <c r="B89" s="62"/>
      <c r="C89" s="103"/>
      <c r="D89" s="95" t="s">
        <v>148</v>
      </c>
      <c r="E89" s="75" t="s">
        <v>149</v>
      </c>
      <c r="F89" s="75" t="s">
        <v>159</v>
      </c>
      <c r="G89" s="76"/>
      <c r="H89" s="77"/>
      <c r="I89" s="67"/>
      <c r="J89" s="57">
        <f t="shared" si="5"/>
        <v>0</v>
      </c>
      <c r="K89" s="57"/>
      <c r="L89" s="57"/>
      <c r="M89" s="57"/>
      <c r="N89" s="33"/>
    </row>
    <row r="90" spans="1:14">
      <c r="A90" s="64">
        <v>43556</v>
      </c>
      <c r="B90" s="62" t="s">
        <v>263</v>
      </c>
      <c r="C90" s="103"/>
      <c r="D90" s="75" t="s">
        <v>148</v>
      </c>
      <c r="E90" s="75" t="s">
        <v>149</v>
      </c>
      <c r="F90" s="75" t="s">
        <v>150</v>
      </c>
      <c r="G90" s="76"/>
      <c r="H90" s="77"/>
      <c r="I90" s="67"/>
      <c r="J90" s="57">
        <f t="shared" si="5"/>
        <v>0</v>
      </c>
      <c r="K90" s="57">
        <f>(J90+J91+J115+J117+J89+J88+J87+J116)*0.25*N2</f>
        <v>0</v>
      </c>
      <c r="L90" s="57"/>
      <c r="M90" s="57"/>
      <c r="N90" s="33"/>
    </row>
    <row r="91" spans="1:14">
      <c r="A91" s="64">
        <v>43556</v>
      </c>
      <c r="B91" s="62" t="s">
        <v>263</v>
      </c>
      <c r="C91" s="103"/>
      <c r="D91" s="75" t="s">
        <v>148</v>
      </c>
      <c r="E91" s="75" t="s">
        <v>149</v>
      </c>
      <c r="F91" s="75" t="s">
        <v>151</v>
      </c>
      <c r="G91" s="76"/>
      <c r="H91" s="77"/>
      <c r="I91" s="68"/>
      <c r="J91" s="57">
        <f t="shared" si="5"/>
        <v>0</v>
      </c>
      <c r="K91" s="57"/>
      <c r="L91" s="57"/>
      <c r="M91" s="57"/>
      <c r="N91" s="33"/>
    </row>
    <row r="92" spans="1:14">
      <c r="A92" s="64">
        <v>43556</v>
      </c>
      <c r="B92" s="62" t="s">
        <v>263</v>
      </c>
      <c r="C92" s="103"/>
      <c r="D92" s="21" t="s">
        <v>166</v>
      </c>
      <c r="E92" s="21" t="s">
        <v>144</v>
      </c>
      <c r="F92" s="33" t="s">
        <v>167</v>
      </c>
      <c r="G92" s="57"/>
      <c r="H92" s="54"/>
      <c r="I92" s="67"/>
      <c r="J92" s="57">
        <f t="shared" ref="J92:J113" si="6">(G92*H92*0.98)-I92</f>
        <v>0</v>
      </c>
      <c r="K92" s="57">
        <f>(J92+J93+J870+J94+J81+J82+J83)*0.05*N2</f>
        <v>0</v>
      </c>
      <c r="L92" s="57">
        <f>K92/0.05*0.25</f>
        <v>0</v>
      </c>
      <c r="M92" s="57">
        <f>L92-K92</f>
        <v>0</v>
      </c>
      <c r="N92" s="33"/>
    </row>
    <row r="93" spans="1:14">
      <c r="A93" s="64">
        <v>43556</v>
      </c>
      <c r="B93" s="62" t="s">
        <v>263</v>
      </c>
      <c r="C93" s="103"/>
      <c r="D93" s="21" t="s">
        <v>166</v>
      </c>
      <c r="E93" s="21" t="s">
        <v>144</v>
      </c>
      <c r="F93" s="33" t="s">
        <v>145</v>
      </c>
      <c r="G93" s="57"/>
      <c r="H93" s="54"/>
      <c r="I93" s="67"/>
      <c r="J93" s="57">
        <f t="shared" si="6"/>
        <v>0</v>
      </c>
      <c r="K93" s="57"/>
      <c r="L93" s="57"/>
      <c r="M93" s="57"/>
      <c r="N93" s="33"/>
    </row>
    <row r="94" spans="1:14">
      <c r="A94" s="64">
        <v>43556</v>
      </c>
      <c r="B94" s="62" t="s">
        <v>263</v>
      </c>
      <c r="C94" s="103"/>
      <c r="D94" s="21" t="s">
        <v>166</v>
      </c>
      <c r="E94" s="21" t="s">
        <v>144</v>
      </c>
      <c r="F94" s="33" t="s">
        <v>147</v>
      </c>
      <c r="G94" s="57"/>
      <c r="H94" s="54"/>
      <c r="I94" s="67"/>
      <c r="J94" s="57">
        <f t="shared" si="6"/>
        <v>0</v>
      </c>
      <c r="K94" s="57"/>
      <c r="L94" s="57"/>
      <c r="M94" s="57"/>
      <c r="N94" s="33"/>
    </row>
    <row r="95" spans="1:14">
      <c r="A95" s="64">
        <v>43556</v>
      </c>
      <c r="B95" s="62" t="s">
        <v>263</v>
      </c>
      <c r="C95" s="103"/>
      <c r="D95" s="21" t="s">
        <v>175</v>
      </c>
      <c r="E95" s="21" t="s">
        <v>176</v>
      </c>
      <c r="F95" s="33" t="s">
        <v>177</v>
      </c>
      <c r="G95" s="57"/>
      <c r="H95" s="54"/>
      <c r="I95" s="67"/>
      <c r="J95" s="57">
        <f t="shared" si="6"/>
        <v>0</v>
      </c>
      <c r="K95" s="57">
        <f>(J95+J96+J97+J98+J99+J100)*0.03*N2</f>
        <v>0</v>
      </c>
      <c r="L95" s="57">
        <f>K95/0.03*0.25</f>
        <v>0</v>
      </c>
      <c r="M95" s="57">
        <f>L95-K95</f>
        <v>0</v>
      </c>
      <c r="N95" s="33"/>
    </row>
    <row r="96" spans="1:14">
      <c r="A96" s="64">
        <v>43556</v>
      </c>
      <c r="B96" s="62" t="s">
        <v>263</v>
      </c>
      <c r="C96" s="103"/>
      <c r="D96" s="21" t="s">
        <v>175</v>
      </c>
      <c r="E96" s="21" t="s">
        <v>176</v>
      </c>
      <c r="F96" s="33" t="s">
        <v>178</v>
      </c>
      <c r="G96" s="57"/>
      <c r="H96" s="54"/>
      <c r="I96" s="67"/>
      <c r="J96" s="57">
        <f t="shared" si="6"/>
        <v>0</v>
      </c>
      <c r="K96" s="57"/>
      <c r="L96" s="57"/>
      <c r="M96" s="57"/>
      <c r="N96" s="33"/>
    </row>
    <row r="97" spans="1:14">
      <c r="A97" s="64">
        <v>43556</v>
      </c>
      <c r="B97" s="62" t="s">
        <v>263</v>
      </c>
      <c r="C97" s="103"/>
      <c r="D97" s="21" t="s">
        <v>175</v>
      </c>
      <c r="E97" s="21" t="s">
        <v>176</v>
      </c>
      <c r="F97" s="33" t="s">
        <v>179</v>
      </c>
      <c r="G97" s="57"/>
      <c r="H97" s="54"/>
      <c r="I97" s="67"/>
      <c r="J97" s="57">
        <f t="shared" si="6"/>
        <v>0</v>
      </c>
      <c r="K97" s="57"/>
      <c r="L97" s="57"/>
      <c r="M97" s="57"/>
      <c r="N97" s="33"/>
    </row>
    <row r="98" spans="1:14">
      <c r="A98" s="64"/>
      <c r="B98" s="62"/>
      <c r="C98" s="103"/>
      <c r="D98" s="21" t="s">
        <v>180</v>
      </c>
      <c r="E98" s="21" t="s">
        <v>176</v>
      </c>
      <c r="F98" s="33" t="s">
        <v>177</v>
      </c>
      <c r="G98" s="57"/>
      <c r="H98" s="54"/>
      <c r="I98" s="67"/>
      <c r="J98" s="57">
        <f t="shared" si="6"/>
        <v>0</v>
      </c>
      <c r="K98" s="57"/>
      <c r="L98" s="57"/>
      <c r="M98" s="57"/>
      <c r="N98" s="33"/>
    </row>
    <row r="99" spans="1:14">
      <c r="A99" s="64"/>
      <c r="B99" s="62"/>
      <c r="C99" s="103"/>
      <c r="D99" s="21" t="s">
        <v>180</v>
      </c>
      <c r="E99" s="21" t="s">
        <v>176</v>
      </c>
      <c r="F99" s="33" t="s">
        <v>178</v>
      </c>
      <c r="G99" s="57"/>
      <c r="H99" s="54"/>
      <c r="I99" s="67"/>
      <c r="J99" s="57">
        <f t="shared" si="6"/>
        <v>0</v>
      </c>
      <c r="K99" s="57"/>
      <c r="L99" s="57"/>
      <c r="M99" s="57"/>
      <c r="N99" s="33"/>
    </row>
    <row r="100" spans="1:14">
      <c r="A100" s="64"/>
      <c r="B100" s="62"/>
      <c r="C100" s="103"/>
      <c r="D100" s="21" t="s">
        <v>180</v>
      </c>
      <c r="E100" s="21" t="s">
        <v>176</v>
      </c>
      <c r="F100" s="33" t="s">
        <v>179</v>
      </c>
      <c r="G100" s="57"/>
      <c r="H100" s="54"/>
      <c r="I100" s="67"/>
      <c r="J100" s="57">
        <f t="shared" si="6"/>
        <v>0</v>
      </c>
      <c r="K100" s="57"/>
      <c r="L100" s="57"/>
      <c r="M100" s="57"/>
      <c r="N100" s="33"/>
    </row>
    <row r="101" spans="1:14">
      <c r="A101" s="64">
        <v>43556</v>
      </c>
      <c r="B101" s="62" t="s">
        <v>263</v>
      </c>
      <c r="C101" s="103"/>
      <c r="D101" s="21" t="s">
        <v>88</v>
      </c>
      <c r="E101" s="21" t="s">
        <v>287</v>
      </c>
      <c r="F101" s="33" t="s">
        <v>288</v>
      </c>
      <c r="G101" s="57"/>
      <c r="H101" s="54"/>
      <c r="I101" s="67"/>
      <c r="J101" s="57">
        <f t="shared" si="6"/>
        <v>0</v>
      </c>
      <c r="K101" s="57"/>
      <c r="L101" s="57"/>
      <c r="M101" s="57"/>
      <c r="N101" s="33"/>
    </row>
    <row r="102" spans="1:14">
      <c r="A102" s="64">
        <v>43556</v>
      </c>
      <c r="B102" s="62" t="s">
        <v>263</v>
      </c>
      <c r="C102" s="103"/>
      <c r="D102" s="21" t="s">
        <v>88</v>
      </c>
      <c r="E102" s="21" t="s">
        <v>287</v>
      </c>
      <c r="F102" s="33" t="s">
        <v>289</v>
      </c>
      <c r="G102" s="57"/>
      <c r="H102" s="54"/>
      <c r="I102" s="67"/>
      <c r="J102" s="57">
        <f t="shared" si="6"/>
        <v>0</v>
      </c>
      <c r="K102" s="57"/>
      <c r="L102" s="57"/>
      <c r="M102" s="57"/>
      <c r="N102" s="33"/>
    </row>
    <row r="103" spans="1:14">
      <c r="A103" s="64">
        <v>43556</v>
      </c>
      <c r="B103" s="62" t="s">
        <v>263</v>
      </c>
      <c r="C103" s="103"/>
      <c r="D103" s="21" t="s">
        <v>154</v>
      </c>
      <c r="E103" s="21" t="s">
        <v>181</v>
      </c>
      <c r="F103" s="33" t="s">
        <v>182</v>
      </c>
      <c r="G103" s="57"/>
      <c r="H103" s="54"/>
      <c r="I103" s="68"/>
      <c r="J103" s="57">
        <f t="shared" si="6"/>
        <v>0</v>
      </c>
      <c r="K103" s="57">
        <f>(J103+J104+J105)*0.05*N2</f>
        <v>0</v>
      </c>
      <c r="L103" s="57">
        <f>K103/0.05*0.25</f>
        <v>0</v>
      </c>
      <c r="M103" s="57">
        <f>L103-K103</f>
        <v>0</v>
      </c>
      <c r="N103" s="33"/>
    </row>
    <row r="104" spans="1:14">
      <c r="A104" s="64">
        <v>43556</v>
      </c>
      <c r="B104" s="62" t="s">
        <v>263</v>
      </c>
      <c r="C104" s="103"/>
      <c r="D104" s="21" t="s">
        <v>154</v>
      </c>
      <c r="E104" s="21" t="s">
        <v>181</v>
      </c>
      <c r="F104" s="33" t="s">
        <v>183</v>
      </c>
      <c r="G104" s="57"/>
      <c r="H104" s="54"/>
      <c r="I104" s="68"/>
      <c r="J104" s="57">
        <f t="shared" si="6"/>
        <v>0</v>
      </c>
      <c r="K104" s="57"/>
      <c r="L104" s="57"/>
      <c r="M104" s="57"/>
      <c r="N104" s="33"/>
    </row>
    <row r="105" spans="1:14">
      <c r="A105" s="64">
        <v>43556</v>
      </c>
      <c r="B105" s="62" t="s">
        <v>263</v>
      </c>
      <c r="C105" s="103"/>
      <c r="D105" s="21" t="s">
        <v>154</v>
      </c>
      <c r="E105" s="21" t="s">
        <v>181</v>
      </c>
      <c r="F105" s="33" t="s">
        <v>184</v>
      </c>
      <c r="G105" s="57"/>
      <c r="H105" s="54"/>
      <c r="I105" s="68"/>
      <c r="J105" s="57">
        <f t="shared" si="6"/>
        <v>0</v>
      </c>
      <c r="K105" s="57"/>
      <c r="L105" s="57"/>
      <c r="M105" s="57"/>
      <c r="N105" s="33"/>
    </row>
    <row r="106" spans="1:14">
      <c r="A106" s="64">
        <v>43556</v>
      </c>
      <c r="B106" s="62" t="s">
        <v>263</v>
      </c>
      <c r="C106" s="103"/>
      <c r="D106" s="21" t="s">
        <v>160</v>
      </c>
      <c r="E106" s="21" t="s">
        <v>161</v>
      </c>
      <c r="F106" s="33" t="s">
        <v>290</v>
      </c>
      <c r="G106" s="57"/>
      <c r="H106" s="54"/>
      <c r="I106" s="67"/>
      <c r="J106" s="57">
        <f t="shared" si="6"/>
        <v>0</v>
      </c>
      <c r="K106" s="57">
        <f>(J106+J107+J108)*0.04*N2</f>
        <v>0</v>
      </c>
      <c r="L106" s="57">
        <f>K106/0.04*0.25</f>
        <v>0</v>
      </c>
      <c r="M106" s="57">
        <f>L106-K106</f>
        <v>0</v>
      </c>
      <c r="N106" s="33"/>
    </row>
    <row r="107" spans="1:14">
      <c r="A107" s="64">
        <v>43556</v>
      </c>
      <c r="B107" s="62" t="s">
        <v>263</v>
      </c>
      <c r="C107" s="103"/>
      <c r="D107" s="21" t="s">
        <v>160</v>
      </c>
      <c r="E107" s="21" t="s">
        <v>161</v>
      </c>
      <c r="F107" s="33" t="s">
        <v>162</v>
      </c>
      <c r="G107" s="57"/>
      <c r="H107" s="54"/>
      <c r="I107" s="67"/>
      <c r="J107" s="57">
        <f t="shared" si="6"/>
        <v>0</v>
      </c>
      <c r="K107" s="57"/>
      <c r="L107" s="57"/>
      <c r="M107" s="57"/>
      <c r="N107" s="33"/>
    </row>
    <row r="108" spans="1:14">
      <c r="A108" s="64"/>
      <c r="B108" s="62"/>
      <c r="C108" s="103"/>
      <c r="D108" s="21" t="s">
        <v>160</v>
      </c>
      <c r="E108" s="21" t="s">
        <v>161</v>
      </c>
      <c r="F108" s="33" t="s">
        <v>163</v>
      </c>
      <c r="G108" s="57"/>
      <c r="H108" s="54"/>
      <c r="I108" s="67"/>
      <c r="J108" s="57">
        <f t="shared" si="6"/>
        <v>0</v>
      </c>
      <c r="K108" s="57"/>
      <c r="L108" s="57"/>
      <c r="M108" s="57"/>
      <c r="N108" s="33"/>
    </row>
    <row r="109" spans="1:14">
      <c r="A109" s="64">
        <v>43556</v>
      </c>
      <c r="B109" s="62" t="s">
        <v>263</v>
      </c>
      <c r="C109" s="103"/>
      <c r="D109" s="21" t="s">
        <v>169</v>
      </c>
      <c r="E109" s="21" t="s">
        <v>170</v>
      </c>
      <c r="F109" s="33" t="s">
        <v>171</v>
      </c>
      <c r="G109" s="57"/>
      <c r="H109" s="54"/>
      <c r="I109" s="67"/>
      <c r="J109" s="57">
        <f t="shared" si="6"/>
        <v>0</v>
      </c>
      <c r="K109" s="57">
        <f>(J109+J110+J111+J112+J114+J113)*0.04*N2</f>
        <v>0</v>
      </c>
      <c r="L109" s="57">
        <f>K109/0.04*0.25</f>
        <v>0</v>
      </c>
      <c r="M109" s="57">
        <f>L109-K109</f>
        <v>0</v>
      </c>
      <c r="N109" s="33"/>
    </row>
    <row r="110" spans="1:14">
      <c r="A110" s="64">
        <v>43556</v>
      </c>
      <c r="B110" s="62" t="s">
        <v>263</v>
      </c>
      <c r="C110" s="103"/>
      <c r="D110" s="21" t="s">
        <v>169</v>
      </c>
      <c r="E110" s="21" t="s">
        <v>170</v>
      </c>
      <c r="F110" s="33" t="s">
        <v>172</v>
      </c>
      <c r="G110" s="57"/>
      <c r="H110" s="54"/>
      <c r="I110" s="67"/>
      <c r="J110" s="57">
        <f t="shared" si="6"/>
        <v>0</v>
      </c>
      <c r="K110" s="57"/>
      <c r="L110" s="57"/>
      <c r="M110" s="57"/>
      <c r="N110" s="33"/>
    </row>
    <row r="111" spans="1:14">
      <c r="A111" s="64">
        <v>43556</v>
      </c>
      <c r="B111" s="62" t="s">
        <v>263</v>
      </c>
      <c r="C111" s="103"/>
      <c r="D111" s="21" t="s">
        <v>169</v>
      </c>
      <c r="E111" s="21" t="s">
        <v>170</v>
      </c>
      <c r="F111" s="33" t="s">
        <v>173</v>
      </c>
      <c r="G111" s="57"/>
      <c r="H111" s="54"/>
      <c r="I111" s="67"/>
      <c r="J111" s="57">
        <f t="shared" si="6"/>
        <v>0</v>
      </c>
      <c r="K111" s="57"/>
      <c r="L111" s="57"/>
      <c r="M111" s="57"/>
      <c r="N111" s="33"/>
    </row>
    <row r="112" spans="1:14">
      <c r="A112" s="64"/>
      <c r="B112" s="62"/>
      <c r="C112" s="103"/>
      <c r="D112" s="21" t="s">
        <v>174</v>
      </c>
      <c r="E112" s="21" t="s">
        <v>170</v>
      </c>
      <c r="F112" s="33" t="s">
        <v>171</v>
      </c>
      <c r="G112" s="57"/>
      <c r="H112" s="54"/>
      <c r="I112" s="67"/>
      <c r="J112" s="57">
        <f t="shared" si="6"/>
        <v>0</v>
      </c>
      <c r="K112" s="57"/>
      <c r="L112" s="57"/>
      <c r="M112" s="57"/>
      <c r="N112" s="33"/>
    </row>
    <row r="113" spans="1:14">
      <c r="A113" s="64"/>
      <c r="B113" s="62"/>
      <c r="C113" s="103"/>
      <c r="D113" s="95" t="s">
        <v>174</v>
      </c>
      <c r="E113" s="21" t="s">
        <v>170</v>
      </c>
      <c r="F113" s="33" t="s">
        <v>172</v>
      </c>
      <c r="G113" s="57"/>
      <c r="H113" s="54"/>
      <c r="I113" s="67"/>
      <c r="J113" s="57">
        <f t="shared" si="6"/>
        <v>0</v>
      </c>
      <c r="K113" s="57"/>
      <c r="L113" s="57"/>
      <c r="M113" s="57"/>
      <c r="N113" s="33"/>
    </row>
    <row r="114" spans="1:14">
      <c r="A114" s="64"/>
      <c r="B114" s="62"/>
      <c r="C114" s="103"/>
      <c r="D114" s="21" t="s">
        <v>174</v>
      </c>
      <c r="E114" s="21" t="s">
        <v>170</v>
      </c>
      <c r="F114" s="33" t="s">
        <v>173</v>
      </c>
      <c r="G114" s="57"/>
      <c r="H114" s="54"/>
      <c r="I114" s="67"/>
      <c r="J114" s="57">
        <f t="shared" ref="J114:J122" si="7">(G114*H114*0.98)-I114</f>
        <v>0</v>
      </c>
      <c r="K114" s="57"/>
      <c r="L114" s="57"/>
      <c r="M114" s="57"/>
      <c r="N114" s="33"/>
    </row>
    <row r="115" spans="1:14">
      <c r="A115" s="64"/>
      <c r="B115" s="62"/>
      <c r="C115" s="103"/>
      <c r="D115" s="75" t="s">
        <v>164</v>
      </c>
      <c r="E115" s="75" t="s">
        <v>149</v>
      </c>
      <c r="F115" s="75" t="s">
        <v>159</v>
      </c>
      <c r="G115" s="76"/>
      <c r="H115" s="77"/>
      <c r="I115" s="67"/>
      <c r="J115" s="57">
        <f t="shared" si="7"/>
        <v>0</v>
      </c>
      <c r="K115" s="57"/>
      <c r="L115" s="57">
        <f>K115/0.03*0.25</f>
        <v>0</v>
      </c>
      <c r="M115" s="57">
        <f>L115-K115</f>
        <v>0</v>
      </c>
      <c r="N115" s="33"/>
    </row>
    <row r="116" spans="1:14">
      <c r="A116" s="64"/>
      <c r="B116" s="62"/>
      <c r="C116" s="103"/>
      <c r="D116" s="95" t="s">
        <v>164</v>
      </c>
      <c r="E116" s="75" t="s">
        <v>149</v>
      </c>
      <c r="F116" s="75" t="s">
        <v>150</v>
      </c>
      <c r="G116" s="76"/>
      <c r="H116" s="77"/>
      <c r="I116" s="67"/>
      <c r="J116" s="57">
        <f t="shared" si="7"/>
        <v>0</v>
      </c>
      <c r="K116" s="57"/>
      <c r="L116" s="57"/>
      <c r="M116" s="57"/>
      <c r="N116" s="33"/>
    </row>
    <row r="117" spans="1:14">
      <c r="A117" s="64"/>
      <c r="B117" s="62"/>
      <c r="C117" s="103"/>
      <c r="D117" s="75" t="s">
        <v>164</v>
      </c>
      <c r="E117" s="75" t="s">
        <v>149</v>
      </c>
      <c r="F117" s="75" t="s">
        <v>151</v>
      </c>
      <c r="G117" s="76"/>
      <c r="H117" s="77"/>
      <c r="I117" s="67"/>
      <c r="J117" s="57">
        <f t="shared" si="7"/>
        <v>0</v>
      </c>
      <c r="K117" s="57"/>
      <c r="L117" s="57"/>
      <c r="M117" s="57"/>
      <c r="N117" s="33"/>
    </row>
    <row r="118" spans="1:14">
      <c r="A118" s="64">
        <v>43556</v>
      </c>
      <c r="B118" s="62" t="s">
        <v>263</v>
      </c>
      <c r="C118" s="102" t="s">
        <v>257</v>
      </c>
      <c r="D118" s="21" t="s">
        <v>258</v>
      </c>
      <c r="E118" s="21" t="s">
        <v>291</v>
      </c>
      <c r="F118" s="33" t="s">
        <v>292</v>
      </c>
      <c r="G118" s="57"/>
      <c r="H118" s="54"/>
      <c r="I118" s="67"/>
      <c r="J118" s="57">
        <f t="shared" si="7"/>
        <v>0</v>
      </c>
      <c r="K118" s="57"/>
      <c r="L118" s="57"/>
      <c r="M118" s="57"/>
      <c r="N118" s="33"/>
    </row>
    <row r="119" spans="1:14">
      <c r="A119" s="64">
        <v>43556</v>
      </c>
      <c r="B119" s="62" t="s">
        <v>263</v>
      </c>
      <c r="C119" s="104"/>
      <c r="D119" s="21" t="s">
        <v>258</v>
      </c>
      <c r="E119" s="21" t="s">
        <v>117</v>
      </c>
      <c r="F119" s="33" t="s">
        <v>119</v>
      </c>
      <c r="G119" s="57"/>
      <c r="H119" s="54"/>
      <c r="I119" s="67"/>
      <c r="J119" s="57">
        <f t="shared" si="7"/>
        <v>0</v>
      </c>
      <c r="K119" s="57"/>
      <c r="L119" s="57"/>
      <c r="M119" s="57"/>
      <c r="N119" s="33"/>
    </row>
    <row r="120" spans="1:14">
      <c r="A120" s="64"/>
      <c r="B120" s="62"/>
      <c r="C120" s="103" t="s">
        <v>185</v>
      </c>
      <c r="D120" s="95" t="s">
        <v>186</v>
      </c>
      <c r="E120" s="21" t="s">
        <v>191</v>
      </c>
      <c r="F120" s="33" t="s">
        <v>192</v>
      </c>
      <c r="G120" s="57"/>
      <c r="H120" s="54"/>
      <c r="I120" s="67"/>
      <c r="J120" s="57">
        <f t="shared" si="7"/>
        <v>0</v>
      </c>
      <c r="K120" s="57"/>
      <c r="L120" s="57"/>
      <c r="M120" s="57"/>
      <c r="N120" s="33"/>
    </row>
    <row r="121" spans="1:14">
      <c r="A121" s="64">
        <v>43556</v>
      </c>
      <c r="B121" s="62" t="s">
        <v>263</v>
      </c>
      <c r="C121" s="103"/>
      <c r="D121" s="21" t="s">
        <v>186</v>
      </c>
      <c r="E121" s="21" t="s">
        <v>191</v>
      </c>
      <c r="F121" s="33" t="s">
        <v>193</v>
      </c>
      <c r="G121" s="57"/>
      <c r="H121" s="54"/>
      <c r="I121" s="67"/>
      <c r="J121" s="57">
        <f t="shared" si="7"/>
        <v>0</v>
      </c>
      <c r="K121" s="57">
        <f>(J121+J123+J124+J122+J120)*0.05*N2</f>
        <v>0</v>
      </c>
      <c r="L121" s="57">
        <f>K121/0.05*0.25</f>
        <v>0</v>
      </c>
      <c r="M121" s="57">
        <f>L121-K121-3300</f>
        <v>-3300</v>
      </c>
      <c r="N121" s="33"/>
    </row>
    <row r="122" spans="1:14">
      <c r="A122" s="64"/>
      <c r="B122" s="62"/>
      <c r="C122" s="103"/>
      <c r="D122" s="21" t="s">
        <v>189</v>
      </c>
      <c r="E122" s="21" t="s">
        <v>191</v>
      </c>
      <c r="F122" s="33" t="s">
        <v>192</v>
      </c>
      <c r="G122" s="57"/>
      <c r="H122" s="54"/>
      <c r="I122" s="67"/>
      <c r="J122" s="57">
        <f t="shared" si="7"/>
        <v>0</v>
      </c>
      <c r="K122" s="57"/>
      <c r="L122" s="57"/>
      <c r="M122" s="57"/>
      <c r="N122" s="33"/>
    </row>
    <row r="123" spans="1:14">
      <c r="A123" s="64">
        <v>43556</v>
      </c>
      <c r="B123" s="62" t="s">
        <v>263</v>
      </c>
      <c r="C123" s="103"/>
      <c r="D123" s="21" t="s">
        <v>189</v>
      </c>
      <c r="E123" s="21" t="s">
        <v>191</v>
      </c>
      <c r="F123" s="33" t="s">
        <v>193</v>
      </c>
      <c r="G123" s="57"/>
      <c r="H123" s="54"/>
      <c r="I123" s="67"/>
      <c r="J123" s="57">
        <f t="shared" ref="J123:J128" si="8">(G123*H123*0.98)-I123</f>
        <v>0</v>
      </c>
      <c r="K123" s="57"/>
      <c r="L123" s="57"/>
      <c r="M123" s="57"/>
      <c r="N123" s="33"/>
    </row>
    <row r="124" spans="1:14">
      <c r="A124" s="64">
        <v>43556</v>
      </c>
      <c r="B124" s="62" t="s">
        <v>263</v>
      </c>
      <c r="C124" s="104"/>
      <c r="D124" s="58" t="s">
        <v>197</v>
      </c>
      <c r="E124" s="21" t="s">
        <v>191</v>
      </c>
      <c r="F124" s="33" t="s">
        <v>193</v>
      </c>
      <c r="G124" s="57"/>
      <c r="H124" s="54"/>
      <c r="I124" s="67"/>
      <c r="J124" s="57">
        <f t="shared" si="8"/>
        <v>0</v>
      </c>
      <c r="K124" s="57"/>
      <c r="L124" s="57"/>
      <c r="M124" s="57"/>
      <c r="N124" s="33"/>
    </row>
    <row r="125" spans="1:14">
      <c r="A125" s="64">
        <v>43556</v>
      </c>
      <c r="B125" s="62" t="s">
        <v>263</v>
      </c>
      <c r="C125" s="21" t="s">
        <v>198</v>
      </c>
      <c r="D125" s="21" t="s">
        <v>189</v>
      </c>
      <c r="E125" s="21" t="s">
        <v>187</v>
      </c>
      <c r="F125" s="33" t="s">
        <v>188</v>
      </c>
      <c r="G125" s="57"/>
      <c r="H125" s="54"/>
      <c r="I125" s="67"/>
      <c r="J125" s="57">
        <f t="shared" si="8"/>
        <v>0</v>
      </c>
      <c r="K125" s="57">
        <f>J125*0.05*N2</f>
        <v>0</v>
      </c>
      <c r="L125" s="57">
        <f>K125/0.05*0.25</f>
        <v>0</v>
      </c>
      <c r="M125" s="57">
        <f>L125-K125</f>
        <v>0</v>
      </c>
      <c r="N125" s="33"/>
    </row>
    <row r="126" spans="1:14">
      <c r="A126" s="64">
        <v>43556</v>
      </c>
      <c r="B126" s="62" t="s">
        <v>263</v>
      </c>
      <c r="C126" s="105" t="s">
        <v>199</v>
      </c>
      <c r="D126" s="21" t="s">
        <v>200</v>
      </c>
      <c r="E126" s="21" t="s">
        <v>93</v>
      </c>
      <c r="F126" s="33" t="s">
        <v>94</v>
      </c>
      <c r="G126" s="57"/>
      <c r="H126" s="54"/>
      <c r="I126" s="67"/>
      <c r="J126" s="57">
        <f t="shared" si="8"/>
        <v>0</v>
      </c>
      <c r="K126" s="57">
        <f>(J126+J127)*0.25*N2</f>
        <v>0</v>
      </c>
      <c r="L126" s="57"/>
      <c r="M126" s="57"/>
      <c r="N126" s="33"/>
    </row>
    <row r="127" spans="1:14">
      <c r="A127" s="64"/>
      <c r="B127" s="62"/>
      <c r="C127" s="105"/>
      <c r="D127" s="21" t="s">
        <v>201</v>
      </c>
      <c r="E127" s="21" t="s">
        <v>93</v>
      </c>
      <c r="F127" s="33" t="s">
        <v>94</v>
      </c>
      <c r="G127" s="57"/>
      <c r="H127" s="54"/>
      <c r="I127" s="67"/>
      <c r="J127" s="57">
        <f t="shared" si="8"/>
        <v>0</v>
      </c>
      <c r="K127" s="57"/>
      <c r="L127" s="57"/>
      <c r="M127" s="57"/>
      <c r="N127" s="33"/>
    </row>
    <row r="128" spans="1:14">
      <c r="A128" s="64"/>
      <c r="B128" s="62"/>
      <c r="C128" s="105" t="s">
        <v>204</v>
      </c>
      <c r="D128" s="95" t="s">
        <v>88</v>
      </c>
      <c r="E128" s="21" t="s">
        <v>161</v>
      </c>
      <c r="F128" s="33" t="s">
        <v>205</v>
      </c>
      <c r="G128" s="57"/>
      <c r="H128" s="54"/>
      <c r="I128" s="67"/>
      <c r="J128" s="57">
        <f t="shared" si="8"/>
        <v>0</v>
      </c>
      <c r="K128" s="57"/>
      <c r="L128" s="57"/>
      <c r="M128" s="57"/>
      <c r="N128" s="33"/>
    </row>
    <row r="129" spans="1:14">
      <c r="A129" s="64">
        <v>43556</v>
      </c>
      <c r="B129" s="62" t="s">
        <v>263</v>
      </c>
      <c r="C129" s="105"/>
      <c r="D129" s="21" t="s">
        <v>206</v>
      </c>
      <c r="E129" s="21" t="s">
        <v>129</v>
      </c>
      <c r="F129" s="33" t="s">
        <v>207</v>
      </c>
      <c r="G129" s="57"/>
      <c r="H129" s="54"/>
      <c r="I129" s="68"/>
      <c r="J129" s="57">
        <f t="shared" ref="J129:J136" si="9">G129*H129*1-I129</f>
        <v>0</v>
      </c>
      <c r="K129" s="57">
        <f>(J129+J130)*0.25*N2</f>
        <v>0</v>
      </c>
      <c r="L129" s="57"/>
      <c r="M129" s="57"/>
      <c r="N129" s="57"/>
    </row>
    <row r="130" spans="1:14">
      <c r="A130" s="64"/>
      <c r="B130" s="62"/>
      <c r="C130" s="105"/>
      <c r="D130" s="21" t="s">
        <v>206</v>
      </c>
      <c r="E130" s="21" t="s">
        <v>129</v>
      </c>
      <c r="F130" s="33" t="s">
        <v>208</v>
      </c>
      <c r="G130" s="57"/>
      <c r="H130" s="54"/>
      <c r="I130" s="68"/>
      <c r="J130" s="57">
        <f t="shared" si="9"/>
        <v>0</v>
      </c>
      <c r="K130" s="57"/>
      <c r="L130" s="57"/>
      <c r="M130" s="57"/>
      <c r="N130" s="57"/>
    </row>
    <row r="131" spans="1:14">
      <c r="A131" s="64">
        <v>43556</v>
      </c>
      <c r="B131" s="62" t="s">
        <v>263</v>
      </c>
      <c r="C131" s="105"/>
      <c r="D131" s="21" t="s">
        <v>209</v>
      </c>
      <c r="E131" s="21" t="s">
        <v>144</v>
      </c>
      <c r="F131" s="33" t="s">
        <v>210</v>
      </c>
      <c r="G131" s="57"/>
      <c r="H131" s="54"/>
      <c r="I131" s="68"/>
      <c r="J131" s="57">
        <f t="shared" si="9"/>
        <v>0</v>
      </c>
      <c r="K131" s="57">
        <f>(J131+J132)*0.25*N2</f>
        <v>0</v>
      </c>
      <c r="L131" s="57"/>
      <c r="M131" s="57"/>
      <c r="N131" s="57"/>
    </row>
    <row r="132" spans="1:14">
      <c r="A132" s="64"/>
      <c r="B132" s="62"/>
      <c r="C132" s="105"/>
      <c r="D132" s="21" t="s">
        <v>209</v>
      </c>
      <c r="E132" s="21" t="s">
        <v>144</v>
      </c>
      <c r="F132" s="33" t="s">
        <v>211</v>
      </c>
      <c r="G132" s="57"/>
      <c r="H132" s="54"/>
      <c r="I132" s="68"/>
      <c r="J132" s="57">
        <f t="shared" si="9"/>
        <v>0</v>
      </c>
      <c r="K132" s="57"/>
      <c r="L132" s="57"/>
      <c r="M132" s="57"/>
      <c r="N132" s="57"/>
    </row>
    <row r="133" spans="1:14">
      <c r="A133" s="64">
        <v>43556</v>
      </c>
      <c r="B133" s="62" t="s">
        <v>263</v>
      </c>
      <c r="C133" s="105"/>
      <c r="D133" s="21" t="s">
        <v>88</v>
      </c>
      <c r="E133" s="21" t="s">
        <v>93</v>
      </c>
      <c r="F133" s="33" t="s">
        <v>212</v>
      </c>
      <c r="G133" s="57"/>
      <c r="H133" s="54"/>
      <c r="I133" s="68"/>
      <c r="J133" s="57">
        <f t="shared" si="9"/>
        <v>0</v>
      </c>
      <c r="K133" s="57">
        <f>(J133+J134)*0.25*N2</f>
        <v>0</v>
      </c>
      <c r="L133" s="57"/>
      <c r="M133" s="57"/>
      <c r="N133" s="57"/>
    </row>
    <row r="134" spans="1:14">
      <c r="A134" s="64"/>
      <c r="B134" s="62"/>
      <c r="C134" s="105"/>
      <c r="D134" s="21" t="s">
        <v>88</v>
      </c>
      <c r="E134" s="21" t="s">
        <v>93</v>
      </c>
      <c r="F134" s="33" t="s">
        <v>213</v>
      </c>
      <c r="G134" s="57"/>
      <c r="H134" s="54"/>
      <c r="I134" s="68"/>
      <c r="J134" s="57">
        <f t="shared" si="9"/>
        <v>0</v>
      </c>
      <c r="K134" s="57"/>
      <c r="L134" s="57"/>
      <c r="M134" s="57"/>
      <c r="N134" s="57"/>
    </row>
    <row r="135" spans="1:14">
      <c r="A135" s="64">
        <v>43556</v>
      </c>
      <c r="B135" s="62" t="s">
        <v>263</v>
      </c>
      <c r="C135" s="105"/>
      <c r="D135" s="21" t="s">
        <v>214</v>
      </c>
      <c r="E135" s="21" t="s">
        <v>161</v>
      </c>
      <c r="F135" s="33" t="s">
        <v>215</v>
      </c>
      <c r="G135" s="57"/>
      <c r="H135" s="54"/>
      <c r="I135" s="68"/>
      <c r="J135" s="57">
        <f t="shared" si="9"/>
        <v>0</v>
      </c>
      <c r="K135" s="57">
        <f>(J135+J136+J128)*0.05*N2</f>
        <v>0</v>
      </c>
      <c r="L135" s="57"/>
      <c r="M135" s="57"/>
      <c r="N135" s="57"/>
    </row>
    <row r="136" spans="1:14">
      <c r="A136" s="64">
        <v>43556</v>
      </c>
      <c r="B136" s="62" t="s">
        <v>263</v>
      </c>
      <c r="C136" s="105"/>
      <c r="D136" s="21" t="s">
        <v>217</v>
      </c>
      <c r="E136" s="21" t="s">
        <v>161</v>
      </c>
      <c r="F136" s="33" t="s">
        <v>215</v>
      </c>
      <c r="G136" s="57"/>
      <c r="H136" s="54"/>
      <c r="I136" s="68"/>
      <c r="J136" s="57">
        <f t="shared" si="9"/>
        <v>0</v>
      </c>
      <c r="K136" s="57"/>
      <c r="L136" s="57"/>
      <c r="M136" s="57"/>
      <c r="N136" s="57"/>
    </row>
    <row r="137" spans="1:14">
      <c r="B137" s="71"/>
      <c r="C137" s="106" t="s">
        <v>218</v>
      </c>
      <c r="D137" s="107"/>
      <c r="E137" s="21" t="s">
        <v>219</v>
      </c>
      <c r="F137" s="33" t="s">
        <v>219</v>
      </c>
      <c r="G137" s="57"/>
      <c r="H137" s="54"/>
      <c r="I137" s="67"/>
      <c r="J137" s="57">
        <f t="shared" ref="J137:J139" si="10">(G137*H137*0.98)-I137</f>
        <v>0</v>
      </c>
      <c r="K137" s="57">
        <f>(J56+J57+J60)*0.04*N2+(J3+J4+J5+J6+J7+J8+J9+J10+J11+J14+J15+J16+J17+J18+J19+J20+J21+J22+J23+J25+J29+J30+J38+J39+J40+J42+J43+J44+J45+J46+J47+J48+J49+J50+J51+J52+J53+J54+J55+J58+J59+J61+J62+J63+J64+J65+J66+J67+J68+J69++J70+J71+J72+J73+J74+J75+J76+J77+J78+J79+J80+J81+J82+J83+J84+J85+J86+J87+J88+J89+J90+J91+J92+J93+J94+J95+J96+J97+J98+J99+J100+J101+J102+J103+J104+J105+J106+J107+J108+J109+J110+J111+J112+J113+J114+J115+J116+J117+J120+J121+J122+J123+J124+J125)*0.01*N2+(J12+J13+J24+J26+J27+J28+J31+J32+J33+J34+J35+J36+J37+J41)*0.07*N2+(0)*0.08*N2</f>
        <v>0</v>
      </c>
      <c r="L137" s="57"/>
      <c r="M137" s="57"/>
      <c r="N137" s="33"/>
    </row>
    <row r="138" spans="1:14">
      <c r="B138" s="72"/>
      <c r="C138" s="108"/>
      <c r="D138" s="109"/>
      <c r="E138" s="21" t="s">
        <v>220</v>
      </c>
      <c r="F138" s="33" t="s">
        <v>220</v>
      </c>
      <c r="G138" s="57"/>
      <c r="H138" s="54"/>
      <c r="I138" s="67"/>
      <c r="J138" s="57">
        <f t="shared" si="10"/>
        <v>0</v>
      </c>
      <c r="K138" s="57">
        <f>(J6+J7+J8+J9+J10+J11+J21+J22+J23)*0.06*N2+(J50+J51+J52+J53+J54+J55)*0.03*N2+(J92+J93+J94+J109+J110+J111)*0.07*N2</f>
        <v>0</v>
      </c>
      <c r="L138" s="57"/>
      <c r="M138" s="57"/>
      <c r="N138" s="33"/>
    </row>
    <row r="139" spans="1:14">
      <c r="B139" s="72"/>
      <c r="C139" s="108"/>
      <c r="D139" s="109"/>
      <c r="E139" s="21" t="s">
        <v>221</v>
      </c>
      <c r="F139" s="33" t="s">
        <v>221</v>
      </c>
      <c r="G139" s="57"/>
      <c r="H139" s="54"/>
      <c r="I139" s="67"/>
      <c r="J139" s="57">
        <f t="shared" si="10"/>
        <v>0</v>
      </c>
      <c r="K139" s="57">
        <f>(J3+J4+J5+J17+J18+J19+J29+J30)*0.06*N2+(J81+J82+J83+J87+J88+J89+J90+J91+J115+J116+J117)*0.07*N2+(J121+J122+J123+J125)*0.03*N2</f>
        <v>0</v>
      </c>
      <c r="L139" s="57"/>
      <c r="M139" s="57"/>
      <c r="N139" s="33"/>
    </row>
    <row r="140" spans="1:14">
      <c r="B140" s="72"/>
      <c r="C140" s="108"/>
      <c r="D140" s="109"/>
      <c r="E140" s="21" t="s">
        <v>223</v>
      </c>
      <c r="F140" s="33" t="s">
        <v>223</v>
      </c>
      <c r="G140" s="57"/>
      <c r="H140" s="54"/>
      <c r="I140" s="67"/>
      <c r="J140" s="57">
        <v>0</v>
      </c>
      <c r="K140" s="57">
        <f>(J20)*0.06*N2</f>
        <v>0</v>
      </c>
      <c r="L140" s="57"/>
      <c r="M140" s="57"/>
      <c r="N140" s="33"/>
    </row>
    <row r="141" spans="1:14">
      <c r="B141" s="72"/>
      <c r="C141" s="108"/>
      <c r="D141" s="109"/>
      <c r="E141" s="21" t="s">
        <v>224</v>
      </c>
      <c r="F141" s="33" t="s">
        <v>224</v>
      </c>
      <c r="G141" s="57"/>
      <c r="H141" s="54"/>
      <c r="I141" s="67"/>
      <c r="J141" s="57">
        <v>0</v>
      </c>
      <c r="K141" s="57">
        <f>(J71+J72+J120+J121+J124)*0.03*N2+(J38+J39+J40)*0.06*N2+(J98+J99+J100+J101+J102+J112+J113+J114)*0.07*N2</f>
        <v>0</v>
      </c>
      <c r="L141" s="57"/>
      <c r="M141" s="57"/>
      <c r="N141" s="33"/>
    </row>
    <row r="142" spans="1:14">
      <c r="B142" s="72"/>
      <c r="C142" s="108"/>
      <c r="D142" s="109"/>
      <c r="E142" s="21" t="s">
        <v>225</v>
      </c>
      <c r="F142" s="33" t="s">
        <v>225</v>
      </c>
      <c r="G142" s="57"/>
      <c r="H142" s="54"/>
      <c r="I142" s="67"/>
      <c r="J142" s="57">
        <v>0</v>
      </c>
      <c r="K142" s="57">
        <f>(J95+J96+J97+J103+J104+J105)*0.07*N2+(J44+J45+J63+J64+J69+J70+J73+J74+J75+J76)*0.03*N2</f>
        <v>0</v>
      </c>
      <c r="L142" s="57"/>
      <c r="M142" s="57"/>
      <c r="N142" s="33"/>
    </row>
    <row r="143" spans="1:14">
      <c r="B143" s="72"/>
      <c r="C143" s="108"/>
      <c r="D143" s="109"/>
      <c r="E143" s="21" t="s">
        <v>222</v>
      </c>
      <c r="F143" s="33" t="s">
        <v>222</v>
      </c>
      <c r="G143" s="57"/>
      <c r="H143" s="54"/>
      <c r="I143" s="67"/>
      <c r="J143" s="57">
        <v>0</v>
      </c>
      <c r="K143" s="57">
        <f>(J14+J15+J16+J25)*0.06*N2+(+J46+J47+J61+J62+J65+J66+J67+J68+J77)*0.03*N2+(J106+J107+J108)*0.07*N2</f>
        <v>0</v>
      </c>
      <c r="L143" s="57"/>
      <c r="M143" s="57"/>
      <c r="N143" s="33"/>
    </row>
    <row r="144" spans="1:14">
      <c r="B144" s="72"/>
      <c r="C144" s="108"/>
      <c r="D144" s="109"/>
      <c r="E144" s="21" t="s">
        <v>226</v>
      </c>
      <c r="F144" s="33" t="s">
        <v>226</v>
      </c>
      <c r="G144" s="57"/>
      <c r="H144" s="54"/>
      <c r="I144" s="67"/>
      <c r="J144" s="57">
        <v>0</v>
      </c>
      <c r="K144" s="57">
        <f>(0)*0.06*N2+(J42+J43+J48+J49+J58+J59)*0.03*N2+(+J78+J79+J80+J84+J85+J86)*0.07*N2</f>
        <v>0</v>
      </c>
      <c r="L144" s="57"/>
      <c r="M144" s="57"/>
      <c r="N144" s="33"/>
    </row>
    <row r="145" spans="2:14">
      <c r="B145" s="73"/>
      <c r="C145" s="110"/>
      <c r="D145" s="111"/>
      <c r="F145" s="58" t="s">
        <v>227</v>
      </c>
      <c r="G145" s="65">
        <f>SUM(G3:G140)</f>
        <v>0</v>
      </c>
      <c r="H145" s="66"/>
      <c r="I145" s="93">
        <f>SUM(I3:I139)</f>
        <v>0</v>
      </c>
      <c r="J145" s="65">
        <f>SUM(J3:J139)</f>
        <v>0</v>
      </c>
      <c r="K145" s="65">
        <f>J145*N2*0.67</f>
        <v>0</v>
      </c>
      <c r="L145" s="57"/>
      <c r="M145" s="57"/>
      <c r="N145" s="33"/>
    </row>
    <row r="146" spans="2:14">
      <c r="F146" s="58" t="s">
        <v>228</v>
      </c>
      <c r="G146" s="65"/>
      <c r="H146" s="66"/>
      <c r="I146" s="93"/>
      <c r="J146" s="65"/>
      <c r="K146" s="65">
        <f>K145+K81</f>
        <v>0</v>
      </c>
      <c r="L146" s="57"/>
      <c r="M146" s="57"/>
      <c r="N146" s="33"/>
    </row>
    <row r="147" spans="2:14">
      <c r="C147" s="21" t="s">
        <v>293</v>
      </c>
      <c r="E147" s="21" t="s">
        <v>230</v>
      </c>
      <c r="F147" s="33"/>
      <c r="G147" s="57"/>
      <c r="H147" s="54"/>
      <c r="I147" s="67"/>
      <c r="J147" s="57"/>
      <c r="K147" s="57">
        <f>(J3+J4+J5+J21+J22+J23+J32+J33+J41)*0.05*N2+M6+M14+M20+M26+M31</f>
        <v>-9000</v>
      </c>
      <c r="L147" s="57"/>
      <c r="M147" s="57"/>
      <c r="N147" s="33"/>
    </row>
    <row r="148" spans="2:14">
      <c r="C148" s="21" t="s">
        <v>294</v>
      </c>
      <c r="E148" s="21" t="s">
        <v>230</v>
      </c>
      <c r="F148" s="33"/>
      <c r="G148" s="57"/>
      <c r="H148" s="54"/>
      <c r="I148" s="67"/>
      <c r="J148" s="57"/>
      <c r="K148" s="57">
        <f>M81+M92+M84+M103+M106+M109+M95</f>
        <v>0</v>
      </c>
      <c r="L148" s="57"/>
      <c r="M148" s="57"/>
      <c r="N148" s="33"/>
    </row>
    <row r="149" spans="2:14">
      <c r="C149" s="21" t="s">
        <v>295</v>
      </c>
      <c r="E149" s="21" t="s">
        <v>233</v>
      </c>
      <c r="F149" s="33"/>
      <c r="G149" s="57"/>
      <c r="H149" s="54"/>
      <c r="I149" s="67"/>
      <c r="J149" s="57"/>
      <c r="K149" s="57">
        <v>0</v>
      </c>
      <c r="L149" s="57"/>
      <c r="M149" s="57"/>
      <c r="N149" s="33"/>
    </row>
    <row r="150" spans="2:14">
      <c r="C150" s="21" t="s">
        <v>296</v>
      </c>
      <c r="E150" s="21" t="s">
        <v>230</v>
      </c>
      <c r="F150" s="33"/>
      <c r="G150" s="57"/>
      <c r="H150" s="54"/>
      <c r="I150" s="67"/>
      <c r="J150" s="57"/>
      <c r="K150" s="57">
        <f>(J48+J49+J50+J51+J52)*0.05*N2++M65+M71+M56+M53+M46+M63</f>
        <v>-3300</v>
      </c>
      <c r="L150" s="57"/>
      <c r="M150" s="57"/>
      <c r="N150" s="33"/>
    </row>
    <row r="151" spans="2:14">
      <c r="C151" s="21" t="s">
        <v>235</v>
      </c>
      <c r="E151" s="21" t="s">
        <v>230</v>
      </c>
      <c r="F151" s="33"/>
      <c r="G151" s="57"/>
      <c r="H151" s="54"/>
      <c r="I151" s="67"/>
      <c r="J151" s="57"/>
      <c r="K151" s="57">
        <f>M121+M125</f>
        <v>-3300</v>
      </c>
      <c r="L151" s="57"/>
      <c r="M151" s="57"/>
      <c r="N151" s="33"/>
    </row>
    <row r="152" spans="2:14">
      <c r="C152" s="21" t="s">
        <v>262</v>
      </c>
      <c r="E152" s="21" t="s">
        <v>230</v>
      </c>
      <c r="F152" s="33"/>
      <c r="G152" s="57"/>
      <c r="H152" s="54"/>
      <c r="I152" s="67"/>
      <c r="J152" s="57"/>
      <c r="K152" s="57">
        <f>J145*0.07*N2</f>
        <v>0</v>
      </c>
      <c r="L152" s="57"/>
      <c r="M152" s="57"/>
      <c r="N152" s="33"/>
    </row>
    <row r="153" spans="2:14">
      <c r="F153" s="33"/>
      <c r="G153" s="57"/>
      <c r="H153" s="54"/>
      <c r="I153" s="67"/>
      <c r="J153" s="57"/>
      <c r="K153" s="65">
        <f>SUM(K147:K151)</f>
        <v>-15600</v>
      </c>
      <c r="L153" s="57"/>
      <c r="M153" s="57"/>
      <c r="N153" s="33"/>
    </row>
    <row r="154" spans="2:14">
      <c r="F154" s="33"/>
      <c r="G154" s="57"/>
      <c r="H154" s="54"/>
      <c r="I154" s="67"/>
      <c r="J154" s="57"/>
      <c r="K154" s="57">
        <f>K147+K148+K149+K150+K151</f>
        <v>-15600</v>
      </c>
      <c r="L154" s="57"/>
      <c r="M154" s="57"/>
      <c r="N154" s="33"/>
    </row>
    <row r="155" spans="2:14">
      <c r="F155" s="33"/>
      <c r="G155" s="57"/>
      <c r="H155" s="54"/>
      <c r="I155" s="67"/>
      <c r="J155" s="57"/>
      <c r="K155" s="57"/>
      <c r="L155" s="57"/>
      <c r="M155" s="57"/>
      <c r="N155" s="33"/>
    </row>
    <row r="156" spans="2:14">
      <c r="F156" s="33"/>
      <c r="G156" s="57"/>
      <c r="H156" s="54"/>
      <c r="I156" s="67"/>
      <c r="J156" s="57"/>
      <c r="K156" s="57"/>
      <c r="L156" s="57"/>
      <c r="M156" s="57"/>
      <c r="N156" s="33"/>
    </row>
    <row r="157" spans="2:14">
      <c r="F157" s="33"/>
      <c r="G157" s="57"/>
      <c r="H157" s="54"/>
      <c r="I157" s="67"/>
      <c r="J157" s="57"/>
      <c r="K157" s="57"/>
      <c r="L157" s="57"/>
      <c r="M157" s="57"/>
      <c r="N157" s="33"/>
    </row>
    <row r="158" spans="2:14">
      <c r="F158" s="33"/>
      <c r="G158" s="57"/>
      <c r="H158" s="54"/>
      <c r="I158" s="67"/>
      <c r="J158" s="57"/>
      <c r="K158" s="57"/>
      <c r="L158" s="57"/>
      <c r="M158" s="57"/>
      <c r="N158" s="33"/>
    </row>
    <row r="159" spans="2:14">
      <c r="F159" s="33"/>
      <c r="G159" s="57"/>
      <c r="H159" s="54"/>
      <c r="I159" s="67"/>
      <c r="J159" s="57"/>
      <c r="K159" s="57"/>
      <c r="L159" s="57"/>
      <c r="M159" s="57"/>
      <c r="N159" s="33"/>
    </row>
    <row r="160" spans="2:14">
      <c r="F160" s="33"/>
      <c r="G160" s="57"/>
      <c r="H160" s="54"/>
      <c r="I160" s="67"/>
      <c r="J160" s="57"/>
      <c r="K160" s="57"/>
      <c r="L160" s="57"/>
      <c r="M160" s="57"/>
      <c r="N160" s="33"/>
    </row>
    <row r="161" spans="6:14">
      <c r="F161" s="33"/>
      <c r="G161" s="57"/>
      <c r="H161" s="54"/>
      <c r="I161" s="67"/>
      <c r="J161" s="57"/>
      <c r="K161" s="57"/>
      <c r="L161" s="57"/>
      <c r="M161" s="57"/>
      <c r="N161" s="33"/>
    </row>
    <row r="162" spans="6:14">
      <c r="F162" s="33"/>
      <c r="G162" s="57"/>
      <c r="H162" s="54"/>
      <c r="I162" s="67"/>
      <c r="J162" s="57"/>
      <c r="K162" s="57"/>
      <c r="L162" s="57"/>
      <c r="M162" s="57"/>
      <c r="N162" s="33"/>
    </row>
    <row r="163" spans="6:14">
      <c r="F163" s="33"/>
      <c r="G163" s="57"/>
      <c r="H163" s="54"/>
      <c r="I163" s="67"/>
      <c r="J163" s="57"/>
      <c r="K163" s="57"/>
      <c r="L163" s="57"/>
      <c r="M163" s="57"/>
      <c r="N163" s="33"/>
    </row>
    <row r="164" spans="6:14">
      <c r="F164" s="33"/>
      <c r="G164" s="57"/>
      <c r="H164" s="54"/>
      <c r="I164" s="67"/>
      <c r="J164" s="57"/>
      <c r="K164" s="57"/>
      <c r="L164" s="57"/>
      <c r="M164" s="57"/>
      <c r="N164" s="33"/>
    </row>
    <row r="165" spans="6:14">
      <c r="F165" s="33"/>
      <c r="G165" s="57"/>
      <c r="H165" s="54"/>
      <c r="I165" s="67"/>
      <c r="J165" s="57"/>
      <c r="K165" s="57"/>
      <c r="L165" s="57"/>
      <c r="M165" s="57"/>
      <c r="N165" s="33"/>
    </row>
    <row r="166" spans="6:14">
      <c r="F166" s="33"/>
      <c r="G166" s="57"/>
      <c r="H166" s="54"/>
      <c r="I166" s="67"/>
      <c r="J166" s="57"/>
      <c r="K166" s="57"/>
      <c r="L166" s="57"/>
      <c r="M166" s="57"/>
      <c r="N166" s="33"/>
    </row>
    <row r="167" spans="6:14">
      <c r="F167" s="33"/>
      <c r="G167" s="57"/>
      <c r="H167" s="54"/>
      <c r="I167" s="67"/>
      <c r="J167" s="57"/>
      <c r="K167" s="57"/>
      <c r="L167" s="57"/>
      <c r="M167" s="57"/>
      <c r="N167" s="33"/>
    </row>
    <row r="168" spans="6:14">
      <c r="F168" s="33"/>
      <c r="G168" s="57"/>
      <c r="H168" s="54"/>
      <c r="I168" s="67"/>
      <c r="J168" s="57"/>
      <c r="K168" s="57"/>
      <c r="L168" s="57"/>
      <c r="M168" s="57"/>
      <c r="N168" s="33"/>
    </row>
  </sheetData>
  <mergeCells count="8">
    <mergeCell ref="C128:C136"/>
    <mergeCell ref="C137:D145"/>
    <mergeCell ref="C3:C41"/>
    <mergeCell ref="C42:C77"/>
    <mergeCell ref="C78:C117"/>
    <mergeCell ref="C118:C119"/>
    <mergeCell ref="C120:C124"/>
    <mergeCell ref="C126:C127"/>
  </mergeCells>
  <phoneticPr fontId="37" type="noConversion"/>
  <conditionalFormatting sqref="E135">
    <cfRule type="containsText" dxfId="40" priority="2" operator="containsText" text="方泽斯">
      <formula>NOT(ISERROR(SEARCH("方泽斯",E135)))</formula>
    </cfRule>
  </conditionalFormatting>
  <conditionalFormatting sqref="E142">
    <cfRule type="containsText" dxfId="39" priority="3" operator="containsText" text="方泽斯">
      <formula>NOT(ISERROR(SEARCH("方泽斯",E142)))</formula>
    </cfRule>
  </conditionalFormatting>
  <conditionalFormatting sqref="E149">
    <cfRule type="containsText" dxfId="38" priority="1" operator="containsText" text="方泽斯">
      <formula>NOT(ISERROR(SEARCH("方泽斯",E149)))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99CC00"/>
    <pageSetUpPr fitToPage="1"/>
  </sheetPr>
  <dimension ref="A1:Y203"/>
  <sheetViews>
    <sheetView zoomScaleSheetLayoutView="100" workbookViewId="0">
      <pane ySplit="2" topLeftCell="A3" activePane="bottomLeft" state="frozen"/>
      <selection pane="bottomLeft" activeCell="D77" sqref="D77:D83"/>
    </sheetView>
  </sheetViews>
  <sheetFormatPr defaultRowHeight="13.5"/>
  <cols>
    <col min="1" max="2" width="10.875" style="21" hidden="1" customWidth="1"/>
    <col min="3" max="3" width="7.125" style="21" customWidth="1"/>
    <col min="4" max="4" width="13.5" style="21" customWidth="1"/>
    <col min="5" max="5" width="9.75" style="21" customWidth="1"/>
    <col min="6" max="6" width="16.75" style="21" customWidth="1"/>
    <col min="7" max="7" width="14" style="59" customWidth="1"/>
    <col min="8" max="8" width="15.625" style="60" customWidth="1"/>
    <col min="9" max="9" width="14.5" style="88" customWidth="1"/>
    <col min="10" max="10" width="15.625" style="59" customWidth="1"/>
    <col min="11" max="11" width="16.125" style="59" customWidth="1"/>
    <col min="12" max="12" width="12.375" style="59" customWidth="1"/>
    <col min="13" max="13" width="12.75" style="59" customWidth="1"/>
    <col min="14" max="14" width="10.625" style="59" customWidth="1"/>
    <col min="15" max="15" width="8.5" style="21" customWidth="1"/>
    <col min="16" max="16" width="18.25" style="21" customWidth="1"/>
    <col min="17" max="17" width="13.875" style="21" customWidth="1"/>
    <col min="18" max="19" width="12.75" style="21" customWidth="1"/>
    <col min="20" max="20" width="14" style="21" customWidth="1"/>
    <col min="21" max="22" width="9" style="21"/>
    <col min="23" max="24" width="8.125" style="21" customWidth="1"/>
    <col min="25" max="25" width="7.75" style="21" customWidth="1"/>
    <col min="26" max="26" width="13.25" style="21" customWidth="1"/>
    <col min="27" max="16384" width="9" style="21"/>
  </cols>
  <sheetData>
    <row r="1" spans="1:25">
      <c r="C1" s="21" t="s">
        <v>297</v>
      </c>
    </row>
    <row r="2" spans="1:25" s="22" customFormat="1" ht="21" customHeight="1">
      <c r="A2" s="24"/>
      <c r="B2" s="24"/>
      <c r="C2" s="25" t="s">
        <v>1</v>
      </c>
      <c r="D2" s="25" t="s">
        <v>2</v>
      </c>
      <c r="E2" s="25"/>
      <c r="F2" s="26" t="s">
        <v>3</v>
      </c>
      <c r="G2" s="27" t="s">
        <v>4</v>
      </c>
      <c r="H2" s="28" t="s">
        <v>5</v>
      </c>
      <c r="I2" s="29" t="s">
        <v>6</v>
      </c>
      <c r="J2" s="29" t="s">
        <v>7</v>
      </c>
      <c r="K2" s="38" t="s">
        <v>8</v>
      </c>
      <c r="L2" s="39"/>
      <c r="M2" s="40" t="s">
        <v>9</v>
      </c>
      <c r="N2" s="41">
        <v>7.01</v>
      </c>
      <c r="O2" s="42"/>
      <c r="P2" s="43"/>
      <c r="Q2" s="44"/>
      <c r="R2" s="45"/>
      <c r="S2" s="45"/>
      <c r="W2" s="46"/>
      <c r="X2" s="46"/>
      <c r="Y2" s="46"/>
    </row>
    <row r="3" spans="1:25">
      <c r="A3" s="64">
        <v>43556</v>
      </c>
      <c r="B3" s="21" t="s">
        <v>297</v>
      </c>
      <c r="C3" s="105" t="s">
        <v>10</v>
      </c>
      <c r="D3" s="21" t="s">
        <v>11</v>
      </c>
      <c r="E3" s="21" t="s">
        <v>298</v>
      </c>
      <c r="F3" s="33" t="s">
        <v>299</v>
      </c>
      <c r="G3" s="57"/>
      <c r="H3" s="54"/>
      <c r="I3" s="68"/>
      <c r="J3" s="57">
        <f t="shared" ref="J3:J66" si="0">G3*H3-I3</f>
        <v>0</v>
      </c>
      <c r="K3" s="57">
        <f>(J3+J4+J5+J35+J36+J37)*0.04*N2</f>
        <v>0</v>
      </c>
      <c r="L3" s="57">
        <f>K3/0.04*0.25</f>
        <v>0</v>
      </c>
      <c r="M3" s="57">
        <f>L3-K3-3000</f>
        <v>-3000</v>
      </c>
      <c r="N3" s="57" t="s">
        <v>37</v>
      </c>
    </row>
    <row r="4" spans="1:25">
      <c r="A4" s="64">
        <v>43556</v>
      </c>
      <c r="B4" s="21" t="s">
        <v>297</v>
      </c>
      <c r="C4" s="105"/>
      <c r="D4" s="21" t="s">
        <v>11</v>
      </c>
      <c r="E4" s="21" t="s">
        <v>298</v>
      </c>
      <c r="F4" s="33" t="s">
        <v>300</v>
      </c>
      <c r="G4" s="57"/>
      <c r="H4" s="54"/>
      <c r="I4" s="68"/>
      <c r="J4" s="57">
        <f t="shared" si="0"/>
        <v>0</v>
      </c>
      <c r="K4" s="57"/>
      <c r="L4" s="57"/>
      <c r="M4" s="57"/>
      <c r="N4" s="57"/>
    </row>
    <row r="5" spans="1:25">
      <c r="A5" s="64">
        <v>43556</v>
      </c>
      <c r="B5" s="21" t="s">
        <v>297</v>
      </c>
      <c r="C5" s="105"/>
      <c r="D5" s="21" t="s">
        <v>11</v>
      </c>
      <c r="E5" s="21" t="s">
        <v>298</v>
      </c>
      <c r="F5" s="33" t="s">
        <v>301</v>
      </c>
      <c r="G5" s="57"/>
      <c r="H5" s="54"/>
      <c r="I5" s="67"/>
      <c r="J5" s="57">
        <f t="shared" si="0"/>
        <v>0</v>
      </c>
      <c r="K5" s="57"/>
      <c r="L5" s="57"/>
      <c r="M5" s="57"/>
      <c r="N5" s="57"/>
    </row>
    <row r="6" spans="1:25">
      <c r="A6" s="64">
        <v>43556</v>
      </c>
      <c r="B6" s="21" t="s">
        <v>297</v>
      </c>
      <c r="C6" s="105"/>
      <c r="D6" s="21" t="s">
        <v>78</v>
      </c>
      <c r="E6" s="21" t="s">
        <v>278</v>
      </c>
      <c r="F6" s="33" t="s">
        <v>302</v>
      </c>
      <c r="G6" s="57"/>
      <c r="H6" s="54"/>
      <c r="I6" s="67"/>
      <c r="J6" s="57">
        <f t="shared" si="0"/>
        <v>0</v>
      </c>
      <c r="L6" s="57"/>
      <c r="M6" s="57"/>
      <c r="N6" s="57"/>
    </row>
    <row r="7" spans="1:25">
      <c r="A7" s="64">
        <v>43556</v>
      </c>
      <c r="B7" s="21" t="s">
        <v>297</v>
      </c>
      <c r="C7" s="105"/>
      <c r="D7" s="21" t="s">
        <v>272</v>
      </c>
      <c r="E7" s="21" t="s">
        <v>68</v>
      </c>
      <c r="F7" s="33" t="s">
        <v>69</v>
      </c>
      <c r="G7" s="57"/>
      <c r="H7" s="54"/>
      <c r="I7" s="67"/>
      <c r="J7" s="57">
        <f t="shared" si="0"/>
        <v>0</v>
      </c>
      <c r="K7" s="57">
        <f>(J7+J8+J23+J24+J25+J26+J27)*0.05*N2</f>
        <v>0</v>
      </c>
      <c r="L7" s="57">
        <f t="shared" ref="L7:L12" si="1">K7/0.05*0.25</f>
        <v>0</v>
      </c>
      <c r="M7" s="57">
        <f>L7-K7-3630</f>
        <v>-3630</v>
      </c>
      <c r="N7" s="57">
        <f>M7*0.1</f>
        <v>-363</v>
      </c>
    </row>
    <row r="8" spans="1:25">
      <c r="A8" s="64">
        <v>43556</v>
      </c>
      <c r="B8" s="21" t="s">
        <v>297</v>
      </c>
      <c r="C8" s="105"/>
      <c r="D8" s="21" t="s">
        <v>272</v>
      </c>
      <c r="E8" s="21" t="s">
        <v>68</v>
      </c>
      <c r="F8" s="33" t="s">
        <v>303</v>
      </c>
      <c r="G8" s="57"/>
      <c r="H8" s="54"/>
      <c r="I8" s="67"/>
      <c r="J8" s="57">
        <f t="shared" si="0"/>
        <v>0</v>
      </c>
      <c r="K8" s="57"/>
      <c r="L8" s="57"/>
      <c r="M8" s="57"/>
      <c r="N8" s="57"/>
    </row>
    <row r="9" spans="1:25">
      <c r="A9" s="64">
        <v>43556</v>
      </c>
      <c r="B9" s="21" t="s">
        <v>297</v>
      </c>
      <c r="C9" s="105"/>
      <c r="D9" s="21" t="s">
        <v>304</v>
      </c>
      <c r="E9" s="21" t="s">
        <v>278</v>
      </c>
      <c r="F9" s="33" t="s">
        <v>305</v>
      </c>
      <c r="G9" s="57"/>
      <c r="H9" s="54"/>
      <c r="I9" s="67"/>
      <c r="J9" s="57">
        <f t="shared" si="0"/>
        <v>0</v>
      </c>
      <c r="K9" s="57"/>
      <c r="L9" s="57"/>
      <c r="M9" s="57"/>
      <c r="N9" s="57"/>
    </row>
    <row r="10" spans="1:25">
      <c r="A10" s="64">
        <v>43556</v>
      </c>
      <c r="B10" s="21" t="s">
        <v>297</v>
      </c>
      <c r="C10" s="105"/>
      <c r="D10" s="21" t="s">
        <v>19</v>
      </c>
      <c r="E10" s="21" t="s">
        <v>20</v>
      </c>
      <c r="F10" s="33" t="s">
        <v>21</v>
      </c>
      <c r="G10" s="57"/>
      <c r="H10" s="54"/>
      <c r="I10" s="67"/>
      <c r="J10" s="57">
        <f t="shared" si="0"/>
        <v>0</v>
      </c>
      <c r="K10" s="57">
        <f>(J10+J11)*N2*0.05</f>
        <v>0</v>
      </c>
      <c r="L10" s="57">
        <f t="shared" si="1"/>
        <v>0</v>
      </c>
      <c r="M10" s="57">
        <f>L10-K10</f>
        <v>0</v>
      </c>
      <c r="N10" s="57"/>
    </row>
    <row r="11" spans="1:25">
      <c r="A11" s="64">
        <v>43556</v>
      </c>
      <c r="B11" s="21" t="s">
        <v>297</v>
      </c>
      <c r="C11" s="105"/>
      <c r="D11" s="21" t="s">
        <v>19</v>
      </c>
      <c r="E11" s="21" t="s">
        <v>20</v>
      </c>
      <c r="F11" s="33" t="s">
        <v>23</v>
      </c>
      <c r="G11" s="57"/>
      <c r="H11" s="54"/>
      <c r="I11" s="67"/>
      <c r="J11" s="57">
        <f t="shared" si="0"/>
        <v>0</v>
      </c>
      <c r="K11" s="57"/>
      <c r="L11" s="57"/>
      <c r="M11" s="57"/>
      <c r="N11" s="57"/>
    </row>
    <row r="12" spans="1:25">
      <c r="A12" s="64">
        <v>43556</v>
      </c>
      <c r="B12" s="21" t="s">
        <v>297</v>
      </c>
      <c r="C12" s="105"/>
      <c r="D12" s="21" t="s">
        <v>51</v>
      </c>
      <c r="E12" s="21" t="s">
        <v>238</v>
      </c>
      <c r="F12" s="33" t="s">
        <v>306</v>
      </c>
      <c r="G12" s="57"/>
      <c r="H12" s="54"/>
      <c r="I12" s="68"/>
      <c r="J12" s="57">
        <f t="shared" si="0"/>
        <v>0</v>
      </c>
      <c r="K12" s="57">
        <f>(J12+J13+J14+J54+J55+J56+J57+J15+J16+J50+J51+J38+J39+J40)*0.05*N2</f>
        <v>0</v>
      </c>
      <c r="L12" s="57">
        <f t="shared" si="1"/>
        <v>0</v>
      </c>
      <c r="M12" s="57">
        <f>L12-K12-3300</f>
        <v>-3300</v>
      </c>
    </row>
    <row r="13" spans="1:25">
      <c r="A13" s="64">
        <v>43556</v>
      </c>
      <c r="B13" s="21" t="s">
        <v>297</v>
      </c>
      <c r="C13" s="105"/>
      <c r="D13" s="21" t="s">
        <v>51</v>
      </c>
      <c r="E13" s="21" t="s">
        <v>238</v>
      </c>
      <c r="F13" s="33" t="s">
        <v>307</v>
      </c>
      <c r="G13" s="57"/>
      <c r="H13" s="54"/>
      <c r="I13" s="67"/>
      <c r="J13" s="57">
        <f t="shared" si="0"/>
        <v>0</v>
      </c>
      <c r="K13" s="57"/>
      <c r="L13" s="57"/>
      <c r="M13" s="57"/>
      <c r="N13" s="57"/>
    </row>
    <row r="14" spans="1:25">
      <c r="A14" s="64">
        <v>43556</v>
      </c>
      <c r="B14" s="21" t="s">
        <v>297</v>
      </c>
      <c r="C14" s="105"/>
      <c r="D14" s="21" t="s">
        <v>51</v>
      </c>
      <c r="E14" s="21" t="s">
        <v>238</v>
      </c>
      <c r="F14" s="33" t="s">
        <v>308</v>
      </c>
      <c r="G14" s="57"/>
      <c r="H14" s="54"/>
      <c r="I14" s="67"/>
      <c r="J14" s="57">
        <f t="shared" si="0"/>
        <v>0</v>
      </c>
      <c r="K14" s="57"/>
      <c r="L14" s="57"/>
      <c r="M14" s="57"/>
      <c r="N14" s="57"/>
    </row>
    <row r="15" spans="1:25">
      <c r="A15" s="64">
        <v>43556</v>
      </c>
      <c r="B15" s="21" t="s">
        <v>297</v>
      </c>
      <c r="C15" s="105"/>
      <c r="D15" s="21" t="s">
        <v>31</v>
      </c>
      <c r="E15" s="21" t="s">
        <v>238</v>
      </c>
      <c r="F15" s="33" t="s">
        <v>306</v>
      </c>
      <c r="G15" s="57"/>
      <c r="H15" s="54"/>
      <c r="I15" s="68"/>
      <c r="J15" s="57">
        <f t="shared" si="0"/>
        <v>0</v>
      </c>
      <c r="K15" s="57"/>
      <c r="L15" s="57"/>
      <c r="M15" s="57"/>
      <c r="N15" s="57"/>
    </row>
    <row r="16" spans="1:25">
      <c r="A16" s="64">
        <v>43556</v>
      </c>
      <c r="B16" s="21" t="s">
        <v>297</v>
      </c>
      <c r="C16" s="105"/>
      <c r="D16" s="21" t="s">
        <v>31</v>
      </c>
      <c r="E16" s="21" t="s">
        <v>238</v>
      </c>
      <c r="F16" s="33" t="s">
        <v>307</v>
      </c>
      <c r="G16" s="57"/>
      <c r="H16" s="54"/>
      <c r="I16" s="67"/>
      <c r="J16" s="57">
        <f t="shared" si="0"/>
        <v>0</v>
      </c>
      <c r="K16" s="57"/>
      <c r="L16" s="57"/>
      <c r="M16" s="57"/>
      <c r="N16" s="57"/>
    </row>
    <row r="17" spans="1:14">
      <c r="A17" s="64">
        <v>43556</v>
      </c>
      <c r="B17" s="21" t="s">
        <v>297</v>
      </c>
      <c r="C17" s="105"/>
      <c r="D17" s="21" t="s">
        <v>39</v>
      </c>
      <c r="E17" s="21" t="s">
        <v>40</v>
      </c>
      <c r="F17" s="33" t="s">
        <v>41</v>
      </c>
      <c r="G17" s="57"/>
      <c r="H17" s="54"/>
      <c r="I17" s="67"/>
      <c r="J17" s="57">
        <f t="shared" si="0"/>
        <v>0</v>
      </c>
      <c r="K17" s="57">
        <f>(J17+J18+J19+J20)*0.05*N2</f>
        <v>0</v>
      </c>
      <c r="L17" s="57">
        <f>K17/0.05*0.25</f>
        <v>0</v>
      </c>
      <c r="M17" s="57">
        <f>L17-K17</f>
        <v>0</v>
      </c>
      <c r="N17" s="57">
        <f>M17*0.1</f>
        <v>0</v>
      </c>
    </row>
    <row r="18" spans="1:14">
      <c r="A18" s="64">
        <v>43556</v>
      </c>
      <c r="B18" s="21" t="s">
        <v>297</v>
      </c>
      <c r="C18" s="105"/>
      <c r="D18" s="21" t="s">
        <v>39</v>
      </c>
      <c r="E18" s="21" t="s">
        <v>40</v>
      </c>
      <c r="F18" s="33" t="s">
        <v>43</v>
      </c>
      <c r="G18" s="57"/>
      <c r="H18" s="54"/>
      <c r="I18" s="67"/>
      <c r="J18" s="57">
        <f t="shared" si="0"/>
        <v>0</v>
      </c>
      <c r="K18" s="57"/>
      <c r="L18" s="57"/>
      <c r="M18" s="57"/>
      <c r="N18" s="57"/>
    </row>
    <row r="19" spans="1:14">
      <c r="A19" s="64">
        <v>43556</v>
      </c>
      <c r="B19" s="21" t="s">
        <v>297</v>
      </c>
      <c r="C19" s="105"/>
      <c r="D19" s="21" t="s">
        <v>44</v>
      </c>
      <c r="E19" s="21" t="s">
        <v>40</v>
      </c>
      <c r="F19" s="33" t="s">
        <v>41</v>
      </c>
      <c r="G19" s="57"/>
      <c r="H19" s="54"/>
      <c r="I19" s="67"/>
      <c r="J19" s="57">
        <f t="shared" si="0"/>
        <v>0</v>
      </c>
      <c r="K19" s="57"/>
      <c r="L19" s="57"/>
      <c r="M19" s="57"/>
      <c r="N19" s="57"/>
    </row>
    <row r="20" spans="1:14">
      <c r="A20" s="64"/>
      <c r="C20" s="105"/>
      <c r="D20" s="21" t="s">
        <v>44</v>
      </c>
      <c r="E20" s="21" t="s">
        <v>40</v>
      </c>
      <c r="F20" s="33" t="s">
        <v>41</v>
      </c>
      <c r="G20" s="57"/>
      <c r="H20" s="54"/>
      <c r="I20" s="67"/>
      <c r="J20" s="57">
        <f t="shared" si="0"/>
        <v>0</v>
      </c>
      <c r="K20" s="57"/>
      <c r="L20" s="57"/>
      <c r="M20" s="57"/>
      <c r="N20" s="57"/>
    </row>
    <row r="21" spans="1:14">
      <c r="A21" s="64">
        <v>43556</v>
      </c>
      <c r="B21" s="21" t="s">
        <v>297</v>
      </c>
      <c r="C21" s="105"/>
      <c r="D21" s="21" t="s">
        <v>73</v>
      </c>
      <c r="E21" s="21" t="s">
        <v>278</v>
      </c>
      <c r="F21" s="33" t="s">
        <v>302</v>
      </c>
      <c r="G21" s="57"/>
      <c r="H21" s="54"/>
      <c r="I21" s="67"/>
      <c r="J21" s="57">
        <f t="shared" si="0"/>
        <v>0</v>
      </c>
      <c r="K21" s="57"/>
      <c r="L21" s="57"/>
      <c r="M21" s="57"/>
      <c r="N21" s="57"/>
    </row>
    <row r="22" spans="1:14">
      <c r="A22" s="64">
        <v>43556</v>
      </c>
      <c r="B22" s="21" t="s">
        <v>297</v>
      </c>
      <c r="C22" s="105"/>
      <c r="D22" s="21" t="s">
        <v>62</v>
      </c>
      <c r="E22" s="21" t="s">
        <v>63</v>
      </c>
      <c r="F22" s="33" t="s">
        <v>64</v>
      </c>
      <c r="G22" s="57"/>
      <c r="H22" s="54"/>
      <c r="I22" s="67"/>
      <c r="J22" s="57">
        <f t="shared" si="0"/>
        <v>0</v>
      </c>
      <c r="K22" s="57">
        <f>(J22)*0.05*N2</f>
        <v>0</v>
      </c>
      <c r="L22" s="57">
        <f>(J22)*0.25*N2</f>
        <v>0</v>
      </c>
      <c r="M22" s="57">
        <f>L22-K22</f>
        <v>0</v>
      </c>
      <c r="N22" s="57">
        <f>M22*0.1</f>
        <v>0</v>
      </c>
    </row>
    <row r="23" spans="1:14">
      <c r="A23" s="64">
        <v>43556</v>
      </c>
      <c r="B23" s="21" t="s">
        <v>297</v>
      </c>
      <c r="C23" s="105"/>
      <c r="D23" s="21" t="s">
        <v>67</v>
      </c>
      <c r="E23" s="21" t="s">
        <v>68</v>
      </c>
      <c r="F23" s="33" t="s">
        <v>69</v>
      </c>
      <c r="G23" s="57"/>
      <c r="H23" s="54"/>
      <c r="I23" s="68"/>
      <c r="J23" s="57">
        <f t="shared" si="0"/>
        <v>0</v>
      </c>
      <c r="K23" s="57"/>
      <c r="L23" s="57">
        <f>K23/0.05*0.25</f>
        <v>0</v>
      </c>
      <c r="M23" s="57">
        <f>L23-K23</f>
        <v>0</v>
      </c>
      <c r="N23" s="57"/>
    </row>
    <row r="24" spans="1:14">
      <c r="A24" s="64">
        <v>43556</v>
      </c>
      <c r="B24" s="21" t="s">
        <v>297</v>
      </c>
      <c r="C24" s="105"/>
      <c r="D24" s="21" t="s">
        <v>67</v>
      </c>
      <c r="E24" s="21" t="s">
        <v>68</v>
      </c>
      <c r="F24" s="33" t="s">
        <v>303</v>
      </c>
      <c r="G24" s="57"/>
      <c r="H24" s="54"/>
      <c r="I24" s="67"/>
      <c r="J24" s="57">
        <f t="shared" si="0"/>
        <v>0</v>
      </c>
      <c r="K24" s="57"/>
      <c r="L24" s="57"/>
      <c r="M24" s="57"/>
      <c r="N24" s="57"/>
    </row>
    <row r="25" spans="1:14">
      <c r="A25" s="64">
        <v>43556</v>
      </c>
      <c r="B25" s="21" t="s">
        <v>297</v>
      </c>
      <c r="C25" s="105"/>
      <c r="D25" s="21" t="s">
        <v>56</v>
      </c>
      <c r="E25" s="21" t="s">
        <v>68</v>
      </c>
      <c r="F25" s="33" t="s">
        <v>69</v>
      </c>
      <c r="G25" s="57"/>
      <c r="H25" s="54"/>
      <c r="I25" s="67"/>
      <c r="J25" s="57">
        <f t="shared" si="0"/>
        <v>0</v>
      </c>
      <c r="K25" s="57"/>
      <c r="L25" s="57"/>
      <c r="M25" s="57"/>
      <c r="N25" s="57"/>
    </row>
    <row r="26" spans="1:14">
      <c r="A26" s="64">
        <v>43556</v>
      </c>
      <c r="B26" s="21" t="s">
        <v>297</v>
      </c>
      <c r="C26" s="105"/>
      <c r="D26" s="21" t="s">
        <v>56</v>
      </c>
      <c r="E26" s="21" t="s">
        <v>68</v>
      </c>
      <c r="F26" s="33" t="s">
        <v>303</v>
      </c>
      <c r="G26" s="57"/>
      <c r="H26" s="54"/>
      <c r="I26" s="67"/>
      <c r="J26" s="57">
        <f t="shared" si="0"/>
        <v>0</v>
      </c>
      <c r="K26" s="57"/>
      <c r="L26" s="57"/>
      <c r="M26" s="57"/>
      <c r="N26" s="57"/>
    </row>
    <row r="27" spans="1:14">
      <c r="A27" s="64">
        <v>43556</v>
      </c>
      <c r="B27" s="21" t="s">
        <v>297</v>
      </c>
      <c r="C27" s="105"/>
      <c r="D27" s="21" t="s">
        <v>309</v>
      </c>
      <c r="E27" s="21" t="s">
        <v>68</v>
      </c>
      <c r="F27" s="33" t="s">
        <v>69</v>
      </c>
      <c r="G27" s="57"/>
      <c r="H27" s="54"/>
      <c r="I27" s="67"/>
      <c r="J27" s="57">
        <f t="shared" si="0"/>
        <v>0</v>
      </c>
      <c r="K27" s="57"/>
      <c r="L27" s="57"/>
      <c r="M27" s="57"/>
      <c r="N27" s="57"/>
    </row>
    <row r="28" spans="1:14">
      <c r="A28" s="64">
        <v>43556</v>
      </c>
      <c r="B28" s="21" t="s">
        <v>297</v>
      </c>
      <c r="C28" s="105"/>
      <c r="D28" s="75" t="s">
        <v>32</v>
      </c>
      <c r="E28" s="75" t="s">
        <v>310</v>
      </c>
      <c r="F28" s="75" t="s">
        <v>311</v>
      </c>
      <c r="G28" s="76"/>
      <c r="H28" s="77"/>
      <c r="I28" s="67"/>
      <c r="J28" s="57">
        <f t="shared" si="0"/>
        <v>0</v>
      </c>
      <c r="K28" s="57">
        <f>(J28+J30+J31+J33+J32+J34+J29)*0.25*N2</f>
        <v>0</v>
      </c>
      <c r="L28" s="57"/>
      <c r="M28" s="57"/>
      <c r="N28" s="57"/>
    </row>
    <row r="29" spans="1:14">
      <c r="A29" s="64">
        <v>43556</v>
      </c>
      <c r="B29" s="21" t="s">
        <v>297</v>
      </c>
      <c r="C29" s="105"/>
      <c r="D29" s="75" t="s">
        <v>32</v>
      </c>
      <c r="E29" s="75" t="s">
        <v>310</v>
      </c>
      <c r="F29" s="75" t="s">
        <v>312</v>
      </c>
      <c r="G29" s="76"/>
      <c r="H29" s="77"/>
      <c r="I29" s="67"/>
      <c r="J29" s="57">
        <f t="shared" si="0"/>
        <v>0</v>
      </c>
      <c r="K29" s="57"/>
      <c r="L29" s="57"/>
      <c r="M29" s="57"/>
      <c r="N29" s="57"/>
    </row>
    <row r="30" spans="1:14">
      <c r="A30" s="64">
        <v>43556</v>
      </c>
      <c r="B30" s="21" t="s">
        <v>297</v>
      </c>
      <c r="C30" s="105"/>
      <c r="D30" s="75" t="s">
        <v>32</v>
      </c>
      <c r="E30" s="75" t="s">
        <v>310</v>
      </c>
      <c r="F30" s="75" t="s">
        <v>313</v>
      </c>
      <c r="G30" s="76"/>
      <c r="H30" s="77"/>
      <c r="I30" s="67"/>
      <c r="J30" s="57">
        <f t="shared" si="0"/>
        <v>0</v>
      </c>
      <c r="K30" s="57"/>
      <c r="L30" s="57"/>
      <c r="M30" s="57"/>
      <c r="N30" s="57"/>
    </row>
    <row r="31" spans="1:14">
      <c r="A31" s="64">
        <v>43556</v>
      </c>
      <c r="B31" s="21" t="s">
        <v>297</v>
      </c>
      <c r="C31" s="105"/>
      <c r="D31" s="75" t="s">
        <v>38</v>
      </c>
      <c r="E31" s="75" t="s">
        <v>310</v>
      </c>
      <c r="F31" s="75" t="s">
        <v>311</v>
      </c>
      <c r="G31" s="76"/>
      <c r="H31" s="77"/>
      <c r="I31" s="67"/>
      <c r="J31" s="57">
        <f t="shared" si="0"/>
        <v>0</v>
      </c>
      <c r="K31" s="57"/>
      <c r="L31" s="57"/>
      <c r="M31" s="57"/>
      <c r="N31" s="57"/>
    </row>
    <row r="32" spans="1:14">
      <c r="A32" s="64">
        <v>43556</v>
      </c>
      <c r="B32" s="21" t="s">
        <v>297</v>
      </c>
      <c r="C32" s="105"/>
      <c r="D32" s="75" t="s">
        <v>38</v>
      </c>
      <c r="E32" s="75" t="s">
        <v>310</v>
      </c>
      <c r="F32" s="75" t="s">
        <v>312</v>
      </c>
      <c r="G32" s="76"/>
      <c r="H32" s="77"/>
      <c r="I32" s="67"/>
      <c r="J32" s="57">
        <f t="shared" si="0"/>
        <v>0</v>
      </c>
      <c r="K32" s="57"/>
      <c r="L32" s="57"/>
      <c r="M32" s="57"/>
      <c r="N32" s="57"/>
    </row>
    <row r="33" spans="1:14">
      <c r="A33" s="64">
        <v>43556</v>
      </c>
      <c r="B33" s="21" t="s">
        <v>297</v>
      </c>
      <c r="C33" s="105"/>
      <c r="D33" s="75" t="s">
        <v>38</v>
      </c>
      <c r="E33" s="75" t="s">
        <v>310</v>
      </c>
      <c r="F33" s="75" t="s">
        <v>313</v>
      </c>
      <c r="G33" s="76"/>
      <c r="H33" s="77"/>
      <c r="I33" s="67"/>
      <c r="J33" s="57">
        <f t="shared" si="0"/>
        <v>0</v>
      </c>
      <c r="K33" s="57"/>
      <c r="L33" s="57"/>
      <c r="M33" s="57"/>
      <c r="N33" s="57"/>
    </row>
    <row r="34" spans="1:14">
      <c r="A34" s="64">
        <v>43556</v>
      </c>
      <c r="B34" s="21" t="s">
        <v>297</v>
      </c>
      <c r="C34" s="105"/>
      <c r="D34" s="21" t="s">
        <v>29</v>
      </c>
      <c r="E34" s="21" t="s">
        <v>314</v>
      </c>
      <c r="F34" s="33" t="s">
        <v>315</v>
      </c>
      <c r="G34" s="57"/>
      <c r="H34" s="54"/>
      <c r="I34" s="67"/>
      <c r="J34" s="57">
        <f t="shared" si="0"/>
        <v>0</v>
      </c>
      <c r="K34" s="57"/>
      <c r="L34" s="57"/>
      <c r="M34" s="57"/>
      <c r="N34" s="57"/>
    </row>
    <row r="35" spans="1:14">
      <c r="A35" s="64">
        <v>43556</v>
      </c>
      <c r="B35" s="21" t="s">
        <v>297</v>
      </c>
      <c r="C35" s="105"/>
      <c r="D35" s="21" t="s">
        <v>45</v>
      </c>
      <c r="E35" s="21" t="s">
        <v>298</v>
      </c>
      <c r="F35" s="33" t="s">
        <v>299</v>
      </c>
      <c r="G35" s="57"/>
      <c r="H35" s="54"/>
      <c r="I35" s="67"/>
      <c r="J35" s="57">
        <f t="shared" si="0"/>
        <v>0</v>
      </c>
      <c r="K35" s="57"/>
      <c r="L35" s="57"/>
      <c r="M35" s="57"/>
      <c r="N35" s="57"/>
    </row>
    <row r="36" spans="1:14">
      <c r="A36" s="64">
        <v>43556</v>
      </c>
      <c r="B36" s="21" t="s">
        <v>297</v>
      </c>
      <c r="C36" s="105"/>
      <c r="D36" s="21" t="s">
        <v>45</v>
      </c>
      <c r="E36" s="21" t="s">
        <v>298</v>
      </c>
      <c r="F36" s="33" t="s">
        <v>300</v>
      </c>
      <c r="G36" s="57"/>
      <c r="H36" s="54"/>
      <c r="I36" s="67"/>
      <c r="J36" s="57">
        <f t="shared" si="0"/>
        <v>0</v>
      </c>
      <c r="K36" s="57"/>
      <c r="L36" s="57"/>
      <c r="M36" s="57"/>
      <c r="N36" s="57"/>
    </row>
    <row r="37" spans="1:14">
      <c r="A37" s="64">
        <v>43556</v>
      </c>
      <c r="B37" s="21" t="s">
        <v>297</v>
      </c>
      <c r="C37" s="105"/>
      <c r="D37" s="21" t="s">
        <v>45</v>
      </c>
      <c r="E37" s="21" t="s">
        <v>298</v>
      </c>
      <c r="F37" s="33" t="s">
        <v>301</v>
      </c>
      <c r="G37" s="57"/>
      <c r="H37" s="54"/>
      <c r="I37" s="68"/>
      <c r="J37" s="57">
        <f t="shared" si="0"/>
        <v>0</v>
      </c>
      <c r="K37" s="57"/>
      <c r="L37" s="57"/>
      <c r="M37" s="57"/>
      <c r="N37" s="57"/>
    </row>
    <row r="38" spans="1:14">
      <c r="A38" s="64">
        <v>43556</v>
      </c>
      <c r="B38" s="21" t="s">
        <v>297</v>
      </c>
      <c r="C38" s="105"/>
      <c r="D38" s="21" t="s">
        <v>70</v>
      </c>
      <c r="E38" s="21" t="s">
        <v>238</v>
      </c>
      <c r="F38" s="33" t="s">
        <v>239</v>
      </c>
      <c r="G38" s="57"/>
      <c r="H38" s="54"/>
      <c r="I38" s="67"/>
      <c r="J38" s="57">
        <f t="shared" si="0"/>
        <v>0</v>
      </c>
      <c r="K38" s="57"/>
      <c r="L38" s="57"/>
      <c r="M38" s="57"/>
      <c r="N38" s="57"/>
    </row>
    <row r="39" spans="1:14">
      <c r="A39" s="64">
        <v>43556</v>
      </c>
      <c r="B39" s="21" t="s">
        <v>297</v>
      </c>
      <c r="C39" s="105"/>
      <c r="D39" s="21" t="s">
        <v>70</v>
      </c>
      <c r="E39" s="21" t="s">
        <v>238</v>
      </c>
      <c r="F39" s="33" t="s">
        <v>316</v>
      </c>
      <c r="G39" s="57"/>
      <c r="H39" s="54"/>
      <c r="I39" s="67"/>
      <c r="J39" s="57">
        <f t="shared" si="0"/>
        <v>0</v>
      </c>
      <c r="K39" s="57"/>
      <c r="L39" s="57"/>
      <c r="M39" s="57"/>
      <c r="N39" s="57"/>
    </row>
    <row r="40" spans="1:14">
      <c r="A40" s="64">
        <v>43556</v>
      </c>
      <c r="B40" s="21" t="s">
        <v>297</v>
      </c>
      <c r="C40" s="105"/>
      <c r="D40" s="21" t="s">
        <v>70</v>
      </c>
      <c r="E40" s="21" t="s">
        <v>238</v>
      </c>
      <c r="F40" s="33" t="s">
        <v>317</v>
      </c>
      <c r="G40" s="57"/>
      <c r="H40" s="54"/>
      <c r="I40" s="67"/>
      <c r="J40" s="57">
        <f t="shared" si="0"/>
        <v>0</v>
      </c>
      <c r="K40" s="57"/>
      <c r="L40" s="57"/>
      <c r="M40" s="57"/>
      <c r="N40" s="57"/>
    </row>
    <row r="41" spans="1:14">
      <c r="A41" s="64"/>
      <c r="C41" s="105"/>
      <c r="D41" s="21" t="s">
        <v>71</v>
      </c>
      <c r="E41" s="21" t="s">
        <v>278</v>
      </c>
      <c r="F41" s="33" t="s">
        <v>302</v>
      </c>
      <c r="G41" s="57"/>
      <c r="H41" s="54"/>
      <c r="I41" s="68"/>
      <c r="J41" s="57">
        <f t="shared" si="0"/>
        <v>0</v>
      </c>
      <c r="K41" s="57"/>
      <c r="L41" s="57"/>
      <c r="M41" s="57"/>
      <c r="N41" s="57"/>
    </row>
    <row r="42" spans="1:14">
      <c r="A42" s="64"/>
      <c r="C42" s="105"/>
      <c r="D42" s="21" t="s">
        <v>71</v>
      </c>
      <c r="E42" s="21" t="s">
        <v>278</v>
      </c>
      <c r="F42" s="33" t="s">
        <v>305</v>
      </c>
      <c r="G42" s="57"/>
      <c r="H42" s="54"/>
      <c r="I42" s="67"/>
      <c r="J42" s="57">
        <f t="shared" si="0"/>
        <v>0</v>
      </c>
      <c r="K42" s="57"/>
      <c r="L42" s="57"/>
      <c r="M42" s="57"/>
      <c r="N42" s="57"/>
    </row>
    <row r="43" spans="1:14">
      <c r="A43" s="64">
        <v>43556</v>
      </c>
      <c r="B43" s="21" t="s">
        <v>297</v>
      </c>
      <c r="C43" s="105"/>
      <c r="D43" s="21" t="s">
        <v>50</v>
      </c>
      <c r="E43" s="21" t="s">
        <v>278</v>
      </c>
      <c r="F43" s="33" t="s">
        <v>302</v>
      </c>
      <c r="G43" s="57"/>
      <c r="H43" s="54"/>
      <c r="I43" s="67"/>
      <c r="J43" s="57">
        <f t="shared" si="0"/>
        <v>0</v>
      </c>
      <c r="K43" s="57">
        <f>(J6+J9+J21+J41+J42+J43+J44+J45+J46+J47+J48+J49+J52+J53)*0.05*N2</f>
        <v>0</v>
      </c>
      <c r="L43" s="57">
        <f>K43/0.05*0.25</f>
        <v>0</v>
      </c>
      <c r="M43" s="57">
        <f>L43-K43</f>
        <v>0</v>
      </c>
      <c r="N43" s="57"/>
    </row>
    <row r="44" spans="1:14">
      <c r="A44" s="64">
        <v>43556</v>
      </c>
      <c r="B44" s="21" t="s">
        <v>297</v>
      </c>
      <c r="C44" s="105"/>
      <c r="D44" s="21" t="s">
        <v>50</v>
      </c>
      <c r="E44" s="21" t="s">
        <v>278</v>
      </c>
      <c r="F44" s="33" t="s">
        <v>305</v>
      </c>
      <c r="G44" s="57"/>
      <c r="H44" s="54"/>
      <c r="I44" s="67"/>
      <c r="J44" s="57">
        <f t="shared" si="0"/>
        <v>0</v>
      </c>
      <c r="K44" s="57"/>
      <c r="L44" s="57"/>
      <c r="M44" s="57"/>
      <c r="N44" s="57"/>
    </row>
    <row r="45" spans="1:14">
      <c r="A45" s="64">
        <v>43556</v>
      </c>
      <c r="B45" s="21" t="s">
        <v>297</v>
      </c>
      <c r="C45" s="105"/>
      <c r="D45" s="21" t="s">
        <v>318</v>
      </c>
      <c r="E45" s="21" t="s">
        <v>278</v>
      </c>
      <c r="F45" s="33" t="s">
        <v>302</v>
      </c>
      <c r="G45" s="57"/>
      <c r="H45" s="54"/>
      <c r="I45" s="67"/>
      <c r="J45" s="57">
        <f t="shared" si="0"/>
        <v>0</v>
      </c>
      <c r="K45" s="57"/>
      <c r="L45" s="57"/>
      <c r="M45" s="57"/>
      <c r="N45" s="57"/>
    </row>
    <row r="46" spans="1:14">
      <c r="A46" s="64">
        <v>43556</v>
      </c>
      <c r="B46" s="21" t="s">
        <v>297</v>
      </c>
      <c r="C46" s="105"/>
      <c r="D46" s="21" t="s">
        <v>318</v>
      </c>
      <c r="E46" s="21" t="s">
        <v>278</v>
      </c>
      <c r="F46" s="33" t="s">
        <v>319</v>
      </c>
      <c r="G46" s="57"/>
      <c r="H46" s="54"/>
      <c r="I46" s="67"/>
      <c r="J46" s="57">
        <f t="shared" si="0"/>
        <v>0</v>
      </c>
      <c r="K46" s="57"/>
      <c r="L46" s="57"/>
      <c r="M46" s="57"/>
      <c r="N46" s="57"/>
    </row>
    <row r="47" spans="1:14">
      <c r="A47" s="64">
        <v>43556</v>
      </c>
      <c r="B47" s="21" t="s">
        <v>297</v>
      </c>
      <c r="C47" s="105"/>
      <c r="D47" s="21" t="s">
        <v>318</v>
      </c>
      <c r="E47" s="21" t="s">
        <v>278</v>
      </c>
      <c r="F47" s="33" t="s">
        <v>305</v>
      </c>
      <c r="G47" s="57"/>
      <c r="H47" s="54"/>
      <c r="I47" s="67"/>
      <c r="J47" s="57">
        <f t="shared" si="0"/>
        <v>0</v>
      </c>
      <c r="K47" s="57"/>
      <c r="L47" s="57"/>
      <c r="M47" s="57"/>
      <c r="N47" s="57"/>
    </row>
    <row r="48" spans="1:14">
      <c r="A48" s="64">
        <v>43556</v>
      </c>
      <c r="B48" s="21" t="s">
        <v>297</v>
      </c>
      <c r="C48" s="105"/>
      <c r="D48" s="21" t="s">
        <v>77</v>
      </c>
      <c r="E48" s="21" t="s">
        <v>278</v>
      </c>
      <c r="F48" s="33" t="s">
        <v>302</v>
      </c>
      <c r="G48" s="57"/>
      <c r="H48" s="54"/>
      <c r="I48" s="67"/>
      <c r="J48" s="57">
        <f t="shared" si="0"/>
        <v>0</v>
      </c>
      <c r="K48" s="57"/>
      <c r="L48" s="57"/>
      <c r="M48" s="57"/>
      <c r="N48" s="57"/>
    </row>
    <row r="49" spans="1:14">
      <c r="A49" s="64">
        <v>43556</v>
      </c>
      <c r="B49" s="21" t="s">
        <v>297</v>
      </c>
      <c r="C49" s="105"/>
      <c r="D49" s="21" t="s">
        <v>77</v>
      </c>
      <c r="E49" s="21" t="s">
        <v>278</v>
      </c>
      <c r="F49" s="33" t="s">
        <v>305</v>
      </c>
      <c r="G49" s="57"/>
      <c r="H49" s="54"/>
      <c r="I49" s="67"/>
      <c r="J49" s="57">
        <f t="shared" si="0"/>
        <v>0</v>
      </c>
      <c r="K49" s="57"/>
      <c r="L49" s="57"/>
      <c r="M49" s="57"/>
      <c r="N49" s="57"/>
    </row>
    <row r="50" spans="1:14">
      <c r="A50" s="64">
        <v>43556</v>
      </c>
      <c r="B50" s="21" t="s">
        <v>297</v>
      </c>
      <c r="C50" s="105"/>
      <c r="D50" s="21" t="s">
        <v>60</v>
      </c>
      <c r="E50" s="21" t="s">
        <v>238</v>
      </c>
      <c r="F50" s="33" t="s">
        <v>239</v>
      </c>
      <c r="G50" s="57"/>
      <c r="H50" s="54"/>
      <c r="I50" s="68"/>
      <c r="J50" s="57">
        <f t="shared" si="0"/>
        <v>0</v>
      </c>
      <c r="K50" s="57"/>
      <c r="L50" s="57"/>
      <c r="M50" s="57"/>
      <c r="N50" s="57"/>
    </row>
    <row r="51" spans="1:14">
      <c r="A51" s="64">
        <v>43556</v>
      </c>
      <c r="B51" s="21" t="s">
        <v>297</v>
      </c>
      <c r="C51" s="105"/>
      <c r="D51" s="21" t="s">
        <v>60</v>
      </c>
      <c r="E51" s="21" t="s">
        <v>238</v>
      </c>
      <c r="F51" s="33" t="s">
        <v>317</v>
      </c>
      <c r="G51" s="57"/>
      <c r="H51" s="54"/>
      <c r="I51" s="67"/>
      <c r="J51" s="57">
        <f t="shared" si="0"/>
        <v>0</v>
      </c>
      <c r="K51" s="57"/>
      <c r="L51" s="57"/>
      <c r="M51" s="57"/>
      <c r="N51" s="57"/>
    </row>
    <row r="52" spans="1:14">
      <c r="A52" s="64">
        <v>43556</v>
      </c>
      <c r="B52" s="21" t="s">
        <v>297</v>
      </c>
      <c r="C52" s="105"/>
      <c r="D52" s="21" t="s">
        <v>72</v>
      </c>
      <c r="E52" s="21" t="s">
        <v>278</v>
      </c>
      <c r="F52" s="33" t="s">
        <v>302</v>
      </c>
      <c r="G52" s="57"/>
      <c r="H52" s="54"/>
      <c r="I52" s="67"/>
      <c r="J52" s="57">
        <f t="shared" si="0"/>
        <v>0</v>
      </c>
      <c r="K52" s="57"/>
      <c r="L52" s="57"/>
      <c r="M52" s="57"/>
      <c r="N52" s="57"/>
    </row>
    <row r="53" spans="1:14">
      <c r="A53" s="64">
        <v>43556</v>
      </c>
      <c r="B53" s="21" t="s">
        <v>297</v>
      </c>
      <c r="C53" s="105"/>
      <c r="D53" s="21" t="s">
        <v>73</v>
      </c>
      <c r="E53" s="21" t="s">
        <v>278</v>
      </c>
      <c r="F53" s="33" t="s">
        <v>302</v>
      </c>
      <c r="G53" s="57"/>
      <c r="H53" s="54"/>
      <c r="I53" s="68"/>
      <c r="J53" s="57">
        <f t="shared" si="0"/>
        <v>0</v>
      </c>
      <c r="K53" s="57"/>
      <c r="L53" s="57"/>
      <c r="M53" s="57"/>
      <c r="N53" s="57"/>
    </row>
    <row r="54" spans="1:14">
      <c r="A54" s="64">
        <v>43556</v>
      </c>
      <c r="B54" s="21" t="s">
        <v>297</v>
      </c>
      <c r="C54" s="105"/>
      <c r="D54" s="21" t="s">
        <v>61</v>
      </c>
      <c r="E54" s="21" t="s">
        <v>238</v>
      </c>
      <c r="F54" s="33" t="s">
        <v>239</v>
      </c>
      <c r="G54" s="57"/>
      <c r="H54" s="54"/>
      <c r="I54" s="67"/>
      <c r="J54" s="57">
        <f t="shared" si="0"/>
        <v>0</v>
      </c>
      <c r="K54" s="57"/>
      <c r="L54" s="57"/>
      <c r="M54" s="57"/>
      <c r="N54" s="57"/>
    </row>
    <row r="55" spans="1:14">
      <c r="A55" s="64">
        <v>43556</v>
      </c>
      <c r="B55" s="21" t="s">
        <v>297</v>
      </c>
      <c r="C55" s="105"/>
      <c r="D55" s="21" t="s">
        <v>61</v>
      </c>
      <c r="E55" s="21" t="s">
        <v>238</v>
      </c>
      <c r="F55" s="33" t="s">
        <v>317</v>
      </c>
      <c r="G55" s="57"/>
      <c r="H55" s="54"/>
      <c r="I55" s="67"/>
      <c r="J55" s="57">
        <f t="shared" si="0"/>
        <v>0</v>
      </c>
      <c r="K55" s="57"/>
      <c r="L55" s="57"/>
      <c r="M55" s="57"/>
      <c r="N55" s="57"/>
    </row>
    <row r="56" spans="1:14">
      <c r="A56" s="64">
        <v>43556</v>
      </c>
      <c r="B56" s="21" t="s">
        <v>297</v>
      </c>
      <c r="C56" s="105"/>
      <c r="D56" s="21" t="s">
        <v>78</v>
      </c>
      <c r="E56" s="21" t="s">
        <v>238</v>
      </c>
      <c r="F56" s="33" t="s">
        <v>316</v>
      </c>
      <c r="G56" s="94"/>
      <c r="H56" s="54"/>
      <c r="I56" s="68"/>
      <c r="J56" s="57">
        <f t="shared" si="0"/>
        <v>0</v>
      </c>
      <c r="K56" s="57"/>
      <c r="L56" s="57"/>
      <c r="M56" s="57"/>
      <c r="N56" s="57"/>
    </row>
    <row r="57" spans="1:14">
      <c r="A57" s="64">
        <v>43556</v>
      </c>
      <c r="B57" s="21" t="s">
        <v>297</v>
      </c>
      <c r="C57" s="105"/>
      <c r="D57" s="21" t="s">
        <v>78</v>
      </c>
      <c r="E57" s="21" t="s">
        <v>238</v>
      </c>
      <c r="F57" s="33" t="s">
        <v>317</v>
      </c>
      <c r="G57" s="94"/>
      <c r="H57" s="54"/>
      <c r="I57" s="67"/>
      <c r="J57" s="57">
        <f t="shared" si="0"/>
        <v>0</v>
      </c>
      <c r="K57" s="57"/>
      <c r="L57" s="57"/>
      <c r="M57" s="57"/>
      <c r="N57" s="57"/>
    </row>
    <row r="58" spans="1:14">
      <c r="A58" s="64">
        <v>43556</v>
      </c>
      <c r="B58" s="21" t="s">
        <v>297</v>
      </c>
      <c r="C58" s="102" t="s">
        <v>83</v>
      </c>
      <c r="D58" s="21" t="s">
        <v>320</v>
      </c>
      <c r="E58" s="21" t="s">
        <v>99</v>
      </c>
      <c r="F58" s="33" t="s">
        <v>100</v>
      </c>
      <c r="G58" s="94"/>
      <c r="H58" s="54"/>
      <c r="I58" s="67"/>
      <c r="J58" s="57">
        <f t="shared" si="0"/>
        <v>0</v>
      </c>
      <c r="K58" s="57">
        <f>(J58+J59+J60+J61+J62+J65)*0.03*N2</f>
        <v>0</v>
      </c>
      <c r="L58" s="57">
        <f>K58/0.03*0.25</f>
        <v>0</v>
      </c>
      <c r="M58" s="57">
        <f>L58-K58</f>
        <v>0</v>
      </c>
      <c r="N58" s="57"/>
    </row>
    <row r="59" spans="1:14">
      <c r="A59" s="64">
        <v>43556</v>
      </c>
      <c r="B59" s="21" t="s">
        <v>297</v>
      </c>
      <c r="C59" s="103"/>
      <c r="D59" s="21" t="s">
        <v>320</v>
      </c>
      <c r="E59" s="21" t="s">
        <v>99</v>
      </c>
      <c r="F59" s="33" t="s">
        <v>101</v>
      </c>
      <c r="G59" s="94"/>
      <c r="H59" s="54"/>
      <c r="I59" s="67"/>
      <c r="J59" s="57">
        <f t="shared" si="0"/>
        <v>0</v>
      </c>
      <c r="K59" s="57"/>
      <c r="L59" s="57"/>
      <c r="M59" s="57"/>
      <c r="N59" s="57"/>
    </row>
    <row r="60" spans="1:14">
      <c r="A60" s="64">
        <v>43556</v>
      </c>
      <c r="B60" s="21" t="s">
        <v>297</v>
      </c>
      <c r="C60" s="103"/>
      <c r="D60" s="21" t="s">
        <v>105</v>
      </c>
      <c r="E60" s="21" t="s">
        <v>99</v>
      </c>
      <c r="F60" s="33" t="s">
        <v>100</v>
      </c>
      <c r="G60" s="94"/>
      <c r="H60" s="54"/>
      <c r="I60" s="67"/>
      <c r="J60" s="57">
        <f t="shared" si="0"/>
        <v>0</v>
      </c>
      <c r="K60" s="57"/>
      <c r="L60" s="57">
        <f>K60/0.03*0.25</f>
        <v>0</v>
      </c>
      <c r="M60" s="57">
        <f>L60-K60</f>
        <v>0</v>
      </c>
      <c r="N60" s="57"/>
    </row>
    <row r="61" spans="1:14">
      <c r="A61" s="64">
        <v>43556</v>
      </c>
      <c r="B61" s="21" t="s">
        <v>297</v>
      </c>
      <c r="C61" s="103"/>
      <c r="D61" s="21" t="s">
        <v>105</v>
      </c>
      <c r="E61" s="21" t="s">
        <v>99</v>
      </c>
      <c r="F61" s="33" t="s">
        <v>101</v>
      </c>
      <c r="G61" s="94"/>
      <c r="H61" s="54"/>
      <c r="I61" s="67"/>
      <c r="J61" s="57">
        <f t="shared" si="0"/>
        <v>0</v>
      </c>
      <c r="K61" s="57"/>
      <c r="L61" s="57"/>
      <c r="M61" s="57"/>
      <c r="N61" s="57"/>
    </row>
    <row r="62" spans="1:14">
      <c r="A62" s="64"/>
      <c r="C62" s="103"/>
      <c r="D62" s="21" t="s">
        <v>321</v>
      </c>
      <c r="E62" s="21" t="s">
        <v>99</v>
      </c>
      <c r="F62" s="33" t="s">
        <v>100</v>
      </c>
      <c r="G62" s="94"/>
      <c r="H62" s="54"/>
      <c r="I62" s="67"/>
      <c r="J62" s="57">
        <f t="shared" si="0"/>
        <v>0</v>
      </c>
      <c r="K62" s="57"/>
      <c r="L62" s="57"/>
      <c r="M62" s="57"/>
      <c r="N62" s="57"/>
    </row>
    <row r="63" spans="1:14">
      <c r="A63" s="64">
        <v>43556</v>
      </c>
      <c r="B63" s="21" t="s">
        <v>297</v>
      </c>
      <c r="C63" s="103"/>
      <c r="D63" s="21" t="s">
        <v>84</v>
      </c>
      <c r="E63" s="21" t="s">
        <v>85</v>
      </c>
      <c r="F63" s="33" t="s">
        <v>322</v>
      </c>
      <c r="G63" s="57"/>
      <c r="H63" s="54"/>
      <c r="I63" s="67"/>
      <c r="J63" s="57">
        <f t="shared" si="0"/>
        <v>0</v>
      </c>
      <c r="K63" s="57">
        <f>(J63+J64+J68+J69+J72+J73)*0.03*N2</f>
        <v>0</v>
      </c>
      <c r="L63" s="57">
        <f>K63/0.03*0.25</f>
        <v>0</v>
      </c>
      <c r="M63" s="57">
        <f>L63-K63</f>
        <v>0</v>
      </c>
      <c r="N63" s="57"/>
    </row>
    <row r="64" spans="1:14">
      <c r="A64" s="64">
        <v>43556</v>
      </c>
      <c r="B64" s="21" t="s">
        <v>297</v>
      </c>
      <c r="C64" s="103"/>
      <c r="D64" s="21" t="s">
        <v>84</v>
      </c>
      <c r="E64" s="21" t="s">
        <v>85</v>
      </c>
      <c r="F64" s="33" t="s">
        <v>323</v>
      </c>
      <c r="G64" s="57"/>
      <c r="H64" s="54"/>
      <c r="I64" s="67"/>
      <c r="J64" s="57">
        <f t="shared" si="0"/>
        <v>0</v>
      </c>
      <c r="K64" s="57"/>
      <c r="L64" s="57"/>
      <c r="M64" s="57"/>
      <c r="N64" s="57"/>
    </row>
    <row r="65" spans="1:14">
      <c r="A65" s="64">
        <v>43556</v>
      </c>
      <c r="B65" s="21" t="s">
        <v>297</v>
      </c>
      <c r="C65" s="103"/>
      <c r="D65" s="21" t="s">
        <v>98</v>
      </c>
      <c r="E65" s="21" t="s">
        <v>99</v>
      </c>
      <c r="F65" s="33" t="s">
        <v>100</v>
      </c>
      <c r="G65" s="94"/>
      <c r="H65" s="54"/>
      <c r="I65" s="68"/>
      <c r="J65" s="57">
        <f t="shared" si="0"/>
        <v>0</v>
      </c>
      <c r="K65" s="57"/>
      <c r="L65" s="57"/>
      <c r="M65" s="57"/>
      <c r="N65" s="57"/>
    </row>
    <row r="66" spans="1:14">
      <c r="A66" s="64">
        <v>43556</v>
      </c>
      <c r="B66" s="21" t="s">
        <v>297</v>
      </c>
      <c r="C66" s="103"/>
      <c r="D66" s="21" t="s">
        <v>102</v>
      </c>
      <c r="E66" s="21" t="s">
        <v>93</v>
      </c>
      <c r="F66" s="33" t="s">
        <v>94</v>
      </c>
      <c r="G66" s="57"/>
      <c r="H66" s="54"/>
      <c r="I66" s="67"/>
      <c r="J66" s="57">
        <f t="shared" si="0"/>
        <v>0</v>
      </c>
      <c r="K66" s="57"/>
      <c r="L66" s="57"/>
      <c r="M66" s="57"/>
      <c r="N66" s="57"/>
    </row>
    <row r="67" spans="1:14">
      <c r="A67" s="64">
        <v>43556</v>
      </c>
      <c r="B67" s="21" t="s">
        <v>297</v>
      </c>
      <c r="C67" s="103"/>
      <c r="D67" s="21" t="s">
        <v>102</v>
      </c>
      <c r="E67" s="21" t="s">
        <v>93</v>
      </c>
      <c r="F67" s="33" t="s">
        <v>97</v>
      </c>
      <c r="G67" s="57"/>
      <c r="H67" s="54"/>
      <c r="I67" s="67"/>
      <c r="J67" s="57">
        <f t="shared" ref="J67:J130" si="2">G67*H67-I67</f>
        <v>0</v>
      </c>
      <c r="K67" s="57"/>
      <c r="L67" s="57"/>
      <c r="M67" s="57"/>
      <c r="N67" s="57"/>
    </row>
    <row r="68" spans="1:14">
      <c r="A68" s="64">
        <v>43556</v>
      </c>
      <c r="B68" s="21" t="s">
        <v>297</v>
      </c>
      <c r="C68" s="103"/>
      <c r="D68" s="21" t="s">
        <v>95</v>
      </c>
      <c r="E68" s="21" t="s">
        <v>85</v>
      </c>
      <c r="F68" s="33" t="s">
        <v>322</v>
      </c>
      <c r="G68" s="57"/>
      <c r="H68" s="54"/>
      <c r="I68" s="67"/>
      <c r="J68" s="57">
        <f t="shared" si="2"/>
        <v>0</v>
      </c>
      <c r="K68" s="57"/>
      <c r="L68" s="57"/>
      <c r="M68" s="57"/>
      <c r="N68" s="57"/>
    </row>
    <row r="69" spans="1:14">
      <c r="A69" s="64">
        <v>43556</v>
      </c>
      <c r="B69" s="21" t="s">
        <v>297</v>
      </c>
      <c r="C69" s="103"/>
      <c r="D69" s="21" t="s">
        <v>95</v>
      </c>
      <c r="E69" s="21" t="s">
        <v>85</v>
      </c>
      <c r="F69" s="33" t="s">
        <v>323</v>
      </c>
      <c r="G69" s="57"/>
      <c r="H69" s="54"/>
      <c r="I69" s="67"/>
      <c r="J69" s="57">
        <f t="shared" si="2"/>
        <v>0</v>
      </c>
      <c r="K69" s="57"/>
      <c r="L69" s="57"/>
      <c r="M69" s="57"/>
      <c r="N69" s="57"/>
    </row>
    <row r="70" spans="1:14">
      <c r="A70" s="64">
        <v>43556</v>
      </c>
      <c r="B70" s="21" t="s">
        <v>297</v>
      </c>
      <c r="C70" s="103"/>
      <c r="D70" s="21" t="s">
        <v>103</v>
      </c>
      <c r="E70" s="21" t="s">
        <v>93</v>
      </c>
      <c r="F70" s="33" t="s">
        <v>94</v>
      </c>
      <c r="G70" s="57"/>
      <c r="H70" s="54"/>
      <c r="I70" s="67"/>
      <c r="J70" s="57">
        <f t="shared" si="2"/>
        <v>0</v>
      </c>
      <c r="K70" s="57">
        <f>(J70+J71+J66+J67)*0.2*N2</f>
        <v>0</v>
      </c>
      <c r="L70" s="57"/>
      <c r="M70" s="57"/>
      <c r="N70" s="57"/>
    </row>
    <row r="71" spans="1:14">
      <c r="A71" s="64">
        <v>43556</v>
      </c>
      <c r="B71" s="21" t="s">
        <v>297</v>
      </c>
      <c r="C71" s="103"/>
      <c r="D71" s="21" t="s">
        <v>103</v>
      </c>
      <c r="E71" s="21" t="s">
        <v>93</v>
      </c>
      <c r="F71" s="33" t="s">
        <v>97</v>
      </c>
      <c r="G71" s="57"/>
      <c r="H71" s="54"/>
      <c r="I71" s="67"/>
      <c r="J71" s="57">
        <f t="shared" si="2"/>
        <v>0</v>
      </c>
      <c r="K71" s="57"/>
      <c r="L71" s="57"/>
      <c r="M71" s="57"/>
      <c r="N71" s="57"/>
    </row>
    <row r="72" spans="1:14">
      <c r="A72" s="64">
        <v>43556</v>
      </c>
      <c r="B72" s="21" t="s">
        <v>297</v>
      </c>
      <c r="C72" s="103"/>
      <c r="D72" s="21" t="s">
        <v>324</v>
      </c>
      <c r="E72" s="21" t="s">
        <v>85</v>
      </c>
      <c r="F72" s="33" t="s">
        <v>322</v>
      </c>
      <c r="G72" s="57"/>
      <c r="H72" s="54"/>
      <c r="I72" s="68"/>
      <c r="J72" s="57">
        <f t="shared" si="2"/>
        <v>0</v>
      </c>
      <c r="K72" s="57"/>
      <c r="L72" s="57"/>
      <c r="M72" s="57"/>
      <c r="N72" s="57"/>
    </row>
    <row r="73" spans="1:14">
      <c r="A73" s="64">
        <v>43556</v>
      </c>
      <c r="B73" s="21" t="s">
        <v>297</v>
      </c>
      <c r="C73" s="104"/>
      <c r="D73" s="21" t="s">
        <v>324</v>
      </c>
      <c r="E73" s="21" t="s">
        <v>85</v>
      </c>
      <c r="F73" s="33" t="s">
        <v>323</v>
      </c>
      <c r="G73" s="57"/>
      <c r="H73" s="54"/>
      <c r="I73" s="67"/>
      <c r="J73" s="57">
        <f t="shared" si="2"/>
        <v>0</v>
      </c>
      <c r="K73" s="57"/>
      <c r="L73" s="57"/>
      <c r="M73" s="57"/>
      <c r="N73" s="57"/>
    </row>
    <row r="74" spans="1:14">
      <c r="A74" s="64">
        <v>43556</v>
      </c>
      <c r="B74" s="21" t="s">
        <v>297</v>
      </c>
      <c r="C74" s="105" t="s">
        <v>139</v>
      </c>
      <c r="D74" s="21" t="s">
        <v>166</v>
      </c>
      <c r="E74" s="21" t="s">
        <v>144</v>
      </c>
      <c r="F74" s="33" t="s">
        <v>325</v>
      </c>
      <c r="G74" s="57"/>
      <c r="H74" s="54"/>
      <c r="I74" s="67"/>
      <c r="J74" s="57">
        <f t="shared" si="2"/>
        <v>0</v>
      </c>
      <c r="K74" s="57"/>
      <c r="L74" s="57"/>
      <c r="M74" s="57"/>
      <c r="N74" s="57"/>
    </row>
    <row r="75" spans="1:14">
      <c r="A75" s="64">
        <v>43556</v>
      </c>
      <c r="B75" s="21" t="s">
        <v>297</v>
      </c>
      <c r="C75" s="105"/>
      <c r="D75" s="21" t="s">
        <v>166</v>
      </c>
      <c r="E75" s="21" t="s">
        <v>144</v>
      </c>
      <c r="F75" s="33" t="s">
        <v>326</v>
      </c>
      <c r="G75" s="57"/>
      <c r="H75" s="54"/>
      <c r="I75" s="67"/>
      <c r="J75" s="57">
        <f t="shared" si="2"/>
        <v>0</v>
      </c>
      <c r="K75" s="57"/>
      <c r="L75" s="57"/>
      <c r="M75" s="57"/>
      <c r="N75" s="57"/>
    </row>
    <row r="76" spans="1:14">
      <c r="A76" s="64">
        <v>43556</v>
      </c>
      <c r="B76" s="21" t="s">
        <v>297</v>
      </c>
      <c r="C76" s="105"/>
      <c r="D76" s="21" t="s">
        <v>166</v>
      </c>
      <c r="E76" s="21" t="s">
        <v>144</v>
      </c>
      <c r="F76" s="33" t="s">
        <v>327</v>
      </c>
      <c r="G76" s="57"/>
      <c r="H76" s="54"/>
      <c r="I76" s="67"/>
      <c r="J76" s="57">
        <f t="shared" si="2"/>
        <v>0</v>
      </c>
      <c r="K76" s="57"/>
      <c r="L76" s="57"/>
      <c r="M76" s="57"/>
      <c r="N76" s="57"/>
    </row>
    <row r="77" spans="1:14">
      <c r="A77" s="64"/>
      <c r="C77" s="105"/>
      <c r="D77" s="21" t="s">
        <v>165</v>
      </c>
      <c r="E77" s="21" t="s">
        <v>144</v>
      </c>
      <c r="F77" s="33" t="s">
        <v>326</v>
      </c>
      <c r="G77" s="57"/>
      <c r="H77" s="54"/>
      <c r="I77" s="67"/>
      <c r="J77" s="57">
        <f t="shared" si="2"/>
        <v>0</v>
      </c>
      <c r="K77" s="57"/>
      <c r="L77" s="57"/>
      <c r="M77" s="57"/>
      <c r="N77" s="57"/>
    </row>
    <row r="78" spans="1:14">
      <c r="A78" s="64"/>
      <c r="C78" s="105"/>
      <c r="D78" s="21" t="s">
        <v>165</v>
      </c>
      <c r="E78" s="21" t="s">
        <v>144</v>
      </c>
      <c r="F78" s="33" t="s">
        <v>327</v>
      </c>
      <c r="G78" s="57"/>
      <c r="H78" s="54"/>
      <c r="I78" s="67"/>
      <c r="J78" s="57">
        <f t="shared" si="2"/>
        <v>0</v>
      </c>
      <c r="K78" s="57"/>
      <c r="L78" s="57"/>
      <c r="M78" s="57"/>
      <c r="N78" s="57"/>
    </row>
    <row r="79" spans="1:14">
      <c r="A79" s="64">
        <v>43556</v>
      </c>
      <c r="B79" s="21" t="s">
        <v>297</v>
      </c>
      <c r="C79" s="105"/>
      <c r="D79" s="21" t="s">
        <v>175</v>
      </c>
      <c r="E79" s="21" t="s">
        <v>176</v>
      </c>
      <c r="F79" s="33" t="s">
        <v>328</v>
      </c>
      <c r="G79" s="57"/>
      <c r="H79" s="54"/>
      <c r="I79" s="67"/>
      <c r="J79" s="57">
        <f t="shared" si="2"/>
        <v>0</v>
      </c>
      <c r="K79" s="57"/>
      <c r="L79" s="57"/>
      <c r="M79" s="57"/>
      <c r="N79" s="57"/>
    </row>
    <row r="80" spans="1:14">
      <c r="A80" s="64"/>
      <c r="C80" s="105"/>
      <c r="D80" s="21" t="s">
        <v>175</v>
      </c>
      <c r="E80" s="21" t="s">
        <v>176</v>
      </c>
      <c r="F80" s="33" t="s">
        <v>328</v>
      </c>
      <c r="G80" s="57"/>
      <c r="H80" s="54"/>
      <c r="I80" s="67"/>
      <c r="J80" s="57">
        <f t="shared" si="2"/>
        <v>0</v>
      </c>
      <c r="K80" s="57"/>
      <c r="L80" s="57"/>
      <c r="M80" s="57"/>
      <c r="N80" s="57"/>
    </row>
    <row r="81" spans="1:14">
      <c r="A81" s="64">
        <v>43556</v>
      </c>
      <c r="B81" s="21" t="s">
        <v>297</v>
      </c>
      <c r="C81" s="105"/>
      <c r="D81" s="21" t="s">
        <v>175</v>
      </c>
      <c r="E81" s="21" t="s">
        <v>176</v>
      </c>
      <c r="F81" s="33" t="s">
        <v>329</v>
      </c>
      <c r="G81" s="57"/>
      <c r="H81" s="54"/>
      <c r="I81" s="67"/>
      <c r="J81" s="57">
        <f t="shared" si="2"/>
        <v>0</v>
      </c>
      <c r="K81" s="57"/>
      <c r="L81" s="57"/>
      <c r="M81" s="57"/>
      <c r="N81" s="57"/>
    </row>
    <row r="82" spans="1:14">
      <c r="A82" s="64">
        <v>43556</v>
      </c>
      <c r="B82" s="21" t="s">
        <v>297</v>
      </c>
      <c r="C82" s="105"/>
      <c r="D82" s="21" t="s">
        <v>330</v>
      </c>
      <c r="E82" s="21" t="s">
        <v>331</v>
      </c>
      <c r="F82" s="33" t="s">
        <v>332</v>
      </c>
      <c r="G82" s="57"/>
      <c r="H82" s="54"/>
      <c r="I82" s="67"/>
      <c r="J82" s="57">
        <f t="shared" si="2"/>
        <v>0</v>
      </c>
      <c r="K82" s="57"/>
      <c r="L82" s="57"/>
      <c r="M82" s="57"/>
      <c r="N82" s="57"/>
    </row>
    <row r="83" spans="1:14">
      <c r="A83" s="64"/>
      <c r="C83" s="105"/>
      <c r="D83" s="21" t="s">
        <v>154</v>
      </c>
      <c r="E83" s="21" t="s">
        <v>181</v>
      </c>
      <c r="F83" s="33" t="s">
        <v>333</v>
      </c>
      <c r="G83" s="57"/>
      <c r="H83" s="54"/>
      <c r="I83" s="67"/>
      <c r="J83" s="57">
        <f t="shared" si="2"/>
        <v>0</v>
      </c>
      <c r="K83" s="57"/>
      <c r="L83" s="57"/>
      <c r="M83" s="57"/>
      <c r="N83" s="57"/>
    </row>
    <row r="84" spans="1:14">
      <c r="A84" s="64">
        <v>43556</v>
      </c>
      <c r="B84" s="21" t="s">
        <v>297</v>
      </c>
      <c r="C84" s="105"/>
      <c r="D84" s="21" t="s">
        <v>154</v>
      </c>
      <c r="E84" s="21" t="s">
        <v>181</v>
      </c>
      <c r="F84" s="33" t="s">
        <v>334</v>
      </c>
      <c r="G84" s="57"/>
      <c r="H84" s="54"/>
      <c r="I84" s="67"/>
      <c r="J84" s="57">
        <f t="shared" si="2"/>
        <v>0</v>
      </c>
      <c r="K84" s="57">
        <f>(J84+J85+J121+J123+J122+J83)*0.05*N2</f>
        <v>0</v>
      </c>
      <c r="L84" s="57">
        <f>K84/0.05*0.25</f>
        <v>0</v>
      </c>
      <c r="M84" s="57">
        <f>L84-K84</f>
        <v>0</v>
      </c>
      <c r="N84" s="57"/>
    </row>
    <row r="85" spans="1:14">
      <c r="A85" s="64">
        <v>43556</v>
      </c>
      <c r="B85" s="21" t="s">
        <v>297</v>
      </c>
      <c r="C85" s="105"/>
      <c r="D85" s="21" t="s">
        <v>154</v>
      </c>
      <c r="E85" s="21" t="s">
        <v>181</v>
      </c>
      <c r="F85" s="33" t="s">
        <v>335</v>
      </c>
      <c r="G85" s="57"/>
      <c r="H85" s="54"/>
      <c r="I85" s="67"/>
      <c r="J85" s="57">
        <f t="shared" si="2"/>
        <v>0</v>
      </c>
      <c r="K85" s="57"/>
      <c r="L85" s="57"/>
      <c r="M85" s="57"/>
      <c r="N85" s="57"/>
    </row>
    <row r="86" spans="1:14">
      <c r="A86" s="64">
        <v>43556</v>
      </c>
      <c r="B86" s="21" t="s">
        <v>297</v>
      </c>
      <c r="C86" s="105"/>
      <c r="D86" s="21" t="s">
        <v>140</v>
      </c>
      <c r="E86" s="21" t="s">
        <v>141</v>
      </c>
      <c r="F86" s="33" t="s">
        <v>336</v>
      </c>
      <c r="G86" s="57"/>
      <c r="H86" s="54"/>
      <c r="I86" s="67"/>
      <c r="J86" s="57">
        <f t="shared" si="2"/>
        <v>0</v>
      </c>
      <c r="K86" s="57">
        <f>(J86+J87+J88+J103+J104+J105)*0.03*N2</f>
        <v>0</v>
      </c>
      <c r="L86" s="57">
        <f>K86/0.03*0.25</f>
        <v>0</v>
      </c>
      <c r="M86" s="57">
        <f>L86-K86</f>
        <v>0</v>
      </c>
      <c r="N86" s="57"/>
    </row>
    <row r="87" spans="1:14">
      <c r="A87" s="64">
        <v>43556</v>
      </c>
      <c r="B87" s="21" t="s">
        <v>297</v>
      </c>
      <c r="C87" s="105"/>
      <c r="D87" s="21" t="s">
        <v>140</v>
      </c>
      <c r="E87" s="21" t="s">
        <v>141</v>
      </c>
      <c r="F87" s="33" t="s">
        <v>337</v>
      </c>
      <c r="G87" s="57"/>
      <c r="H87" s="54"/>
      <c r="I87" s="67"/>
      <c r="J87" s="57">
        <f t="shared" si="2"/>
        <v>0</v>
      </c>
      <c r="K87" s="57"/>
      <c r="L87" s="57"/>
      <c r="M87" s="57"/>
      <c r="N87" s="57"/>
    </row>
    <row r="88" spans="1:14">
      <c r="A88" s="64">
        <v>43556</v>
      </c>
      <c r="B88" s="21" t="s">
        <v>297</v>
      </c>
      <c r="C88" s="105"/>
      <c r="D88" s="21" t="s">
        <v>140</v>
      </c>
      <c r="E88" s="21" t="s">
        <v>141</v>
      </c>
      <c r="F88" s="33" t="s">
        <v>338</v>
      </c>
      <c r="G88" s="57"/>
      <c r="H88" s="54"/>
      <c r="I88" s="67"/>
      <c r="J88" s="57">
        <f t="shared" si="2"/>
        <v>0</v>
      </c>
      <c r="K88" s="57"/>
      <c r="L88" s="57"/>
      <c r="M88" s="57"/>
      <c r="N88" s="57"/>
    </row>
    <row r="89" spans="1:14">
      <c r="A89" s="64"/>
      <c r="C89" s="105"/>
      <c r="D89" s="21" t="s">
        <v>140</v>
      </c>
      <c r="E89" s="21" t="s">
        <v>144</v>
      </c>
      <c r="F89" s="33" t="s">
        <v>326</v>
      </c>
      <c r="G89" s="57"/>
      <c r="H89" s="54"/>
      <c r="I89" s="67"/>
      <c r="J89" s="57">
        <f t="shared" si="2"/>
        <v>0</v>
      </c>
      <c r="K89" s="57">
        <f>(J89+J90+J91+J92+J93+J74+J75+J76+J77+J78)*0.05*N2</f>
        <v>0</v>
      </c>
      <c r="L89" s="57">
        <f>K89/0.05*0.25</f>
        <v>0</v>
      </c>
      <c r="M89" s="57">
        <f>L89-K89</f>
        <v>0</v>
      </c>
      <c r="N89" s="57"/>
    </row>
    <row r="90" spans="1:14">
      <c r="A90" s="64"/>
      <c r="C90" s="105"/>
      <c r="D90" s="21" t="s">
        <v>140</v>
      </c>
      <c r="E90" s="21" t="s">
        <v>144</v>
      </c>
      <c r="F90" s="33" t="s">
        <v>327</v>
      </c>
      <c r="G90" s="57"/>
      <c r="H90" s="54"/>
      <c r="I90" s="67"/>
      <c r="J90" s="57">
        <f t="shared" si="2"/>
        <v>0</v>
      </c>
      <c r="K90" s="57"/>
      <c r="L90" s="57"/>
      <c r="M90" s="57"/>
      <c r="N90" s="57"/>
    </row>
    <row r="91" spans="1:14">
      <c r="A91" s="64">
        <v>43556</v>
      </c>
      <c r="B91" s="21" t="s">
        <v>297</v>
      </c>
      <c r="C91" s="105"/>
      <c r="D91" s="21" t="s">
        <v>146</v>
      </c>
      <c r="E91" s="21" t="s">
        <v>144</v>
      </c>
      <c r="F91" s="33" t="s">
        <v>325</v>
      </c>
      <c r="G91" s="57"/>
      <c r="H91" s="54"/>
      <c r="I91" s="67"/>
      <c r="J91" s="57">
        <f t="shared" si="2"/>
        <v>0</v>
      </c>
      <c r="K91" s="57"/>
      <c r="L91" s="57"/>
      <c r="M91" s="57"/>
      <c r="N91" s="57"/>
    </row>
    <row r="92" spans="1:14">
      <c r="A92" s="64">
        <v>43556</v>
      </c>
      <c r="B92" s="21" t="s">
        <v>297</v>
      </c>
      <c r="C92" s="105"/>
      <c r="D92" s="21" t="s">
        <v>146</v>
      </c>
      <c r="E92" s="21" t="s">
        <v>144</v>
      </c>
      <c r="F92" s="33" t="s">
        <v>326</v>
      </c>
      <c r="G92" s="57"/>
      <c r="H92" s="54"/>
      <c r="I92" s="67"/>
      <c r="J92" s="57">
        <f t="shared" si="2"/>
        <v>0</v>
      </c>
      <c r="K92" s="57"/>
      <c r="L92" s="57"/>
      <c r="M92" s="57"/>
      <c r="N92" s="57"/>
    </row>
    <row r="93" spans="1:14">
      <c r="A93" s="64"/>
      <c r="C93" s="105"/>
      <c r="D93" s="21" t="s">
        <v>146</v>
      </c>
      <c r="E93" s="21" t="s">
        <v>144</v>
      </c>
      <c r="F93" s="33" t="s">
        <v>327</v>
      </c>
      <c r="G93" s="57"/>
      <c r="H93" s="54"/>
      <c r="I93" s="67"/>
      <c r="J93" s="57">
        <f t="shared" si="2"/>
        <v>0</v>
      </c>
      <c r="K93" s="57"/>
      <c r="L93" s="57"/>
      <c r="M93" s="57"/>
      <c r="N93" s="57"/>
    </row>
    <row r="94" spans="1:14">
      <c r="A94" s="64">
        <v>43556</v>
      </c>
      <c r="B94" s="21" t="s">
        <v>297</v>
      </c>
      <c r="C94" s="105"/>
      <c r="D94" s="21" t="s">
        <v>180</v>
      </c>
      <c r="E94" s="21" t="s">
        <v>176</v>
      </c>
      <c r="F94" s="33" t="s">
        <v>177</v>
      </c>
      <c r="G94" s="57"/>
      <c r="H94" s="54"/>
      <c r="I94" s="67"/>
      <c r="J94" s="57">
        <f t="shared" si="2"/>
        <v>0</v>
      </c>
      <c r="K94" s="57">
        <f>(J94+J95+J96+J79+J81+J80)*0.03*N2</f>
        <v>0</v>
      </c>
      <c r="L94" s="57">
        <f>K94/0.03*0.25</f>
        <v>0</v>
      </c>
      <c r="M94" s="57">
        <f>L94-K94</f>
        <v>0</v>
      </c>
      <c r="N94" s="57"/>
    </row>
    <row r="95" spans="1:14">
      <c r="A95" s="64">
        <v>43556</v>
      </c>
      <c r="B95" s="21" t="s">
        <v>297</v>
      </c>
      <c r="C95" s="105"/>
      <c r="D95" s="21" t="s">
        <v>180</v>
      </c>
      <c r="E95" s="21" t="s">
        <v>176</v>
      </c>
      <c r="F95" s="33" t="s">
        <v>178</v>
      </c>
      <c r="G95" s="57"/>
      <c r="H95" s="54"/>
      <c r="I95" s="67"/>
      <c r="J95" s="57">
        <f t="shared" si="2"/>
        <v>0</v>
      </c>
      <c r="K95" s="57"/>
      <c r="L95" s="57"/>
      <c r="M95" s="57"/>
      <c r="N95" s="57"/>
    </row>
    <row r="96" spans="1:14">
      <c r="A96" s="64"/>
      <c r="C96" s="105"/>
      <c r="D96" s="21" t="s">
        <v>180</v>
      </c>
      <c r="E96" s="21" t="s">
        <v>176</v>
      </c>
      <c r="F96" s="33" t="s">
        <v>179</v>
      </c>
      <c r="G96" s="57"/>
      <c r="H96" s="54"/>
      <c r="I96" s="68"/>
      <c r="J96" s="57">
        <f t="shared" si="2"/>
        <v>0</v>
      </c>
      <c r="K96" s="57"/>
      <c r="L96" s="57"/>
      <c r="M96" s="57"/>
      <c r="N96" s="57"/>
    </row>
    <row r="97" spans="1:14">
      <c r="A97" s="64"/>
      <c r="C97" s="105"/>
      <c r="D97" s="75" t="s">
        <v>158</v>
      </c>
      <c r="E97" s="75" t="s">
        <v>149</v>
      </c>
      <c r="F97" s="75" t="s">
        <v>159</v>
      </c>
      <c r="G97" s="78"/>
      <c r="H97" s="77"/>
      <c r="I97" s="67"/>
      <c r="J97" s="57">
        <f t="shared" si="2"/>
        <v>0</v>
      </c>
      <c r="K97" s="57"/>
      <c r="L97" s="57"/>
      <c r="M97" s="57"/>
      <c r="N97" s="57"/>
    </row>
    <row r="98" spans="1:14">
      <c r="A98" s="64"/>
      <c r="C98" s="105"/>
      <c r="D98" s="75" t="s">
        <v>158</v>
      </c>
      <c r="E98" s="75" t="s">
        <v>149</v>
      </c>
      <c r="F98" s="75" t="s">
        <v>150</v>
      </c>
      <c r="G98" s="78"/>
      <c r="H98" s="77"/>
      <c r="I98" s="68"/>
      <c r="J98" s="57">
        <f t="shared" si="2"/>
        <v>0</v>
      </c>
      <c r="K98" s="57"/>
      <c r="L98" s="57"/>
      <c r="M98" s="57"/>
      <c r="N98" s="57"/>
    </row>
    <row r="99" spans="1:14">
      <c r="A99" s="64">
        <v>43556</v>
      </c>
      <c r="B99" s="21" t="s">
        <v>297</v>
      </c>
      <c r="C99" s="105"/>
      <c r="D99" s="75" t="s">
        <v>158</v>
      </c>
      <c r="E99" s="75" t="s">
        <v>149</v>
      </c>
      <c r="F99" s="75" t="s">
        <v>151</v>
      </c>
      <c r="G99" s="78"/>
      <c r="H99" s="77"/>
      <c r="I99" s="67"/>
      <c r="J99" s="57">
        <f t="shared" si="2"/>
        <v>0</v>
      </c>
      <c r="K99" s="57"/>
      <c r="L99" s="57"/>
      <c r="M99" s="57"/>
      <c r="N99" s="57"/>
    </row>
    <row r="100" spans="1:14">
      <c r="A100" s="64"/>
      <c r="C100" s="105"/>
      <c r="D100" s="75" t="s">
        <v>164</v>
      </c>
      <c r="E100" s="75" t="s">
        <v>149</v>
      </c>
      <c r="F100" s="75" t="s">
        <v>159</v>
      </c>
      <c r="G100" s="78"/>
      <c r="H100" s="77"/>
      <c r="I100" s="67"/>
      <c r="J100" s="57">
        <f t="shared" si="2"/>
        <v>0</v>
      </c>
      <c r="K100" s="57"/>
      <c r="L100" s="57"/>
      <c r="M100" s="57"/>
      <c r="N100" s="57"/>
    </row>
    <row r="101" spans="1:14">
      <c r="A101" s="64">
        <v>43556</v>
      </c>
      <c r="B101" s="21" t="s">
        <v>297</v>
      </c>
      <c r="C101" s="105"/>
      <c r="D101" s="75" t="s">
        <v>164</v>
      </c>
      <c r="E101" s="75" t="s">
        <v>149</v>
      </c>
      <c r="F101" s="75" t="s">
        <v>150</v>
      </c>
      <c r="G101" s="78"/>
      <c r="H101" s="77"/>
      <c r="I101" s="67"/>
      <c r="J101" s="57">
        <f t="shared" si="2"/>
        <v>0</v>
      </c>
      <c r="K101" s="57">
        <f>(J101+J102+J100+J107+J108+J97+J98+J99+J106)*0.25*N2</f>
        <v>0</v>
      </c>
      <c r="L101" s="57"/>
      <c r="M101" s="57"/>
      <c r="N101" s="57"/>
    </row>
    <row r="102" spans="1:14">
      <c r="A102" s="64">
        <v>43556</v>
      </c>
      <c r="B102" s="21" t="s">
        <v>297</v>
      </c>
      <c r="C102" s="105"/>
      <c r="D102" s="75" t="s">
        <v>164</v>
      </c>
      <c r="E102" s="75" t="s">
        <v>149</v>
      </c>
      <c r="F102" s="75" t="s">
        <v>151</v>
      </c>
      <c r="G102" s="78"/>
      <c r="H102" s="77"/>
      <c r="I102" s="67"/>
      <c r="J102" s="57">
        <f t="shared" si="2"/>
        <v>0</v>
      </c>
      <c r="K102" s="57"/>
      <c r="L102" s="57"/>
      <c r="M102" s="57"/>
      <c r="N102" s="57"/>
    </row>
    <row r="103" spans="1:14">
      <c r="A103" s="64">
        <v>43556</v>
      </c>
      <c r="B103" s="21" t="s">
        <v>297</v>
      </c>
      <c r="C103" s="105"/>
      <c r="D103" s="21" t="s">
        <v>152</v>
      </c>
      <c r="E103" s="21" t="s">
        <v>141</v>
      </c>
      <c r="F103" s="33" t="s">
        <v>336</v>
      </c>
      <c r="G103" s="57"/>
      <c r="H103" s="54"/>
      <c r="I103" s="67"/>
      <c r="J103" s="57">
        <f t="shared" si="2"/>
        <v>0</v>
      </c>
      <c r="K103" s="57"/>
      <c r="L103" s="57">
        <f>K103/0.05*0.25</f>
        <v>0</v>
      </c>
      <c r="M103" s="57">
        <f>L103-K103</f>
        <v>0</v>
      </c>
      <c r="N103" s="57"/>
    </row>
    <row r="104" spans="1:14">
      <c r="A104" s="64">
        <v>43556</v>
      </c>
      <c r="B104" s="21" t="s">
        <v>297</v>
      </c>
      <c r="C104" s="105"/>
      <c r="D104" s="21" t="s">
        <v>152</v>
      </c>
      <c r="E104" s="21" t="s">
        <v>141</v>
      </c>
      <c r="F104" s="33" t="s">
        <v>337</v>
      </c>
      <c r="G104" s="57"/>
      <c r="H104" s="54"/>
      <c r="I104" s="67"/>
      <c r="J104" s="57">
        <f t="shared" si="2"/>
        <v>0</v>
      </c>
      <c r="K104" s="57"/>
      <c r="L104" s="57"/>
      <c r="M104" s="57"/>
      <c r="N104" s="57"/>
    </row>
    <row r="105" spans="1:14">
      <c r="A105" s="64">
        <v>43556</v>
      </c>
      <c r="B105" s="21" t="s">
        <v>297</v>
      </c>
      <c r="C105" s="105"/>
      <c r="D105" s="21" t="s">
        <v>152</v>
      </c>
      <c r="E105" s="21" t="s">
        <v>141</v>
      </c>
      <c r="F105" s="33" t="s">
        <v>338</v>
      </c>
      <c r="G105" s="57"/>
      <c r="H105" s="54"/>
      <c r="I105" s="67"/>
      <c r="J105" s="57">
        <f t="shared" si="2"/>
        <v>0</v>
      </c>
      <c r="K105" s="57"/>
      <c r="L105" s="57"/>
      <c r="M105" s="57"/>
      <c r="N105" s="57"/>
    </row>
    <row r="106" spans="1:14">
      <c r="A106" s="64"/>
      <c r="C106" s="105"/>
      <c r="D106" s="75" t="s">
        <v>148</v>
      </c>
      <c r="E106" s="75" t="s">
        <v>149</v>
      </c>
      <c r="F106" s="75" t="s">
        <v>339</v>
      </c>
      <c r="G106" s="76"/>
      <c r="H106" s="77"/>
      <c r="I106" s="67"/>
      <c r="J106" s="57">
        <f t="shared" si="2"/>
        <v>0</v>
      </c>
      <c r="K106" s="57"/>
      <c r="L106" s="57"/>
      <c r="M106" s="57"/>
      <c r="N106" s="57"/>
    </row>
    <row r="107" spans="1:14">
      <c r="A107" s="64">
        <v>43556</v>
      </c>
      <c r="B107" s="21" t="s">
        <v>297</v>
      </c>
      <c r="C107" s="105"/>
      <c r="D107" s="75" t="s">
        <v>148</v>
      </c>
      <c r="E107" s="75" t="s">
        <v>149</v>
      </c>
      <c r="F107" s="75" t="s">
        <v>340</v>
      </c>
      <c r="G107" s="76"/>
      <c r="H107" s="77"/>
      <c r="I107" s="67"/>
      <c r="J107" s="57">
        <f t="shared" si="2"/>
        <v>0</v>
      </c>
      <c r="K107" s="57"/>
      <c r="L107" s="57"/>
      <c r="M107" s="57"/>
      <c r="N107" s="57"/>
    </row>
    <row r="108" spans="1:14">
      <c r="A108" s="64"/>
      <c r="C108" s="105"/>
      <c r="D108" s="75" t="s">
        <v>148</v>
      </c>
      <c r="E108" s="75" t="s">
        <v>149</v>
      </c>
      <c r="F108" s="75" t="s">
        <v>341</v>
      </c>
      <c r="G108" s="76"/>
      <c r="H108" s="77"/>
      <c r="I108" s="67"/>
      <c r="J108" s="57">
        <f t="shared" si="2"/>
        <v>0</v>
      </c>
      <c r="K108" s="57"/>
      <c r="L108" s="57"/>
      <c r="M108" s="57"/>
      <c r="N108" s="57"/>
    </row>
    <row r="109" spans="1:14">
      <c r="A109" s="64">
        <v>43556</v>
      </c>
      <c r="B109" s="21" t="s">
        <v>297</v>
      </c>
      <c r="C109" s="105"/>
      <c r="D109" s="21" t="s">
        <v>174</v>
      </c>
      <c r="E109" s="21" t="s">
        <v>170</v>
      </c>
      <c r="F109" s="33" t="s">
        <v>171</v>
      </c>
      <c r="G109" s="57"/>
      <c r="H109" s="54"/>
      <c r="I109" s="68"/>
      <c r="J109" s="57">
        <f t="shared" si="2"/>
        <v>0</v>
      </c>
      <c r="K109" s="57"/>
      <c r="L109" s="57"/>
      <c r="M109" s="57"/>
      <c r="N109" s="57"/>
    </row>
    <row r="110" spans="1:14">
      <c r="A110" s="64"/>
      <c r="C110" s="105"/>
      <c r="D110" s="21" t="s">
        <v>174</v>
      </c>
      <c r="E110" s="21" t="s">
        <v>170</v>
      </c>
      <c r="F110" s="33" t="s">
        <v>172</v>
      </c>
      <c r="G110" s="57"/>
      <c r="H110" s="54"/>
      <c r="I110" s="67"/>
      <c r="J110" s="57">
        <f t="shared" si="2"/>
        <v>0</v>
      </c>
      <c r="K110" s="57"/>
      <c r="L110" s="57"/>
      <c r="M110" s="57"/>
      <c r="N110" s="57"/>
    </row>
    <row r="111" spans="1:14">
      <c r="A111" s="64"/>
      <c r="C111" s="105"/>
      <c r="D111" s="21" t="s">
        <v>174</v>
      </c>
      <c r="E111" s="21" t="s">
        <v>170</v>
      </c>
      <c r="F111" s="33" t="s">
        <v>173</v>
      </c>
      <c r="G111" s="57"/>
      <c r="H111" s="54"/>
      <c r="I111" s="67"/>
      <c r="J111" s="57">
        <f t="shared" si="2"/>
        <v>0</v>
      </c>
      <c r="K111" s="57"/>
      <c r="L111" s="57"/>
      <c r="M111" s="57"/>
      <c r="N111" s="57"/>
    </row>
    <row r="112" spans="1:14">
      <c r="A112" s="64">
        <v>43556</v>
      </c>
      <c r="B112" s="21" t="s">
        <v>297</v>
      </c>
      <c r="C112" s="105"/>
      <c r="D112" s="21" t="s">
        <v>342</v>
      </c>
      <c r="E112" s="21" t="s">
        <v>161</v>
      </c>
      <c r="F112" s="33" t="s">
        <v>343</v>
      </c>
      <c r="G112" s="57"/>
      <c r="H112" s="54"/>
      <c r="I112" s="67"/>
      <c r="J112" s="57">
        <f t="shared" si="2"/>
        <v>0</v>
      </c>
      <c r="K112" s="57"/>
      <c r="L112" s="57"/>
      <c r="M112" s="57"/>
      <c r="N112" s="57"/>
    </row>
    <row r="113" spans="1:14">
      <c r="A113" s="64">
        <v>43556</v>
      </c>
      <c r="B113" s="21" t="s">
        <v>297</v>
      </c>
      <c r="C113" s="105"/>
      <c r="D113" s="21" t="s">
        <v>342</v>
      </c>
      <c r="E113" s="21" t="s">
        <v>161</v>
      </c>
      <c r="F113" s="33" t="s">
        <v>344</v>
      </c>
      <c r="G113" s="57"/>
      <c r="H113" s="54"/>
      <c r="I113" s="67"/>
      <c r="J113" s="57">
        <f t="shared" si="2"/>
        <v>0</v>
      </c>
      <c r="K113" s="57"/>
      <c r="L113" s="57"/>
      <c r="M113" s="57"/>
      <c r="N113" s="57"/>
    </row>
    <row r="114" spans="1:14">
      <c r="A114" s="64">
        <v>43556</v>
      </c>
      <c r="B114" s="21" t="s">
        <v>297</v>
      </c>
      <c r="C114" s="105"/>
      <c r="D114" s="21" t="s">
        <v>342</v>
      </c>
      <c r="E114" s="21" t="s">
        <v>161</v>
      </c>
      <c r="F114" s="33" t="s">
        <v>345</v>
      </c>
      <c r="G114" s="57"/>
      <c r="H114" s="54"/>
      <c r="I114" s="67"/>
      <c r="J114" s="57">
        <f t="shared" si="2"/>
        <v>0</v>
      </c>
      <c r="K114" s="57"/>
      <c r="L114" s="57"/>
      <c r="M114" s="57"/>
      <c r="N114" s="57"/>
    </row>
    <row r="115" spans="1:14">
      <c r="A115" s="64">
        <v>43556</v>
      </c>
      <c r="B115" s="21" t="s">
        <v>297</v>
      </c>
      <c r="C115" s="105"/>
      <c r="D115" s="21" t="s">
        <v>160</v>
      </c>
      <c r="E115" s="21" t="s">
        <v>161</v>
      </c>
      <c r="F115" s="33" t="s">
        <v>343</v>
      </c>
      <c r="G115" s="57"/>
      <c r="H115" s="54"/>
      <c r="I115" s="67"/>
      <c r="J115" s="57">
        <f t="shared" si="2"/>
        <v>0</v>
      </c>
      <c r="K115" s="57">
        <f>(J115+J116+J117+J114+J113+J112)*0.04*N2</f>
        <v>0</v>
      </c>
      <c r="L115" s="57">
        <f>K115/0.04*0.25</f>
        <v>0</v>
      </c>
      <c r="M115" s="57">
        <f>L115-K112</f>
        <v>0</v>
      </c>
      <c r="N115" s="57"/>
    </row>
    <row r="116" spans="1:14">
      <c r="A116" s="64">
        <v>43556</v>
      </c>
      <c r="B116" s="21" t="s">
        <v>297</v>
      </c>
      <c r="C116" s="105"/>
      <c r="D116" s="21" t="s">
        <v>160</v>
      </c>
      <c r="E116" s="21" t="s">
        <v>161</v>
      </c>
      <c r="F116" s="33" t="s">
        <v>344</v>
      </c>
      <c r="G116" s="57"/>
      <c r="H116" s="54"/>
      <c r="I116" s="67"/>
      <c r="J116" s="57">
        <f t="shared" si="2"/>
        <v>0</v>
      </c>
      <c r="K116" s="57"/>
      <c r="L116" s="57"/>
      <c r="M116" s="57"/>
      <c r="N116" s="57"/>
    </row>
    <row r="117" spans="1:14">
      <c r="A117" s="64">
        <v>43556</v>
      </c>
      <c r="B117" s="21" t="s">
        <v>297</v>
      </c>
      <c r="C117" s="105"/>
      <c r="D117" s="21" t="s">
        <v>160</v>
      </c>
      <c r="E117" s="21" t="s">
        <v>161</v>
      </c>
      <c r="F117" s="33" t="s">
        <v>345</v>
      </c>
      <c r="G117" s="57"/>
      <c r="H117" s="54"/>
      <c r="I117" s="67"/>
      <c r="J117" s="57">
        <f t="shared" si="2"/>
        <v>0</v>
      </c>
      <c r="K117" s="57"/>
      <c r="L117" s="57"/>
      <c r="M117" s="57"/>
      <c r="N117" s="57"/>
    </row>
    <row r="118" spans="1:14">
      <c r="A118" s="64">
        <v>43556</v>
      </c>
      <c r="B118" s="21" t="s">
        <v>297</v>
      </c>
      <c r="C118" s="105"/>
      <c r="D118" s="21" t="s">
        <v>169</v>
      </c>
      <c r="E118" s="21" t="s">
        <v>170</v>
      </c>
      <c r="F118" s="33" t="s">
        <v>171</v>
      </c>
      <c r="G118" s="57"/>
      <c r="H118" s="54"/>
      <c r="I118" s="67"/>
      <c r="J118" s="57">
        <f t="shared" si="2"/>
        <v>0</v>
      </c>
      <c r="K118" s="57">
        <f>(J118+J119+J120+J109+J111+J110)*0.04*N2</f>
        <v>0</v>
      </c>
      <c r="L118" s="57">
        <f>K118/0.04*0.25</f>
        <v>0</v>
      </c>
      <c r="M118" s="57">
        <f>L118-K118</f>
        <v>0</v>
      </c>
      <c r="N118" s="57"/>
    </row>
    <row r="119" spans="1:14">
      <c r="A119" s="64">
        <v>43556</v>
      </c>
      <c r="B119" s="21" t="s">
        <v>297</v>
      </c>
      <c r="C119" s="105"/>
      <c r="D119" s="21" t="s">
        <v>169</v>
      </c>
      <c r="E119" s="21" t="s">
        <v>170</v>
      </c>
      <c r="F119" s="33" t="s">
        <v>172</v>
      </c>
      <c r="G119" s="57"/>
      <c r="H119" s="54"/>
      <c r="I119" s="68"/>
      <c r="J119" s="57">
        <f t="shared" si="2"/>
        <v>0</v>
      </c>
      <c r="K119" s="57"/>
      <c r="L119" s="57"/>
      <c r="M119" s="57"/>
      <c r="N119" s="57"/>
    </row>
    <row r="120" spans="1:14">
      <c r="A120" s="64">
        <v>43556</v>
      </c>
      <c r="B120" s="21" t="s">
        <v>297</v>
      </c>
      <c r="C120" s="105"/>
      <c r="D120" s="21" t="s">
        <v>169</v>
      </c>
      <c r="E120" s="21" t="s">
        <v>170</v>
      </c>
      <c r="F120" s="33" t="s">
        <v>173</v>
      </c>
      <c r="G120" s="57"/>
      <c r="H120" s="54"/>
      <c r="I120" s="67"/>
      <c r="J120" s="57">
        <f t="shared" si="2"/>
        <v>0</v>
      </c>
      <c r="K120" s="57"/>
      <c r="L120" s="57"/>
      <c r="M120" s="57"/>
      <c r="N120" s="57"/>
    </row>
    <row r="121" spans="1:14">
      <c r="A121" s="64">
        <v>43556</v>
      </c>
      <c r="B121" s="21" t="s">
        <v>297</v>
      </c>
      <c r="C121" s="105"/>
      <c r="D121" s="21" t="s">
        <v>88</v>
      </c>
      <c r="E121" s="21" t="s">
        <v>181</v>
      </c>
      <c r="F121" s="33" t="s">
        <v>182</v>
      </c>
      <c r="G121" s="57"/>
      <c r="H121" s="54"/>
      <c r="I121" s="67"/>
      <c r="J121" s="57">
        <f t="shared" si="2"/>
        <v>0</v>
      </c>
      <c r="K121" s="57"/>
      <c r="L121" s="57">
        <f>K121/0.05*0.25</f>
        <v>0</v>
      </c>
      <c r="M121" s="57">
        <f t="shared" ref="M121:M127" si="3">L121-K121</f>
        <v>0</v>
      </c>
      <c r="N121" s="57"/>
    </row>
    <row r="122" spans="1:14">
      <c r="A122" s="64">
        <v>43556</v>
      </c>
      <c r="B122" s="21" t="s">
        <v>297</v>
      </c>
      <c r="C122" s="105"/>
      <c r="D122" s="21" t="s">
        <v>88</v>
      </c>
      <c r="E122" s="21" t="s">
        <v>181</v>
      </c>
      <c r="F122" s="33" t="s">
        <v>183</v>
      </c>
      <c r="G122" s="57"/>
      <c r="H122" s="54"/>
      <c r="I122" s="67"/>
      <c r="J122" s="57">
        <f t="shared" si="2"/>
        <v>0</v>
      </c>
      <c r="K122" s="57"/>
      <c r="L122" s="57"/>
      <c r="M122" s="57"/>
      <c r="N122" s="57"/>
    </row>
    <row r="123" spans="1:14">
      <c r="A123" s="64">
        <v>43556</v>
      </c>
      <c r="B123" s="21" t="s">
        <v>297</v>
      </c>
      <c r="C123" s="105"/>
      <c r="D123" s="21" t="s">
        <v>88</v>
      </c>
      <c r="E123" s="21" t="s">
        <v>181</v>
      </c>
      <c r="F123" s="33" t="s">
        <v>184</v>
      </c>
      <c r="G123" s="57"/>
      <c r="H123" s="54"/>
      <c r="I123" s="67"/>
      <c r="J123" s="57">
        <f t="shared" si="2"/>
        <v>0</v>
      </c>
      <c r="K123" s="57"/>
      <c r="L123" s="57"/>
      <c r="M123" s="57"/>
      <c r="N123" s="57"/>
    </row>
    <row r="124" spans="1:14">
      <c r="A124" s="64">
        <v>43556</v>
      </c>
      <c r="B124" s="21" t="s">
        <v>297</v>
      </c>
      <c r="C124" s="105" t="s">
        <v>243</v>
      </c>
      <c r="D124" s="21" t="s">
        <v>346</v>
      </c>
      <c r="E124" s="21" t="s">
        <v>113</v>
      </c>
      <c r="F124" s="33" t="s">
        <v>114</v>
      </c>
      <c r="G124" s="57"/>
      <c r="H124" s="54"/>
      <c r="I124" s="67"/>
      <c r="J124" s="57">
        <f t="shared" si="2"/>
        <v>0</v>
      </c>
      <c r="K124" s="57"/>
      <c r="L124" s="57">
        <f>K124/0.03*0.25</f>
        <v>0</v>
      </c>
      <c r="M124" s="57">
        <f t="shared" si="3"/>
        <v>0</v>
      </c>
      <c r="N124" s="57"/>
    </row>
    <row r="125" spans="1:14">
      <c r="A125" s="64">
        <v>43556</v>
      </c>
      <c r="B125" s="21" t="s">
        <v>297</v>
      </c>
      <c r="C125" s="105"/>
      <c r="D125" s="21" t="s">
        <v>346</v>
      </c>
      <c r="E125" s="21" t="s">
        <v>113</v>
      </c>
      <c r="F125" s="33" t="s">
        <v>115</v>
      </c>
      <c r="G125" s="57"/>
      <c r="H125" s="54"/>
      <c r="I125" s="67"/>
      <c r="J125" s="57">
        <f t="shared" si="2"/>
        <v>0</v>
      </c>
      <c r="K125" s="57"/>
      <c r="L125" s="57"/>
      <c r="M125" s="57"/>
      <c r="N125" s="57"/>
    </row>
    <row r="126" spans="1:14">
      <c r="A126" s="64">
        <v>43556</v>
      </c>
      <c r="B126" s="21" t="s">
        <v>297</v>
      </c>
      <c r="C126" s="105"/>
      <c r="D126" s="21" t="s">
        <v>128</v>
      </c>
      <c r="E126" s="21" t="s">
        <v>129</v>
      </c>
      <c r="F126" s="33" t="s">
        <v>130</v>
      </c>
      <c r="G126" s="57"/>
      <c r="H126" s="54"/>
      <c r="I126" s="67"/>
      <c r="J126" s="57">
        <f t="shared" si="2"/>
        <v>0</v>
      </c>
      <c r="K126" s="57">
        <f>(J126+J134+J135)*0.05*N2</f>
        <v>0</v>
      </c>
      <c r="L126" s="57">
        <f>K126/0.05*0.25</f>
        <v>0</v>
      </c>
      <c r="M126" s="57">
        <f t="shared" si="3"/>
        <v>0</v>
      </c>
      <c r="N126" s="57"/>
    </row>
    <row r="127" spans="1:14">
      <c r="A127" s="64">
        <v>43556</v>
      </c>
      <c r="B127" s="21" t="s">
        <v>297</v>
      </c>
      <c r="C127" s="105"/>
      <c r="D127" s="21" t="s">
        <v>138</v>
      </c>
      <c r="E127" s="21" t="s">
        <v>108</v>
      </c>
      <c r="F127" s="33" t="s">
        <v>109</v>
      </c>
      <c r="G127" s="57"/>
      <c r="H127" s="54"/>
      <c r="I127" s="67"/>
      <c r="J127" s="57">
        <f t="shared" si="2"/>
        <v>0</v>
      </c>
      <c r="K127" s="57">
        <f>(J127+J128+J138+J150+J146)*0.03*N2</f>
        <v>0</v>
      </c>
      <c r="L127" s="57">
        <f>K127/0.03*0.25</f>
        <v>0</v>
      </c>
      <c r="M127" s="57">
        <f t="shared" si="3"/>
        <v>0</v>
      </c>
      <c r="N127" s="57"/>
    </row>
    <row r="128" spans="1:14">
      <c r="A128" s="64">
        <v>43556</v>
      </c>
      <c r="B128" s="21" t="s">
        <v>297</v>
      </c>
      <c r="C128" s="105"/>
      <c r="D128" s="21" t="s">
        <v>138</v>
      </c>
      <c r="E128" s="21" t="s">
        <v>108</v>
      </c>
      <c r="F128" s="33" t="s">
        <v>110</v>
      </c>
      <c r="G128" s="57"/>
      <c r="H128" s="54"/>
      <c r="I128" s="67"/>
      <c r="J128" s="57">
        <f t="shared" si="2"/>
        <v>0</v>
      </c>
      <c r="K128" s="57"/>
      <c r="L128" s="57"/>
      <c r="M128" s="57"/>
      <c r="N128" s="57"/>
    </row>
    <row r="129" spans="1:14">
      <c r="A129" s="64">
        <v>43556</v>
      </c>
      <c r="B129" s="21" t="s">
        <v>297</v>
      </c>
      <c r="C129" s="105"/>
      <c r="D129" s="21" t="s">
        <v>127</v>
      </c>
      <c r="E129" s="21" t="s">
        <v>117</v>
      </c>
      <c r="F129" s="33" t="s">
        <v>118</v>
      </c>
      <c r="G129" s="57"/>
      <c r="H129" s="54"/>
      <c r="I129" s="67"/>
      <c r="J129" s="57">
        <f t="shared" si="2"/>
        <v>0</v>
      </c>
      <c r="K129" s="57">
        <f>(J129+J130+J131+J132+J133)*0.15*N2</f>
        <v>0</v>
      </c>
      <c r="L129" s="57"/>
      <c r="M129" s="57"/>
      <c r="N129" s="57"/>
    </row>
    <row r="130" spans="1:14">
      <c r="A130" s="64">
        <v>43556</v>
      </c>
      <c r="B130" s="21" t="s">
        <v>297</v>
      </c>
      <c r="C130" s="105"/>
      <c r="D130" s="21" t="s">
        <v>127</v>
      </c>
      <c r="E130" s="21" t="s">
        <v>117</v>
      </c>
      <c r="F130" s="33" t="s">
        <v>119</v>
      </c>
      <c r="G130" s="57"/>
      <c r="H130" s="54"/>
      <c r="I130" s="67"/>
      <c r="J130" s="57">
        <f t="shared" si="2"/>
        <v>0</v>
      </c>
      <c r="K130" s="57"/>
      <c r="L130" s="57"/>
      <c r="M130" s="57"/>
      <c r="N130" s="57"/>
    </row>
    <row r="131" spans="1:14">
      <c r="A131" s="64">
        <v>43556</v>
      </c>
      <c r="B131" s="21" t="s">
        <v>297</v>
      </c>
      <c r="C131" s="105"/>
      <c r="D131" s="21" t="s">
        <v>116</v>
      </c>
      <c r="E131" s="21" t="s">
        <v>117</v>
      </c>
      <c r="F131" s="33" t="s">
        <v>118</v>
      </c>
      <c r="G131" s="57"/>
      <c r="H131" s="54"/>
      <c r="I131" s="67"/>
      <c r="J131" s="57">
        <f t="shared" ref="J131:J140" si="4">G131*H131-I131</f>
        <v>0</v>
      </c>
      <c r="K131" s="57"/>
      <c r="L131" s="57"/>
      <c r="M131" s="57"/>
      <c r="N131" s="57"/>
    </row>
    <row r="132" spans="1:14">
      <c r="A132" s="64">
        <v>43556</v>
      </c>
      <c r="B132" s="21" t="s">
        <v>297</v>
      </c>
      <c r="C132" s="105"/>
      <c r="D132" s="21" t="s">
        <v>116</v>
      </c>
      <c r="E132" s="21" t="s">
        <v>117</v>
      </c>
      <c r="F132" s="33" t="s">
        <v>119</v>
      </c>
      <c r="G132" s="57"/>
      <c r="H132" s="54"/>
      <c r="I132" s="67"/>
      <c r="J132" s="57">
        <f t="shared" si="4"/>
        <v>0</v>
      </c>
      <c r="K132" s="57"/>
      <c r="L132" s="57"/>
      <c r="M132" s="57"/>
      <c r="N132" s="57"/>
    </row>
    <row r="133" spans="1:14">
      <c r="A133" s="64">
        <v>43556</v>
      </c>
      <c r="B133" s="21" t="s">
        <v>297</v>
      </c>
      <c r="C133" s="105"/>
      <c r="D133" s="21" t="s">
        <v>116</v>
      </c>
      <c r="E133" s="21" t="s">
        <v>117</v>
      </c>
      <c r="F133" s="33" t="s">
        <v>347</v>
      </c>
      <c r="G133" s="57"/>
      <c r="H133" s="54"/>
      <c r="I133" s="67"/>
      <c r="J133" s="57">
        <f t="shared" si="4"/>
        <v>0</v>
      </c>
      <c r="K133" s="57"/>
      <c r="L133" s="57"/>
      <c r="M133" s="57"/>
      <c r="N133" s="57"/>
    </row>
    <row r="134" spans="1:14">
      <c r="A134" s="64">
        <v>43556</v>
      </c>
      <c r="B134" s="21" t="s">
        <v>297</v>
      </c>
      <c r="C134" s="105"/>
      <c r="D134" s="21" t="s">
        <v>133</v>
      </c>
      <c r="E134" s="21" t="s">
        <v>129</v>
      </c>
      <c r="F134" s="33" t="s">
        <v>130</v>
      </c>
      <c r="G134" s="57"/>
      <c r="H134" s="54"/>
      <c r="I134" s="67"/>
      <c r="J134" s="57">
        <f t="shared" si="4"/>
        <v>0</v>
      </c>
      <c r="K134" s="57"/>
      <c r="L134" s="57">
        <f>K134/0.03*0.25</f>
        <v>0</v>
      </c>
      <c r="M134" s="57">
        <f>L134-K134</f>
        <v>0</v>
      </c>
      <c r="N134" s="57"/>
    </row>
    <row r="135" spans="1:14">
      <c r="A135" s="64">
        <v>43556</v>
      </c>
      <c r="B135" s="21" t="s">
        <v>297</v>
      </c>
      <c r="C135" s="105"/>
      <c r="D135" s="21" t="s">
        <v>133</v>
      </c>
      <c r="E135" s="21" t="s">
        <v>129</v>
      </c>
      <c r="F135" s="33" t="s">
        <v>131</v>
      </c>
      <c r="G135" s="57"/>
      <c r="H135" s="54"/>
      <c r="I135" s="67"/>
      <c r="J135" s="57">
        <f t="shared" si="4"/>
        <v>0</v>
      </c>
      <c r="K135" s="57"/>
      <c r="L135" s="57"/>
      <c r="M135" s="57"/>
      <c r="N135" s="57"/>
    </row>
    <row r="136" spans="1:14">
      <c r="A136" s="64">
        <v>43556</v>
      </c>
      <c r="B136" s="21" t="s">
        <v>297</v>
      </c>
      <c r="C136" s="105"/>
      <c r="D136" s="21" t="s">
        <v>134</v>
      </c>
      <c r="E136" s="21" t="s">
        <v>113</v>
      </c>
      <c r="F136" s="33" t="s">
        <v>135</v>
      </c>
      <c r="G136" s="57"/>
      <c r="H136" s="54"/>
      <c r="I136" s="67"/>
      <c r="J136" s="57">
        <f t="shared" si="4"/>
        <v>0</v>
      </c>
      <c r="K136" s="57"/>
      <c r="L136" s="57"/>
      <c r="M136" s="57"/>
      <c r="N136" s="57"/>
    </row>
    <row r="137" spans="1:14">
      <c r="A137" s="64">
        <v>43556</v>
      </c>
      <c r="B137" s="21" t="s">
        <v>297</v>
      </c>
      <c r="C137" s="105"/>
      <c r="D137" s="21" t="s">
        <v>134</v>
      </c>
      <c r="E137" s="21" t="s">
        <v>113</v>
      </c>
      <c r="F137" s="33" t="s">
        <v>136</v>
      </c>
      <c r="G137" s="57"/>
      <c r="H137" s="54"/>
      <c r="I137" s="67"/>
      <c r="J137" s="57">
        <f t="shared" si="4"/>
        <v>0</v>
      </c>
      <c r="K137" s="57"/>
      <c r="L137" s="57"/>
      <c r="M137" s="57"/>
      <c r="N137" s="57"/>
    </row>
    <row r="138" spans="1:14">
      <c r="A138" s="64"/>
      <c r="C138" s="105"/>
      <c r="D138" s="21" t="s">
        <v>285</v>
      </c>
      <c r="E138" s="21" t="s">
        <v>108</v>
      </c>
      <c r="F138" s="33" t="s">
        <v>109</v>
      </c>
      <c r="G138" s="57"/>
      <c r="H138" s="54"/>
      <c r="I138" s="67"/>
      <c r="J138" s="57">
        <f t="shared" si="4"/>
        <v>0</v>
      </c>
      <c r="K138" s="57"/>
      <c r="L138" s="57"/>
      <c r="M138" s="57"/>
      <c r="N138" s="57"/>
    </row>
    <row r="139" spans="1:14">
      <c r="A139" s="64">
        <v>43556</v>
      </c>
      <c r="B139" s="21" t="s">
        <v>297</v>
      </c>
      <c r="C139" s="105"/>
      <c r="D139" s="21" t="s">
        <v>137</v>
      </c>
      <c r="E139" s="21" t="s">
        <v>113</v>
      </c>
      <c r="F139" s="33" t="s">
        <v>114</v>
      </c>
      <c r="G139" s="57"/>
      <c r="H139" s="54"/>
      <c r="I139" s="67"/>
      <c r="J139" s="57">
        <f t="shared" si="4"/>
        <v>0</v>
      </c>
      <c r="K139" s="57"/>
      <c r="L139" s="57"/>
      <c r="M139" s="57"/>
      <c r="N139" s="57"/>
    </row>
    <row r="140" spans="1:14">
      <c r="A140" s="64">
        <v>43556</v>
      </c>
      <c r="B140" s="21" t="s">
        <v>297</v>
      </c>
      <c r="C140" s="105"/>
      <c r="D140" s="21" t="s">
        <v>137</v>
      </c>
      <c r="E140" s="21" t="s">
        <v>113</v>
      </c>
      <c r="F140" s="33" t="s">
        <v>115</v>
      </c>
      <c r="G140" s="57"/>
      <c r="H140" s="54"/>
      <c r="I140" s="67"/>
      <c r="J140" s="57">
        <f t="shared" si="4"/>
        <v>0</v>
      </c>
      <c r="K140" s="57"/>
      <c r="L140" s="57"/>
      <c r="M140" s="57"/>
      <c r="N140" s="57"/>
    </row>
    <row r="141" spans="1:14">
      <c r="A141" s="64">
        <v>43556</v>
      </c>
      <c r="B141" s="21" t="s">
        <v>297</v>
      </c>
      <c r="C141" s="105"/>
      <c r="D141" s="21" t="s">
        <v>120</v>
      </c>
      <c r="E141" s="21" t="s">
        <v>121</v>
      </c>
      <c r="F141" s="33" t="s">
        <v>122</v>
      </c>
      <c r="G141" s="57"/>
      <c r="H141" s="54"/>
      <c r="I141" s="67"/>
      <c r="J141" s="57">
        <f t="shared" ref="J141:J162" si="5">G141*H141-I141</f>
        <v>0</v>
      </c>
      <c r="K141" s="57">
        <f>(J142+J141+J151+J152+J153+J143+J144)*0.05*N2</f>
        <v>0</v>
      </c>
      <c r="L141" s="57">
        <f>K141/0.05*0.25</f>
        <v>0</v>
      </c>
      <c r="M141" s="57">
        <f>L141-K141</f>
        <v>0</v>
      </c>
      <c r="N141" s="57"/>
    </row>
    <row r="142" spans="1:14">
      <c r="A142" s="64">
        <v>43556</v>
      </c>
      <c r="B142" s="21" t="s">
        <v>297</v>
      </c>
      <c r="C142" s="105"/>
      <c r="D142" s="21" t="s">
        <v>120</v>
      </c>
      <c r="E142" s="21" t="s">
        <v>121</v>
      </c>
      <c r="F142" s="33" t="s">
        <v>124</v>
      </c>
      <c r="G142" s="57"/>
      <c r="H142" s="54"/>
      <c r="I142" s="67"/>
      <c r="J142" s="57">
        <f t="shared" si="5"/>
        <v>0</v>
      </c>
      <c r="K142" s="57"/>
      <c r="L142" s="57"/>
      <c r="M142" s="57"/>
      <c r="N142" s="57"/>
    </row>
    <row r="143" spans="1:14">
      <c r="A143" s="64">
        <v>43556</v>
      </c>
      <c r="B143" s="21" t="s">
        <v>297</v>
      </c>
      <c r="C143" s="105"/>
      <c r="D143" s="21" t="s">
        <v>123</v>
      </c>
      <c r="E143" s="21" t="s">
        <v>121</v>
      </c>
      <c r="F143" s="33" t="s">
        <v>122</v>
      </c>
      <c r="G143" s="57"/>
      <c r="H143" s="54"/>
      <c r="I143" s="67"/>
      <c r="J143" s="57">
        <f t="shared" si="5"/>
        <v>0</v>
      </c>
      <c r="K143" s="57"/>
      <c r="L143" s="57"/>
      <c r="M143" s="57"/>
      <c r="N143" s="57"/>
    </row>
    <row r="144" spans="1:14">
      <c r="A144" s="64">
        <v>43556</v>
      </c>
      <c r="B144" s="21" t="s">
        <v>297</v>
      </c>
      <c r="C144" s="105"/>
      <c r="D144" s="21" t="s">
        <v>123</v>
      </c>
      <c r="E144" s="21" t="s">
        <v>121</v>
      </c>
      <c r="F144" s="33" t="s">
        <v>124</v>
      </c>
      <c r="G144" s="57"/>
      <c r="H144" s="54"/>
      <c r="I144" s="67"/>
      <c r="J144" s="57">
        <f t="shared" si="5"/>
        <v>0</v>
      </c>
      <c r="K144" s="57"/>
      <c r="L144" s="57"/>
      <c r="M144" s="57"/>
      <c r="N144" s="57"/>
    </row>
    <row r="145" spans="1:14">
      <c r="A145" s="64">
        <v>43556</v>
      </c>
      <c r="B145" s="21" t="s">
        <v>297</v>
      </c>
      <c r="C145" s="105"/>
      <c r="D145" s="21" t="s">
        <v>126</v>
      </c>
      <c r="E145" s="21" t="s">
        <v>113</v>
      </c>
      <c r="F145" s="33" t="s">
        <v>114</v>
      </c>
      <c r="G145" s="57"/>
      <c r="H145" s="54"/>
      <c r="I145" s="67"/>
      <c r="J145" s="57">
        <f t="shared" si="5"/>
        <v>0</v>
      </c>
      <c r="K145" s="57"/>
      <c r="L145" s="57">
        <f>K145/0.05*0.25</f>
        <v>0</v>
      </c>
      <c r="M145" s="57">
        <f>L145-K145</f>
        <v>0</v>
      </c>
      <c r="N145" s="57"/>
    </row>
    <row r="146" spans="1:14">
      <c r="A146" s="64"/>
      <c r="C146" s="105"/>
      <c r="D146" s="21" t="s">
        <v>107</v>
      </c>
      <c r="E146" s="21" t="s">
        <v>108</v>
      </c>
      <c r="F146" s="33" t="s">
        <v>109</v>
      </c>
      <c r="G146" s="57"/>
      <c r="H146" s="54"/>
      <c r="I146" s="67"/>
      <c r="J146" s="57">
        <f t="shared" si="5"/>
        <v>0</v>
      </c>
      <c r="K146" s="57"/>
      <c r="L146" s="57"/>
      <c r="M146" s="57"/>
      <c r="N146" s="57"/>
    </row>
    <row r="147" spans="1:14">
      <c r="A147" s="64">
        <v>43556</v>
      </c>
      <c r="B147" s="21" t="s">
        <v>297</v>
      </c>
      <c r="C147" s="105"/>
      <c r="D147" s="21" t="s">
        <v>280</v>
      </c>
      <c r="E147" s="21" t="s">
        <v>113</v>
      </c>
      <c r="F147" s="33" t="s">
        <v>135</v>
      </c>
      <c r="G147" s="57"/>
      <c r="H147" s="54"/>
      <c r="I147" s="67"/>
      <c r="J147" s="57">
        <f t="shared" si="5"/>
        <v>0</v>
      </c>
      <c r="K147" s="57"/>
      <c r="L147" s="57"/>
      <c r="M147" s="57"/>
      <c r="N147" s="57"/>
    </row>
    <row r="148" spans="1:14">
      <c r="A148" s="64">
        <v>43556</v>
      </c>
      <c r="B148" s="21" t="s">
        <v>297</v>
      </c>
      <c r="C148" s="105"/>
      <c r="D148" s="21" t="s">
        <v>280</v>
      </c>
      <c r="E148" s="21" t="s">
        <v>113</v>
      </c>
      <c r="F148" s="33" t="s">
        <v>136</v>
      </c>
      <c r="G148" s="57"/>
      <c r="H148" s="54"/>
      <c r="I148" s="67"/>
      <c r="J148" s="57">
        <f t="shared" si="5"/>
        <v>0</v>
      </c>
      <c r="K148" s="57"/>
      <c r="L148" s="57"/>
      <c r="M148" s="57"/>
      <c r="N148" s="57"/>
    </row>
    <row r="149" spans="1:14">
      <c r="A149" s="64">
        <v>43556</v>
      </c>
      <c r="B149" s="21" t="s">
        <v>297</v>
      </c>
      <c r="C149" s="105"/>
      <c r="D149" s="21" t="s">
        <v>280</v>
      </c>
      <c r="E149" s="21" t="s">
        <v>113</v>
      </c>
      <c r="F149" s="33" t="s">
        <v>348</v>
      </c>
      <c r="G149" s="57"/>
      <c r="H149" s="54"/>
      <c r="I149" s="67"/>
      <c r="J149" s="57">
        <f t="shared" si="5"/>
        <v>0</v>
      </c>
      <c r="K149" s="57"/>
      <c r="L149" s="57"/>
      <c r="M149" s="57"/>
      <c r="N149" s="57"/>
    </row>
    <row r="150" spans="1:14">
      <c r="A150" s="64"/>
      <c r="C150" s="105"/>
      <c r="D150" s="21" t="s">
        <v>111</v>
      </c>
      <c r="E150" s="21" t="s">
        <v>108</v>
      </c>
      <c r="F150" s="33" t="s">
        <v>109</v>
      </c>
      <c r="G150" s="57"/>
      <c r="H150" s="54"/>
      <c r="I150" s="67"/>
      <c r="J150" s="57">
        <f t="shared" si="5"/>
        <v>0</v>
      </c>
      <c r="K150" s="57"/>
      <c r="L150" s="57"/>
      <c r="M150" s="57"/>
      <c r="N150" s="57"/>
    </row>
    <row r="151" spans="1:14">
      <c r="A151" s="64">
        <v>43556</v>
      </c>
      <c r="B151" s="21" t="s">
        <v>297</v>
      </c>
      <c r="C151" s="105"/>
      <c r="D151" s="21" t="s">
        <v>125</v>
      </c>
      <c r="E151" s="21" t="s">
        <v>121</v>
      </c>
      <c r="F151" s="33" t="s">
        <v>122</v>
      </c>
      <c r="G151" s="57"/>
      <c r="H151" s="54"/>
      <c r="I151" s="67"/>
      <c r="J151" s="57">
        <f t="shared" si="5"/>
        <v>0</v>
      </c>
      <c r="K151" s="57"/>
      <c r="L151" s="57"/>
      <c r="M151" s="57"/>
      <c r="N151" s="57"/>
    </row>
    <row r="152" spans="1:14">
      <c r="A152" s="64">
        <v>43556</v>
      </c>
      <c r="B152" s="21" t="s">
        <v>297</v>
      </c>
      <c r="C152" s="105"/>
      <c r="D152" s="21" t="s">
        <v>125</v>
      </c>
      <c r="E152" s="21" t="s">
        <v>121</v>
      </c>
      <c r="F152" s="33" t="s">
        <v>124</v>
      </c>
      <c r="G152" s="57"/>
      <c r="H152" s="54"/>
      <c r="I152" s="67"/>
      <c r="J152" s="57">
        <f t="shared" si="5"/>
        <v>0</v>
      </c>
      <c r="K152" s="57"/>
      <c r="L152" s="57"/>
      <c r="M152" s="57"/>
      <c r="N152" s="57"/>
    </row>
    <row r="153" spans="1:14">
      <c r="A153" s="64">
        <v>43556</v>
      </c>
      <c r="B153" s="21" t="s">
        <v>297</v>
      </c>
      <c r="C153" s="21" t="s">
        <v>257</v>
      </c>
      <c r="D153" s="21" t="s">
        <v>258</v>
      </c>
      <c r="E153" s="21" t="s">
        <v>121</v>
      </c>
      <c r="F153" s="33" t="s">
        <v>122</v>
      </c>
      <c r="G153" s="57"/>
      <c r="H153" s="54"/>
      <c r="I153" s="67"/>
      <c r="J153" s="57">
        <f t="shared" si="5"/>
        <v>0</v>
      </c>
      <c r="K153" s="57"/>
      <c r="L153" s="57"/>
      <c r="M153" s="57"/>
      <c r="N153" s="57"/>
    </row>
    <row r="154" spans="1:14" ht="14.25" customHeight="1">
      <c r="A154" s="64">
        <v>43556</v>
      </c>
      <c r="B154" s="21" t="s">
        <v>297</v>
      </c>
      <c r="C154" s="105" t="s">
        <v>199</v>
      </c>
      <c r="D154" s="21" t="s">
        <v>200</v>
      </c>
      <c r="E154" s="21" t="s">
        <v>93</v>
      </c>
      <c r="F154" s="33" t="s">
        <v>94</v>
      </c>
      <c r="G154" s="57"/>
      <c r="H154" s="54"/>
      <c r="I154" s="67"/>
      <c r="J154" s="57">
        <f t="shared" si="5"/>
        <v>0</v>
      </c>
      <c r="K154" s="57">
        <f>(J154+J157+J155+J156)*0.25*N2</f>
        <v>0</v>
      </c>
      <c r="L154" s="57"/>
      <c r="M154" s="57"/>
      <c r="N154" s="57"/>
    </row>
    <row r="155" spans="1:14" ht="14.25" customHeight="1">
      <c r="A155" s="64">
        <v>43556</v>
      </c>
      <c r="B155" s="21" t="s">
        <v>297</v>
      </c>
      <c r="C155" s="105"/>
      <c r="D155" s="21" t="s">
        <v>201</v>
      </c>
      <c r="E155" s="21" t="s">
        <v>93</v>
      </c>
      <c r="F155" s="33" t="s">
        <v>94</v>
      </c>
      <c r="G155" s="57"/>
      <c r="H155" s="54"/>
      <c r="I155" s="67"/>
      <c r="J155" s="57">
        <f t="shared" si="5"/>
        <v>0</v>
      </c>
      <c r="K155" s="57"/>
      <c r="L155" s="57"/>
      <c r="M155" s="57"/>
      <c r="N155" s="57"/>
    </row>
    <row r="156" spans="1:14" ht="14.25" customHeight="1">
      <c r="A156" s="64"/>
      <c r="C156" s="105"/>
      <c r="D156" s="21" t="s">
        <v>203</v>
      </c>
      <c r="E156" s="21" t="s">
        <v>93</v>
      </c>
      <c r="F156" s="33" t="s">
        <v>94</v>
      </c>
      <c r="G156" s="57"/>
      <c r="H156" s="54"/>
      <c r="I156" s="67"/>
      <c r="J156" s="57">
        <f t="shared" si="5"/>
        <v>0</v>
      </c>
      <c r="K156" s="57"/>
      <c r="L156" s="57"/>
      <c r="M156" s="57"/>
      <c r="N156" s="57"/>
    </row>
    <row r="157" spans="1:14" ht="14.25" customHeight="1">
      <c r="A157" s="64">
        <v>43556</v>
      </c>
      <c r="B157" s="21" t="s">
        <v>297</v>
      </c>
      <c r="C157" s="105"/>
      <c r="D157" s="21" t="s">
        <v>202</v>
      </c>
      <c r="E157" s="21" t="s">
        <v>93</v>
      </c>
      <c r="F157" s="33" t="s">
        <v>94</v>
      </c>
      <c r="G157" s="57"/>
      <c r="H157" s="54"/>
      <c r="I157" s="67"/>
      <c r="J157" s="57">
        <f t="shared" si="5"/>
        <v>0</v>
      </c>
      <c r="K157" s="57"/>
      <c r="L157" s="57"/>
      <c r="M157" s="57"/>
      <c r="N157" s="57"/>
    </row>
    <row r="158" spans="1:14" ht="14.25" customHeight="1">
      <c r="A158" s="64"/>
      <c r="C158" s="102" t="s">
        <v>185</v>
      </c>
      <c r="D158" s="21" t="s">
        <v>186</v>
      </c>
      <c r="E158" s="21" t="s">
        <v>349</v>
      </c>
      <c r="F158" s="33" t="s">
        <v>350</v>
      </c>
      <c r="G158" s="57"/>
      <c r="H158" s="54"/>
      <c r="I158" s="67"/>
      <c r="J158" s="57">
        <f t="shared" si="5"/>
        <v>0</v>
      </c>
      <c r="K158" s="57"/>
      <c r="L158" s="57"/>
      <c r="M158" s="57"/>
      <c r="N158" s="57"/>
    </row>
    <row r="159" spans="1:14" ht="14.25" customHeight="1">
      <c r="A159" s="64">
        <v>43556</v>
      </c>
      <c r="B159" s="21" t="s">
        <v>297</v>
      </c>
      <c r="C159" s="103"/>
      <c r="D159" s="21" t="s">
        <v>186</v>
      </c>
      <c r="E159" s="21" t="s">
        <v>349</v>
      </c>
      <c r="F159" s="33" t="s">
        <v>351</v>
      </c>
      <c r="G159" s="57"/>
      <c r="H159" s="54"/>
      <c r="I159" s="68"/>
      <c r="J159" s="57">
        <f t="shared" si="5"/>
        <v>0</v>
      </c>
      <c r="K159" s="57">
        <f>(J159+J161+J162+J160+J158)*0.05*N2</f>
        <v>0</v>
      </c>
      <c r="L159" s="57">
        <f>K159/0.05*0.25</f>
        <v>0</v>
      </c>
      <c r="M159" s="57">
        <f>L159-K159-3000</f>
        <v>-3000</v>
      </c>
      <c r="N159" s="57"/>
    </row>
    <row r="160" spans="1:14" ht="14.25" customHeight="1">
      <c r="A160" s="64"/>
      <c r="C160" s="103"/>
      <c r="D160" s="21" t="s">
        <v>189</v>
      </c>
      <c r="E160" s="21" t="s">
        <v>349</v>
      </c>
      <c r="F160" s="33" t="s">
        <v>350</v>
      </c>
      <c r="G160" s="57"/>
      <c r="H160" s="54"/>
      <c r="I160" s="67"/>
      <c r="J160" s="57">
        <f t="shared" si="5"/>
        <v>0</v>
      </c>
      <c r="K160" s="57"/>
      <c r="L160" s="57"/>
      <c r="M160" s="57"/>
      <c r="N160" s="57"/>
    </row>
    <row r="161" spans="1:14" ht="14.25" customHeight="1">
      <c r="A161" s="64">
        <v>43556</v>
      </c>
      <c r="B161" s="21" t="s">
        <v>297</v>
      </c>
      <c r="C161" s="103"/>
      <c r="D161" s="21" t="s">
        <v>189</v>
      </c>
      <c r="E161" s="21" t="s">
        <v>349</v>
      </c>
      <c r="F161" s="33" t="s">
        <v>351</v>
      </c>
      <c r="G161" s="57"/>
      <c r="H161" s="54"/>
      <c r="I161" s="68"/>
      <c r="J161" s="57">
        <f t="shared" si="5"/>
        <v>0</v>
      </c>
      <c r="K161" s="57"/>
      <c r="L161" s="57"/>
      <c r="M161" s="57"/>
      <c r="N161" s="57"/>
    </row>
    <row r="162" spans="1:14" ht="15" customHeight="1">
      <c r="A162" s="64">
        <v>43556</v>
      </c>
      <c r="B162" s="21" t="s">
        <v>297</v>
      </c>
      <c r="C162" s="103"/>
      <c r="D162" s="80" t="s">
        <v>197</v>
      </c>
      <c r="E162" s="21" t="s">
        <v>349</v>
      </c>
      <c r="F162" s="33" t="s">
        <v>351</v>
      </c>
      <c r="G162" s="57"/>
      <c r="H162" s="54"/>
      <c r="I162" s="67"/>
      <c r="J162" s="57">
        <f t="shared" si="5"/>
        <v>0</v>
      </c>
      <c r="K162" s="57"/>
      <c r="L162" s="57">
        <f>K162/0.03*0.25*3</f>
        <v>0</v>
      </c>
      <c r="M162" s="57"/>
      <c r="N162" s="57"/>
    </row>
    <row r="163" spans="1:14">
      <c r="A163" s="64">
        <v>43556</v>
      </c>
      <c r="B163" s="21" t="s">
        <v>297</v>
      </c>
      <c r="C163" s="102" t="s">
        <v>204</v>
      </c>
      <c r="D163" s="21" t="s">
        <v>206</v>
      </c>
      <c r="E163" s="21" t="s">
        <v>129</v>
      </c>
      <c r="F163" s="33" t="s">
        <v>207</v>
      </c>
      <c r="G163" s="57"/>
      <c r="H163" s="54"/>
      <c r="I163" s="68"/>
      <c r="J163" s="57">
        <f t="shared" ref="J163:J170" si="6">G163*H163*1-I163</f>
        <v>0</v>
      </c>
      <c r="K163" s="57">
        <f>(J163+J164)*0.2*N2</f>
        <v>0</v>
      </c>
      <c r="L163" s="57"/>
      <c r="M163" s="57"/>
      <c r="N163" s="57"/>
    </row>
    <row r="164" spans="1:14">
      <c r="A164" s="64"/>
      <c r="C164" s="103"/>
      <c r="D164" s="21" t="s">
        <v>206</v>
      </c>
      <c r="E164" s="21" t="s">
        <v>129</v>
      </c>
      <c r="F164" s="33" t="s">
        <v>208</v>
      </c>
      <c r="G164" s="57"/>
      <c r="H164" s="54"/>
      <c r="I164" s="68"/>
      <c r="J164" s="57">
        <f t="shared" si="6"/>
        <v>0</v>
      </c>
      <c r="K164" s="57"/>
      <c r="L164" s="57"/>
      <c r="M164" s="57"/>
      <c r="N164" s="57"/>
    </row>
    <row r="165" spans="1:14">
      <c r="A165" s="64">
        <v>43556</v>
      </c>
      <c r="B165" s="21" t="s">
        <v>297</v>
      </c>
      <c r="C165" s="103"/>
      <c r="D165" s="21" t="s">
        <v>209</v>
      </c>
      <c r="E165" s="21" t="s">
        <v>144</v>
      </c>
      <c r="F165" s="33" t="s">
        <v>210</v>
      </c>
      <c r="G165" s="57"/>
      <c r="H165" s="54"/>
      <c r="I165" s="68"/>
      <c r="J165" s="57">
        <f t="shared" si="6"/>
        <v>0</v>
      </c>
      <c r="K165" s="57">
        <f>(J165)*0.25*N2</f>
        <v>0</v>
      </c>
      <c r="L165" s="57"/>
      <c r="M165" s="57"/>
      <c r="N165" s="57"/>
    </row>
    <row r="166" spans="1:14">
      <c r="A166" s="64">
        <v>43556</v>
      </c>
      <c r="B166" s="21" t="s">
        <v>297</v>
      </c>
      <c r="C166" s="103"/>
      <c r="D166" s="21" t="s">
        <v>88</v>
      </c>
      <c r="E166" s="21" t="s">
        <v>93</v>
      </c>
      <c r="F166" s="33" t="s">
        <v>212</v>
      </c>
      <c r="G166" s="57"/>
      <c r="H166" s="54"/>
      <c r="I166" s="68"/>
      <c r="J166" s="57">
        <f t="shared" si="6"/>
        <v>0</v>
      </c>
      <c r="K166" s="57">
        <f>(J166+J167)*0.25*N2</f>
        <v>0</v>
      </c>
      <c r="L166" s="57"/>
      <c r="M166" s="57"/>
      <c r="N166" s="57"/>
    </row>
    <row r="167" spans="1:14">
      <c r="A167" s="64">
        <v>43556</v>
      </c>
      <c r="B167" s="21" t="s">
        <v>297</v>
      </c>
      <c r="C167" s="103"/>
      <c r="D167" s="21" t="s">
        <v>88</v>
      </c>
      <c r="E167" s="21" t="s">
        <v>93</v>
      </c>
      <c r="F167" s="33" t="s">
        <v>213</v>
      </c>
      <c r="G167" s="57"/>
      <c r="H167" s="54"/>
      <c r="I167" s="68"/>
      <c r="J167" s="57">
        <f t="shared" si="6"/>
        <v>0</v>
      </c>
      <c r="K167" s="57"/>
      <c r="L167" s="57"/>
      <c r="M167" s="57"/>
      <c r="N167" s="57"/>
    </row>
    <row r="168" spans="1:14">
      <c r="A168" s="64">
        <v>43556</v>
      </c>
      <c r="B168" s="21" t="s">
        <v>297</v>
      </c>
      <c r="C168" s="103"/>
      <c r="D168" s="21" t="s">
        <v>214</v>
      </c>
      <c r="E168" s="21" t="s">
        <v>352</v>
      </c>
      <c r="F168" s="33" t="s">
        <v>353</v>
      </c>
      <c r="G168" s="57"/>
      <c r="H168" s="54"/>
      <c r="I168" s="68"/>
      <c r="J168" s="57">
        <f t="shared" si="6"/>
        <v>0</v>
      </c>
      <c r="K168" s="57">
        <f>(J168)*0.05*N2</f>
        <v>0</v>
      </c>
      <c r="L168" s="57"/>
      <c r="M168" s="57"/>
      <c r="N168" s="57"/>
    </row>
    <row r="169" spans="1:14">
      <c r="A169" s="64">
        <v>43556</v>
      </c>
      <c r="B169" s="21" t="s">
        <v>297</v>
      </c>
      <c r="C169" s="103"/>
      <c r="D169" s="21" t="s">
        <v>217</v>
      </c>
      <c r="E169" s="21" t="s">
        <v>161</v>
      </c>
      <c r="F169" s="33" t="s">
        <v>215</v>
      </c>
      <c r="G169" s="57"/>
      <c r="H169" s="54"/>
      <c r="I169" s="68"/>
      <c r="J169" s="57">
        <f t="shared" si="6"/>
        <v>0</v>
      </c>
      <c r="K169" s="57">
        <f>(J169+J170)*0.4*N2</f>
        <v>0</v>
      </c>
      <c r="L169" s="57"/>
      <c r="M169" s="57"/>
      <c r="N169" s="57"/>
    </row>
    <row r="170" spans="1:14">
      <c r="A170" s="64"/>
      <c r="C170" s="104"/>
      <c r="D170" s="21" t="s">
        <v>217</v>
      </c>
      <c r="E170" s="21" t="s">
        <v>161</v>
      </c>
      <c r="F170" s="33" t="s">
        <v>216</v>
      </c>
      <c r="G170" s="57"/>
      <c r="H170" s="54"/>
      <c r="I170" s="68"/>
      <c r="J170" s="57">
        <f t="shared" si="6"/>
        <v>0</v>
      </c>
      <c r="K170" s="57"/>
      <c r="L170" s="57"/>
      <c r="M170" s="57"/>
      <c r="N170" s="57"/>
    </row>
    <row r="171" spans="1:14">
      <c r="C171" s="106" t="s">
        <v>218</v>
      </c>
      <c r="D171" s="107"/>
      <c r="E171" s="21" t="s">
        <v>219</v>
      </c>
      <c r="F171" s="33" t="s">
        <v>219</v>
      </c>
      <c r="G171" s="57"/>
      <c r="H171" s="54"/>
      <c r="I171" s="67"/>
      <c r="J171" s="57">
        <f>G171*H171-I171</f>
        <v>0</v>
      </c>
      <c r="K171" s="57">
        <f>(J10+J11+J15+J16+J19+J20+J21+J25+J27+J38+J39+J40+J41+J43+J44+J45+J46+J47+J50+J51+J52+J53+J54+J55+J42)*0.07*N2+(J3+J4+J5+J7+J8+J12+J13+J14+J17+J18+J28+J30+J31+J37+J48+J56+J57+J58+J60+J61+J63+J64+J65+J66+J67+J68+J74+J75+J76+J79+J81+J84+J85+J86+J87+J88+J92+J101+J102+J109+J115+J116+J117+J118+J120+J119+J121+J122+J123+J124+J126+J129+J130+J131+J136+J137+J139+J140+J141+J142+J143+J144+J147+J148+J159+J161+J125+J29+J35+J59+J69+J23+J24+J36+J91+J94+J95+J99+J113+J114+J132+J151+J152+J150+J162+J146+J145+J111+J100+J96+J93+J89+J90+J83+J97+J98+J107+J108+J32+J33+J62+J72+J73+J77+J78+J103+J104+J105+J110+J134+J135+J157+J158+J160+J70+J71+J80+J106)*0.01*N2+(J127+J128+J138)*0.04*N2+(0)*0.08*N2</f>
        <v>0</v>
      </c>
      <c r="L171" s="57"/>
      <c r="M171" s="57"/>
      <c r="N171" s="57"/>
    </row>
    <row r="172" spans="1:14">
      <c r="C172" s="108"/>
      <c r="D172" s="109"/>
      <c r="E172" s="21" t="s">
        <v>220</v>
      </c>
      <c r="F172" s="33" t="s">
        <v>220</v>
      </c>
      <c r="G172" s="57"/>
      <c r="H172" s="54"/>
      <c r="I172" s="67"/>
      <c r="J172" s="57">
        <f>G172*H172-I172</f>
        <v>0</v>
      </c>
      <c r="K172" s="57">
        <f>(J3+J5+J12+J13+J28+J30+J14+J4+J29)*0.06*N2+(J63+J64+J68+J74+J75+J76+J118+J119+J120+J69)*0.07*N2+(J131+J132+J139+J140+J133)*0.03*N2</f>
        <v>0</v>
      </c>
      <c r="L172" s="57"/>
      <c r="M172" s="57"/>
      <c r="N172" s="57"/>
    </row>
    <row r="173" spans="1:14">
      <c r="C173" s="108"/>
      <c r="D173" s="109"/>
      <c r="E173" s="21" t="s">
        <v>221</v>
      </c>
      <c r="F173" s="33" t="s">
        <v>221</v>
      </c>
      <c r="G173" s="57"/>
      <c r="H173" s="54"/>
      <c r="I173" s="67"/>
      <c r="J173" s="57">
        <f>(G173*H173*0.98)-I173</f>
        <v>0</v>
      </c>
      <c r="K173" s="57">
        <f>(J6+J17+J18+J31+J33+J56+J57+J32)*0.06*N2+(J60+J61+J101+J102+J92+J91+J99+J93+J100+J97+J98+J107+J108+J77+J78+J106)*0.07*N2+(J161+J160)*0.03*N2</f>
        <v>0</v>
      </c>
      <c r="L173" s="57"/>
      <c r="M173" s="57"/>
      <c r="N173" s="57"/>
    </row>
    <row r="174" spans="1:14">
      <c r="C174" s="108"/>
      <c r="D174" s="109"/>
      <c r="E174" s="21" t="s">
        <v>223</v>
      </c>
      <c r="F174" s="33" t="s">
        <v>223</v>
      </c>
      <c r="G174" s="57"/>
      <c r="H174" s="54"/>
      <c r="I174" s="67"/>
      <c r="J174" s="57">
        <f>(G174*H174*0.98)-I174</f>
        <v>0</v>
      </c>
      <c r="K174" s="57">
        <f>(J22+J23+J24)*0.06*N2</f>
        <v>0</v>
      </c>
      <c r="L174" s="57"/>
      <c r="M174" s="57"/>
      <c r="N174" s="57"/>
    </row>
    <row r="175" spans="1:14">
      <c r="C175" s="108"/>
      <c r="D175" s="109"/>
      <c r="E175" s="21" t="s">
        <v>354</v>
      </c>
      <c r="F175" s="33" t="s">
        <v>354</v>
      </c>
      <c r="G175" s="57"/>
      <c r="H175" s="54"/>
      <c r="I175" s="67"/>
      <c r="J175" s="57">
        <v>0</v>
      </c>
      <c r="K175" s="57">
        <f>0</f>
        <v>0</v>
      </c>
      <c r="L175" s="57"/>
      <c r="M175" s="57"/>
      <c r="N175" s="57"/>
    </row>
    <row r="176" spans="1:14">
      <c r="C176" s="108"/>
      <c r="D176" s="109"/>
      <c r="E176" s="21" t="s">
        <v>224</v>
      </c>
      <c r="F176" s="33" t="s">
        <v>224</v>
      </c>
      <c r="G176" s="57"/>
      <c r="H176" s="54"/>
      <c r="I176" s="67"/>
      <c r="J176" s="57">
        <v>0</v>
      </c>
      <c r="K176" s="57">
        <f>(J65+J121+J122+J123+J109+J94+J95+J96+J110+J111)*0.07*N2+(J143+J144+J158+J159+J162)*0.03*N2+(0)*0.06*N2</f>
        <v>0</v>
      </c>
      <c r="L176" s="57"/>
      <c r="M176" s="57"/>
      <c r="N176" s="57"/>
    </row>
    <row r="177" spans="3:14">
      <c r="C177" s="108"/>
      <c r="D177" s="109"/>
      <c r="E177" s="21" t="s">
        <v>222</v>
      </c>
      <c r="F177" s="33" t="s">
        <v>222</v>
      </c>
      <c r="G177" s="57"/>
      <c r="H177" s="54"/>
      <c r="I177" s="67"/>
      <c r="J177" s="57">
        <v>0</v>
      </c>
      <c r="K177" s="57">
        <f>(J113+J114+J115+J116+J117+J112+J153+J70+J71)*0.07*N2+(J141+J142+J136+J137+J126+J145+J150)*0.03*N2+(J7+J8+J34)*0.06*N2+(J58+J59+J66+J67)*0.08*N2</f>
        <v>0</v>
      </c>
      <c r="L177" s="57"/>
      <c r="M177" s="57"/>
      <c r="N177" s="57"/>
    </row>
    <row r="178" spans="3:14">
      <c r="C178" s="108"/>
      <c r="D178" s="109"/>
      <c r="E178" s="21" t="s">
        <v>225</v>
      </c>
      <c r="F178" s="33" t="s">
        <v>225</v>
      </c>
      <c r="G178" s="57"/>
      <c r="H178" s="54"/>
      <c r="I178" s="67"/>
      <c r="J178" s="57">
        <v>0</v>
      </c>
      <c r="K178" s="57">
        <f>(J84+J85+J79+J81+J83+J80)*0.07*N2+(J37+J35+J36)*0.06*N2+(J151+J152+J134+J135+J124+J125)*0.03*N2</f>
        <v>0</v>
      </c>
      <c r="L178" s="57"/>
      <c r="M178" s="57"/>
      <c r="N178" s="57"/>
    </row>
    <row r="179" spans="3:14">
      <c r="C179" s="110"/>
      <c r="D179" s="111"/>
      <c r="E179" s="21" t="s">
        <v>226</v>
      </c>
      <c r="F179" s="33" t="s">
        <v>226</v>
      </c>
      <c r="G179" s="57"/>
      <c r="H179" s="54"/>
      <c r="I179" s="67"/>
      <c r="J179" s="57">
        <v>0</v>
      </c>
      <c r="K179" s="57">
        <f>(J86+J87+J88+J103+J104+J105+J62+J72+J73)*0.07*N2+(J147+J148+J149+J129+J130)*0.03*N2+(J48+J49)*0.06*N2</f>
        <v>0</v>
      </c>
      <c r="L179" s="57"/>
      <c r="M179" s="57"/>
      <c r="N179" s="57"/>
    </row>
    <row r="180" spans="3:14">
      <c r="F180" s="58" t="s">
        <v>227</v>
      </c>
      <c r="G180" s="65">
        <f t="shared" ref="G180:J180" si="7">SUM(G3:G179)</f>
        <v>0</v>
      </c>
      <c r="H180" s="66"/>
      <c r="I180" s="93">
        <f t="shared" si="7"/>
        <v>0</v>
      </c>
      <c r="J180" s="65">
        <f t="shared" si="7"/>
        <v>0</v>
      </c>
      <c r="K180" s="65">
        <f>J180*N2</f>
        <v>0</v>
      </c>
      <c r="L180" s="57"/>
      <c r="M180" s="57"/>
      <c r="N180" s="57"/>
    </row>
    <row r="181" spans="3:14">
      <c r="F181" s="58" t="s">
        <v>228</v>
      </c>
      <c r="G181" s="65"/>
      <c r="H181" s="66"/>
      <c r="I181" s="93"/>
      <c r="J181" s="65"/>
      <c r="K181" s="65">
        <f>K180*0.4</f>
        <v>0</v>
      </c>
      <c r="L181" s="57"/>
      <c r="M181" s="57"/>
      <c r="N181" s="57"/>
    </row>
    <row r="182" spans="3:14">
      <c r="F182" s="58" t="s">
        <v>261</v>
      </c>
      <c r="G182" s="65"/>
      <c r="H182" s="66"/>
      <c r="I182" s="93"/>
      <c r="J182" s="65"/>
      <c r="K182" s="65">
        <f>K180*0.6</f>
        <v>0</v>
      </c>
      <c r="L182" s="57"/>
      <c r="M182" s="57"/>
      <c r="N182" s="57"/>
    </row>
    <row r="183" spans="3:14">
      <c r="C183" s="21" t="s">
        <v>355</v>
      </c>
      <c r="E183" s="21" t="s">
        <v>230</v>
      </c>
      <c r="F183" s="33"/>
      <c r="G183" s="57"/>
      <c r="H183" s="54"/>
      <c r="I183" s="67"/>
      <c r="J183" s="57"/>
      <c r="K183" s="57">
        <f>(0)*0.05*N2+M17+M22+M23+M12+M28+M7+M10+M3-N17-N7+M43</f>
        <v>-9567</v>
      </c>
      <c r="L183" s="57"/>
      <c r="M183" s="57"/>
      <c r="N183" s="57"/>
    </row>
    <row r="184" spans="3:14">
      <c r="C184" s="21" t="s">
        <v>356</v>
      </c>
      <c r="E184" s="21" t="s">
        <v>230</v>
      </c>
      <c r="F184" s="33"/>
      <c r="G184" s="57"/>
      <c r="H184" s="54"/>
      <c r="I184" s="67"/>
      <c r="J184" s="57"/>
      <c r="K184" s="57">
        <f>(0)*0.05*N2+M103+M118+M79+M113+M101+M86+M84+M115+M121+M109+M89+M94</f>
        <v>0</v>
      </c>
      <c r="L184" s="57"/>
      <c r="M184" s="57"/>
      <c r="N184" s="57"/>
    </row>
    <row r="185" spans="3:14">
      <c r="C185" s="21" t="s">
        <v>357</v>
      </c>
      <c r="E185" s="21" t="s">
        <v>233</v>
      </c>
      <c r="F185" s="33"/>
      <c r="G185" s="57"/>
      <c r="H185" s="54"/>
      <c r="I185" s="67"/>
      <c r="J185" s="57"/>
      <c r="K185" s="57">
        <f>(J70+J71+J66+J67)*0.05*N2+M60+M70+M63</f>
        <v>0</v>
      </c>
      <c r="L185" s="57"/>
      <c r="M185" s="57"/>
      <c r="N185" s="57"/>
    </row>
    <row r="186" spans="3:14">
      <c r="C186" s="21" t="s">
        <v>358</v>
      </c>
      <c r="E186" s="21" t="s">
        <v>230</v>
      </c>
      <c r="F186" s="33"/>
      <c r="G186" s="57"/>
      <c r="H186" s="54"/>
      <c r="I186" s="67"/>
      <c r="J186" s="57"/>
      <c r="K186" s="57">
        <f>(J129+J130+J131+J132+J133)*0.05*N2+M124+M141+M127+M145+M134+M126</f>
        <v>0</v>
      </c>
      <c r="L186" s="57"/>
      <c r="M186" s="57"/>
      <c r="N186" s="57"/>
    </row>
    <row r="187" spans="3:14">
      <c r="C187" s="21" t="s">
        <v>235</v>
      </c>
      <c r="E187" s="21" t="s">
        <v>230</v>
      </c>
      <c r="F187" s="33"/>
      <c r="G187" s="57"/>
      <c r="H187" s="54"/>
      <c r="I187" s="67"/>
      <c r="J187" s="57"/>
      <c r="K187" s="57">
        <f>M159</f>
        <v>-3000</v>
      </c>
      <c r="L187" s="57"/>
      <c r="M187" s="57"/>
      <c r="N187" s="57"/>
    </row>
    <row r="188" spans="3:14">
      <c r="C188" s="21" t="s">
        <v>262</v>
      </c>
      <c r="E188" s="21" t="s">
        <v>230</v>
      </c>
      <c r="F188" s="33"/>
      <c r="G188" s="57"/>
      <c r="H188" s="54"/>
      <c r="I188" s="67"/>
      <c r="J188" s="57"/>
      <c r="K188" s="57">
        <f>J180*0.07*N2</f>
        <v>0</v>
      </c>
      <c r="L188" s="57"/>
      <c r="M188" s="57"/>
      <c r="N188" s="57"/>
    </row>
    <row r="189" spans="3:14">
      <c r="F189" s="33"/>
      <c r="G189" s="57"/>
      <c r="H189" s="54"/>
      <c r="I189" s="67"/>
      <c r="J189" s="57"/>
      <c r="K189" s="57">
        <f>SUM(K183:K188)</f>
        <v>-12567</v>
      </c>
      <c r="L189" s="57"/>
      <c r="M189" s="57"/>
      <c r="N189" s="57"/>
    </row>
    <row r="190" spans="3:14">
      <c r="F190" s="33"/>
      <c r="G190" s="57"/>
      <c r="H190" s="54"/>
      <c r="I190" s="67"/>
      <c r="J190" s="57"/>
      <c r="K190" s="65">
        <f>K183+K184+K185+K186+K187</f>
        <v>-12567</v>
      </c>
      <c r="L190" s="57"/>
      <c r="M190" s="57"/>
      <c r="N190" s="57"/>
    </row>
    <row r="191" spans="3:14">
      <c r="F191" s="33"/>
      <c r="G191" s="57"/>
      <c r="H191" s="54"/>
      <c r="I191" s="67"/>
      <c r="J191" s="57"/>
      <c r="K191" s="57"/>
      <c r="L191" s="57"/>
      <c r="M191" s="57"/>
      <c r="N191" s="57"/>
    </row>
    <row r="192" spans="3:14">
      <c r="F192" s="33"/>
      <c r="G192" s="57"/>
      <c r="H192" s="54"/>
      <c r="I192" s="67"/>
      <c r="J192" s="57"/>
      <c r="K192" s="57"/>
      <c r="L192" s="57"/>
      <c r="M192" s="57"/>
      <c r="N192" s="57"/>
    </row>
    <row r="193" spans="6:14">
      <c r="F193" s="33"/>
      <c r="G193" s="57"/>
      <c r="H193" s="54"/>
      <c r="I193" s="67"/>
      <c r="J193" s="57"/>
      <c r="K193" s="57"/>
      <c r="L193" s="57"/>
      <c r="M193" s="57"/>
      <c r="N193" s="57"/>
    </row>
    <row r="194" spans="6:14">
      <c r="F194" s="33"/>
      <c r="G194" s="57"/>
      <c r="H194" s="54"/>
      <c r="I194" s="67"/>
      <c r="J194" s="57"/>
      <c r="K194" s="57"/>
      <c r="L194" s="57"/>
      <c r="M194" s="57"/>
      <c r="N194" s="57"/>
    </row>
    <row r="195" spans="6:14">
      <c r="F195" s="33"/>
      <c r="G195" s="57"/>
      <c r="H195" s="54"/>
      <c r="I195" s="67"/>
      <c r="J195" s="57"/>
      <c r="K195" s="57"/>
      <c r="L195" s="57"/>
      <c r="M195" s="57"/>
      <c r="N195" s="57"/>
    </row>
    <row r="196" spans="6:14">
      <c r="F196" s="33"/>
      <c r="G196" s="57"/>
      <c r="H196" s="54"/>
      <c r="I196" s="67"/>
      <c r="J196" s="57"/>
      <c r="K196" s="57"/>
      <c r="L196" s="57"/>
      <c r="M196" s="57"/>
      <c r="N196" s="57"/>
    </row>
    <row r="197" spans="6:14">
      <c r="F197" s="33"/>
      <c r="G197" s="57"/>
      <c r="H197" s="54"/>
      <c r="I197" s="67"/>
      <c r="J197" s="57"/>
      <c r="K197" s="57"/>
      <c r="L197" s="57"/>
      <c r="M197" s="57"/>
      <c r="N197" s="57"/>
    </row>
    <row r="198" spans="6:14">
      <c r="F198" s="33"/>
      <c r="G198" s="57"/>
      <c r="H198" s="54"/>
      <c r="I198" s="67"/>
      <c r="J198" s="57"/>
      <c r="K198" s="57"/>
      <c r="L198" s="57"/>
      <c r="M198" s="57"/>
      <c r="N198" s="57"/>
    </row>
    <row r="199" spans="6:14">
      <c r="F199" s="33"/>
      <c r="G199" s="57"/>
      <c r="H199" s="54"/>
      <c r="I199" s="67"/>
      <c r="J199" s="57"/>
      <c r="K199" s="57"/>
      <c r="L199" s="57"/>
      <c r="M199" s="57"/>
      <c r="N199" s="57"/>
    </row>
    <row r="200" spans="6:14">
      <c r="F200" s="33"/>
      <c r="G200" s="57"/>
      <c r="H200" s="54"/>
      <c r="I200" s="67"/>
      <c r="J200" s="57"/>
      <c r="K200" s="57"/>
      <c r="L200" s="57"/>
      <c r="M200" s="57"/>
      <c r="N200" s="57"/>
    </row>
    <row r="201" spans="6:14">
      <c r="F201" s="33"/>
      <c r="G201" s="57"/>
      <c r="H201" s="54"/>
      <c r="I201" s="67"/>
      <c r="J201" s="57"/>
      <c r="K201" s="57"/>
      <c r="L201" s="57"/>
      <c r="M201" s="57"/>
      <c r="N201" s="57"/>
    </row>
    <row r="202" spans="6:14">
      <c r="F202" s="33"/>
      <c r="G202" s="57"/>
      <c r="H202" s="54"/>
      <c r="I202" s="67"/>
      <c r="J202" s="57"/>
      <c r="K202" s="57"/>
      <c r="L202" s="57"/>
      <c r="M202" s="57"/>
      <c r="N202" s="57"/>
    </row>
    <row r="203" spans="6:14">
      <c r="F203" s="33"/>
      <c r="G203" s="57"/>
      <c r="H203" s="54"/>
      <c r="I203" s="67"/>
      <c r="J203" s="57"/>
      <c r="K203" s="57"/>
    </row>
  </sheetData>
  <mergeCells count="8">
    <mergeCell ref="C163:C170"/>
    <mergeCell ref="C171:D179"/>
    <mergeCell ref="C3:C57"/>
    <mergeCell ref="C58:C73"/>
    <mergeCell ref="C74:C123"/>
    <mergeCell ref="C124:C152"/>
    <mergeCell ref="C154:C157"/>
    <mergeCell ref="C158:C162"/>
  </mergeCells>
  <phoneticPr fontId="37" type="noConversion"/>
  <conditionalFormatting sqref="E168">
    <cfRule type="containsText" dxfId="37" priority="2" operator="containsText" text="方泽斯">
      <formula>NOT(ISERROR(SEARCH("方泽斯",E168)))</formula>
    </cfRule>
  </conditionalFormatting>
  <conditionalFormatting sqref="E185">
    <cfRule type="containsText" dxfId="36" priority="1" operator="containsText" text="方泽斯">
      <formula>NOT(ISERROR(SEARCH("方泽斯",E185)))</formula>
    </cfRule>
  </conditionalFormatting>
  <conditionalFormatting sqref="E178:E179">
    <cfRule type="containsText" dxfId="35" priority="3" operator="containsText" text="方泽斯">
      <formula>NOT(ISERROR(SEARCH("方泽斯",E178)))</formula>
    </cfRule>
  </conditionalFormatting>
  <pageMargins left="0.7" right="0.7" top="0" bottom="0" header="0.3" footer="0.3"/>
  <pageSetup paperSize="9" scale="32" orientation="portrait" verticalDpi="18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268"/>
  <sheetViews>
    <sheetView topLeftCell="A2" zoomScaleSheetLayoutView="100" workbookViewId="0">
      <pane ySplit="1" topLeftCell="A3" activePane="bottomLeft" state="frozen"/>
      <selection pane="bottomLeft" activeCell="G16" sqref="G16"/>
    </sheetView>
  </sheetViews>
  <sheetFormatPr defaultRowHeight="13.5"/>
  <cols>
    <col min="1" max="2" width="10.875" style="21" hidden="1" customWidth="1"/>
    <col min="3" max="3" width="7.5" style="21" customWidth="1"/>
    <col min="4" max="4" width="10.25" style="21" customWidth="1"/>
    <col min="5" max="5" width="8.25" style="21" customWidth="1"/>
    <col min="6" max="6" width="15.25" style="21" customWidth="1"/>
    <col min="7" max="7" width="13.25" style="59" customWidth="1"/>
    <col min="8" max="8" width="13.25" style="60" customWidth="1"/>
    <col min="9" max="9" width="16" style="88" customWidth="1"/>
    <col min="10" max="10" width="17" style="59" customWidth="1"/>
    <col min="11" max="11" width="14.875" style="59" customWidth="1"/>
    <col min="12" max="12" width="10.75" style="59" customWidth="1"/>
    <col min="13" max="13" width="11.125" style="59" customWidth="1"/>
    <col min="14" max="14" width="11.625" style="59" customWidth="1"/>
    <col min="15" max="15" width="8.5" style="21" customWidth="1"/>
    <col min="16" max="16" width="18.25" style="21" customWidth="1"/>
    <col min="17" max="17" width="13.875" style="21" customWidth="1"/>
    <col min="18" max="19" width="12.75" style="21" customWidth="1"/>
    <col min="20" max="20" width="14" style="21" customWidth="1"/>
    <col min="21" max="22" width="9" style="21"/>
    <col min="23" max="24" width="8.125" style="21" customWidth="1"/>
    <col min="25" max="25" width="7.75" style="21" customWidth="1"/>
    <col min="26" max="26" width="13.25" style="21" customWidth="1"/>
    <col min="27" max="16384" width="9" style="21"/>
  </cols>
  <sheetData>
    <row r="1" spans="1:25" customFormat="1">
      <c r="A1" s="21"/>
      <c r="B1" s="21"/>
      <c r="C1" s="21" t="s">
        <v>359</v>
      </c>
    </row>
    <row r="2" spans="1:25" s="22" customFormat="1" ht="21" customHeight="1">
      <c r="A2" s="24"/>
      <c r="B2" s="24"/>
      <c r="C2" s="25" t="s">
        <v>1</v>
      </c>
      <c r="D2" s="25" t="s">
        <v>2</v>
      </c>
      <c r="E2" s="25"/>
      <c r="F2" s="26" t="s">
        <v>3</v>
      </c>
      <c r="G2" s="27" t="s">
        <v>4</v>
      </c>
      <c r="H2" s="28" t="s">
        <v>5</v>
      </c>
      <c r="I2" s="29" t="s">
        <v>6</v>
      </c>
      <c r="J2" s="29" t="s">
        <v>7</v>
      </c>
      <c r="K2" s="38" t="s">
        <v>8</v>
      </c>
      <c r="L2" s="39"/>
      <c r="M2" s="40" t="s">
        <v>9</v>
      </c>
      <c r="N2" s="41">
        <v>7.01</v>
      </c>
      <c r="O2" s="42"/>
      <c r="P2" s="43"/>
      <c r="Q2" s="44"/>
      <c r="R2" s="45"/>
      <c r="S2" s="45"/>
      <c r="W2" s="46"/>
      <c r="X2" s="46"/>
      <c r="Y2" s="46"/>
    </row>
    <row r="3" spans="1:25">
      <c r="A3" s="64">
        <v>43556</v>
      </c>
      <c r="B3" s="64" t="s">
        <v>359</v>
      </c>
      <c r="C3" s="102" t="s">
        <v>10</v>
      </c>
      <c r="D3" s="21" t="s">
        <v>78</v>
      </c>
      <c r="E3" s="21" t="s">
        <v>12</v>
      </c>
      <c r="F3" s="33" t="s">
        <v>14</v>
      </c>
      <c r="G3" s="57"/>
      <c r="H3" s="54"/>
      <c r="I3" s="67"/>
      <c r="J3" s="57">
        <f t="shared" ref="J3:J31" si="0">G3*H3*0.98-I3</f>
        <v>0</v>
      </c>
      <c r="K3" s="57">
        <f>(J3+J4)*0.05*N2</f>
        <v>0</v>
      </c>
      <c r="L3" s="57">
        <f>K3/0.05*0.25</f>
        <v>0</v>
      </c>
      <c r="M3" s="57">
        <f t="shared" ref="M3:M9" si="1">L3-K3</f>
        <v>0</v>
      </c>
    </row>
    <row r="4" spans="1:25">
      <c r="A4" s="64">
        <v>43556</v>
      </c>
      <c r="B4" s="64" t="s">
        <v>359</v>
      </c>
      <c r="C4" s="103"/>
      <c r="D4" s="21" t="s">
        <v>77</v>
      </c>
      <c r="E4" s="21" t="s">
        <v>12</v>
      </c>
      <c r="F4" s="33" t="s">
        <v>13</v>
      </c>
      <c r="G4" s="57"/>
      <c r="H4" s="54"/>
      <c r="I4" s="79"/>
      <c r="J4" s="57">
        <f t="shared" si="0"/>
        <v>0</v>
      </c>
      <c r="K4" s="57"/>
      <c r="L4" s="57"/>
      <c r="M4" s="57"/>
    </row>
    <row r="5" spans="1:25">
      <c r="A5" s="64">
        <v>43556</v>
      </c>
      <c r="B5" s="64" t="s">
        <v>359</v>
      </c>
      <c r="C5" s="103"/>
      <c r="D5" s="21" t="s">
        <v>11</v>
      </c>
      <c r="E5" s="21" t="s">
        <v>12</v>
      </c>
      <c r="F5" s="33" t="s">
        <v>13</v>
      </c>
      <c r="G5" s="57"/>
      <c r="H5" s="54"/>
      <c r="I5" s="67"/>
      <c r="J5" s="57">
        <f t="shared" si="0"/>
        <v>0</v>
      </c>
      <c r="K5" s="57">
        <f>(J5+J6+J7)*0.025*N2</f>
        <v>0</v>
      </c>
      <c r="L5" s="57">
        <f>K5/0.025*0.25</f>
        <v>0</v>
      </c>
      <c r="M5" s="57">
        <f t="shared" si="1"/>
        <v>0</v>
      </c>
    </row>
    <row r="6" spans="1:25">
      <c r="A6" s="64">
        <v>43556</v>
      </c>
      <c r="B6" s="64" t="s">
        <v>359</v>
      </c>
      <c r="C6" s="103"/>
      <c r="D6" s="21" t="s">
        <v>11</v>
      </c>
      <c r="E6" s="21" t="s">
        <v>12</v>
      </c>
      <c r="F6" s="33" t="s">
        <v>14</v>
      </c>
      <c r="G6" s="57"/>
      <c r="H6" s="54"/>
      <c r="I6" s="67"/>
      <c r="J6" s="57">
        <f t="shared" si="0"/>
        <v>0</v>
      </c>
      <c r="K6" s="57"/>
      <c r="L6" s="57"/>
      <c r="M6" s="57"/>
    </row>
    <row r="7" spans="1:25">
      <c r="A7" s="64">
        <v>43556</v>
      </c>
      <c r="B7" s="64" t="s">
        <v>359</v>
      </c>
      <c r="C7" s="103"/>
      <c r="D7" s="21" t="s">
        <v>11</v>
      </c>
      <c r="E7" s="21" t="s">
        <v>12</v>
      </c>
      <c r="F7" s="33" t="s">
        <v>15</v>
      </c>
      <c r="G7" s="57"/>
      <c r="H7" s="54"/>
      <c r="I7" s="67"/>
      <c r="J7" s="57">
        <f t="shared" ref="J7:J10" si="2">G7*H7*0.98-I7</f>
        <v>0</v>
      </c>
      <c r="K7" s="57"/>
      <c r="L7" s="57"/>
      <c r="M7" s="57"/>
    </row>
    <row r="8" spans="1:25">
      <c r="A8" s="64">
        <v>43556</v>
      </c>
      <c r="B8" s="64" t="s">
        <v>359</v>
      </c>
      <c r="C8" s="103"/>
      <c r="D8" s="21" t="s">
        <v>60</v>
      </c>
      <c r="E8" s="21" t="s">
        <v>46</v>
      </c>
      <c r="F8" s="33" t="s">
        <v>47</v>
      </c>
      <c r="G8" s="57"/>
      <c r="H8" s="54"/>
      <c r="I8" s="21"/>
      <c r="J8" s="57">
        <f t="shared" si="2"/>
        <v>0</v>
      </c>
      <c r="K8" s="57"/>
      <c r="L8" s="57">
        <f>K8/0.05*0.25</f>
        <v>0</v>
      </c>
      <c r="M8" s="57">
        <f t="shared" si="1"/>
        <v>0</v>
      </c>
    </row>
    <row r="9" spans="1:25">
      <c r="A9" s="64">
        <v>43556</v>
      </c>
      <c r="B9" s="64" t="s">
        <v>359</v>
      </c>
      <c r="C9" s="103"/>
      <c r="D9" s="21" t="s">
        <v>19</v>
      </c>
      <c r="E9" s="21" t="s">
        <v>20</v>
      </c>
      <c r="F9" s="33" t="s">
        <v>21</v>
      </c>
      <c r="G9" s="57"/>
      <c r="H9" s="54"/>
      <c r="I9" s="67"/>
      <c r="J9" s="57">
        <f t="shared" si="2"/>
        <v>0</v>
      </c>
      <c r="K9" s="57">
        <f>(J9+J10+J11)*0.015*N2</f>
        <v>0</v>
      </c>
      <c r="L9" s="57">
        <f>K9/0.015*0.25</f>
        <v>0</v>
      </c>
      <c r="M9" s="57">
        <f t="shared" si="1"/>
        <v>0</v>
      </c>
    </row>
    <row r="10" spans="1:25">
      <c r="A10" s="64">
        <v>43556</v>
      </c>
      <c r="B10" s="64" t="s">
        <v>359</v>
      </c>
      <c r="C10" s="103"/>
      <c r="D10" s="21" t="s">
        <v>19</v>
      </c>
      <c r="E10" s="21" t="s">
        <v>20</v>
      </c>
      <c r="F10" s="33" t="s">
        <v>22</v>
      </c>
      <c r="G10" s="57"/>
      <c r="H10" s="54"/>
      <c r="I10" s="67"/>
      <c r="J10" s="57">
        <f t="shared" si="2"/>
        <v>0</v>
      </c>
      <c r="K10" s="57"/>
      <c r="L10" s="57"/>
      <c r="M10" s="57"/>
    </row>
    <row r="11" spans="1:25">
      <c r="A11" s="64">
        <v>43556</v>
      </c>
      <c r="B11" s="64" t="s">
        <v>359</v>
      </c>
      <c r="C11" s="103"/>
      <c r="D11" s="21" t="s">
        <v>19</v>
      </c>
      <c r="E11" s="21" t="s">
        <v>20</v>
      </c>
      <c r="F11" s="33" t="s">
        <v>23</v>
      </c>
      <c r="G11" s="57"/>
      <c r="H11" s="54"/>
      <c r="I11" s="67"/>
      <c r="J11" s="57">
        <f t="shared" si="0"/>
        <v>0</v>
      </c>
      <c r="K11" s="57"/>
      <c r="L11" s="57"/>
      <c r="M11" s="57"/>
    </row>
    <row r="12" spans="1:25">
      <c r="A12" s="64">
        <v>43556</v>
      </c>
      <c r="B12" s="64" t="s">
        <v>359</v>
      </c>
      <c r="C12" s="103"/>
      <c r="D12" s="21" t="s">
        <v>30</v>
      </c>
      <c r="E12" s="21" t="s">
        <v>20</v>
      </c>
      <c r="F12" s="33" t="s">
        <v>21</v>
      </c>
      <c r="G12" s="57"/>
      <c r="H12" s="54"/>
      <c r="I12" s="67"/>
      <c r="J12" s="57">
        <f t="shared" si="0"/>
        <v>0</v>
      </c>
      <c r="K12" s="57">
        <f>(J12+J13+J15)*0.05*N2</f>
        <v>0</v>
      </c>
      <c r="L12" s="57">
        <f>K12/0.05*0.25</f>
        <v>0</v>
      </c>
      <c r="M12" s="57">
        <f>L12-K12</f>
        <v>0</v>
      </c>
    </row>
    <row r="13" spans="1:25">
      <c r="A13" s="64">
        <v>43556</v>
      </c>
      <c r="B13" s="64" t="s">
        <v>359</v>
      </c>
      <c r="C13" s="103"/>
      <c r="D13" s="21" t="s">
        <v>30</v>
      </c>
      <c r="E13" s="21" t="s">
        <v>20</v>
      </c>
      <c r="F13" s="33" t="s">
        <v>22</v>
      </c>
      <c r="G13" s="57"/>
      <c r="H13" s="54"/>
      <c r="I13" s="67"/>
      <c r="J13" s="57">
        <f t="shared" si="0"/>
        <v>0</v>
      </c>
      <c r="K13" s="57"/>
      <c r="L13" s="57"/>
      <c r="M13" s="57"/>
    </row>
    <row r="14" spans="1:25">
      <c r="A14" s="64">
        <v>43556</v>
      </c>
      <c r="B14" s="64" t="s">
        <v>359</v>
      </c>
      <c r="C14" s="103"/>
      <c r="D14" s="21" t="s">
        <v>304</v>
      </c>
      <c r="E14" s="21" t="s">
        <v>17</v>
      </c>
      <c r="F14" s="33" t="s">
        <v>74</v>
      </c>
      <c r="G14" s="57"/>
      <c r="H14" s="54"/>
      <c r="I14" s="67"/>
      <c r="J14" s="57">
        <f t="shared" si="0"/>
        <v>0</v>
      </c>
      <c r="K14" s="57"/>
      <c r="L14" s="57"/>
      <c r="M14" s="57"/>
    </row>
    <row r="15" spans="1:25">
      <c r="A15" s="64">
        <v>43556</v>
      </c>
      <c r="B15" s="64" t="s">
        <v>359</v>
      </c>
      <c r="C15" s="103"/>
      <c r="D15" s="21" t="s">
        <v>31</v>
      </c>
      <c r="E15" s="21" t="s">
        <v>20</v>
      </c>
      <c r="F15" s="33" t="s">
        <v>21</v>
      </c>
      <c r="G15" s="57"/>
      <c r="H15" s="54"/>
      <c r="I15" s="67"/>
      <c r="J15" s="57">
        <f t="shared" si="0"/>
        <v>0</v>
      </c>
      <c r="K15" s="57"/>
      <c r="L15" s="57"/>
      <c r="M15" s="57"/>
    </row>
    <row r="16" spans="1:25">
      <c r="A16" s="64">
        <v>43556</v>
      </c>
      <c r="B16" s="64" t="s">
        <v>359</v>
      </c>
      <c r="C16" s="103"/>
      <c r="D16" s="21" t="s">
        <v>32</v>
      </c>
      <c r="E16" s="21" t="s">
        <v>33</v>
      </c>
      <c r="F16" s="33" t="s">
        <v>34</v>
      </c>
      <c r="G16" s="57"/>
      <c r="H16" s="54"/>
      <c r="I16" s="67"/>
      <c r="J16" s="57">
        <f t="shared" si="0"/>
        <v>0</v>
      </c>
      <c r="K16" s="57">
        <f>(J16+J18+J17+J19)*0.2*N2</f>
        <v>0</v>
      </c>
      <c r="L16" s="57"/>
      <c r="M16" s="57"/>
    </row>
    <row r="17" spans="1:14">
      <c r="A17" s="64">
        <v>43556</v>
      </c>
      <c r="B17" s="64" t="s">
        <v>359</v>
      </c>
      <c r="C17" s="103"/>
      <c r="D17" s="21" t="s">
        <v>32</v>
      </c>
      <c r="E17" s="21" t="s">
        <v>33</v>
      </c>
      <c r="F17" s="33" t="s">
        <v>35</v>
      </c>
      <c r="G17" s="57"/>
      <c r="H17" s="54"/>
      <c r="I17" s="67"/>
      <c r="J17" s="57">
        <f t="shared" si="0"/>
        <v>0</v>
      </c>
      <c r="K17" s="57"/>
      <c r="L17" s="57"/>
      <c r="M17" s="57"/>
      <c r="N17" s="59" t="s">
        <v>37</v>
      </c>
    </row>
    <row r="18" spans="1:14">
      <c r="A18" s="64">
        <v>43556</v>
      </c>
      <c r="B18" s="64" t="s">
        <v>359</v>
      </c>
      <c r="C18" s="103"/>
      <c r="D18" s="21" t="s">
        <v>38</v>
      </c>
      <c r="E18" s="21" t="s">
        <v>33</v>
      </c>
      <c r="F18" s="33" t="s">
        <v>34</v>
      </c>
      <c r="G18" s="57"/>
      <c r="H18" s="54"/>
      <c r="I18" s="67"/>
      <c r="J18" s="57">
        <f t="shared" si="0"/>
        <v>0</v>
      </c>
      <c r="K18" s="57"/>
      <c r="L18" s="57"/>
      <c r="M18" s="57"/>
    </row>
    <row r="19" spans="1:14">
      <c r="A19" s="64">
        <v>43556</v>
      </c>
      <c r="B19" s="64" t="s">
        <v>359</v>
      </c>
      <c r="C19" s="103"/>
      <c r="D19" s="21" t="s">
        <v>38</v>
      </c>
      <c r="E19" s="21" t="s">
        <v>33</v>
      </c>
      <c r="F19" s="33" t="s">
        <v>35</v>
      </c>
      <c r="G19" s="57"/>
      <c r="H19" s="54"/>
      <c r="I19" s="67"/>
      <c r="J19" s="57">
        <f t="shared" si="0"/>
        <v>0</v>
      </c>
      <c r="K19" s="57"/>
      <c r="L19" s="57"/>
      <c r="M19" s="57"/>
    </row>
    <row r="20" spans="1:14">
      <c r="A20" s="64">
        <v>43556</v>
      </c>
      <c r="B20" s="64" t="s">
        <v>359</v>
      </c>
      <c r="C20" s="103"/>
      <c r="D20" s="21" t="s">
        <v>39</v>
      </c>
      <c r="E20" s="21" t="s">
        <v>40</v>
      </c>
      <c r="F20" s="33" t="s">
        <v>41</v>
      </c>
      <c r="G20" s="57"/>
      <c r="H20" s="54"/>
      <c r="I20" s="68"/>
      <c r="J20" s="57">
        <f t="shared" si="0"/>
        <v>0</v>
      </c>
      <c r="K20" s="57">
        <f>(J20+J21+J22+J23+J24)*0.05*N2</f>
        <v>0</v>
      </c>
      <c r="L20" s="57">
        <f>K20/0.05*0.25</f>
        <v>0</v>
      </c>
      <c r="M20" s="57">
        <f>L20-K20</f>
        <v>0</v>
      </c>
    </row>
    <row r="21" spans="1:14">
      <c r="A21" s="64">
        <v>43556</v>
      </c>
      <c r="B21" s="64" t="s">
        <v>359</v>
      </c>
      <c r="C21" s="103"/>
      <c r="D21" s="21" t="s">
        <v>39</v>
      </c>
      <c r="E21" s="21" t="s">
        <v>40</v>
      </c>
      <c r="F21" s="33" t="s">
        <v>42</v>
      </c>
      <c r="G21" s="57"/>
      <c r="H21" s="54"/>
      <c r="I21" s="68"/>
      <c r="J21" s="57">
        <f t="shared" si="0"/>
        <v>0</v>
      </c>
      <c r="K21" s="57"/>
      <c r="L21" s="57"/>
      <c r="M21" s="57"/>
    </row>
    <row r="22" spans="1:14">
      <c r="A22" s="64">
        <v>43556</v>
      </c>
      <c r="B22" s="64" t="s">
        <v>359</v>
      </c>
      <c r="C22" s="103"/>
      <c r="D22" s="21" t="s">
        <v>44</v>
      </c>
      <c r="E22" s="21" t="s">
        <v>40</v>
      </c>
      <c r="F22" s="33" t="s">
        <v>41</v>
      </c>
      <c r="G22" s="57"/>
      <c r="H22" s="54"/>
      <c r="I22" s="67"/>
      <c r="J22" s="57">
        <f t="shared" si="0"/>
        <v>0</v>
      </c>
      <c r="K22" s="57"/>
      <c r="L22" s="57"/>
      <c r="M22" s="57"/>
    </row>
    <row r="23" spans="1:14">
      <c r="A23" s="64">
        <v>43556</v>
      </c>
      <c r="B23" s="64" t="s">
        <v>359</v>
      </c>
      <c r="C23" s="103"/>
      <c r="D23" s="21" t="s">
        <v>44</v>
      </c>
      <c r="E23" s="21" t="s">
        <v>40</v>
      </c>
      <c r="F23" s="33" t="s">
        <v>43</v>
      </c>
      <c r="G23" s="57"/>
      <c r="H23" s="54"/>
      <c r="I23" s="67"/>
      <c r="J23" s="57">
        <f t="shared" si="0"/>
        <v>0</v>
      </c>
      <c r="K23" s="57"/>
      <c r="L23" s="57"/>
      <c r="M23" s="57"/>
    </row>
    <row r="24" spans="1:14">
      <c r="A24" s="64">
        <v>43556</v>
      </c>
      <c r="B24" s="64" t="s">
        <v>359</v>
      </c>
      <c r="C24" s="103"/>
      <c r="D24" s="21" t="s">
        <v>73</v>
      </c>
      <c r="E24" s="21" t="s">
        <v>40</v>
      </c>
      <c r="F24" s="33" t="s">
        <v>41</v>
      </c>
      <c r="G24" s="57"/>
      <c r="H24" s="54"/>
      <c r="I24" s="67"/>
      <c r="J24" s="57">
        <f t="shared" si="0"/>
        <v>0</v>
      </c>
      <c r="K24" s="57"/>
      <c r="L24" s="57"/>
      <c r="M24" s="57"/>
    </row>
    <row r="25" spans="1:14">
      <c r="A25" s="64">
        <v>43556</v>
      </c>
      <c r="B25" s="64" t="s">
        <v>359</v>
      </c>
      <c r="C25" s="103"/>
      <c r="D25" s="21" t="s">
        <v>61</v>
      </c>
      <c r="E25" s="21" t="s">
        <v>57</v>
      </c>
      <c r="F25" s="33" t="s">
        <v>58</v>
      </c>
      <c r="G25" s="57"/>
      <c r="H25" s="54"/>
      <c r="I25" s="68"/>
      <c r="J25" s="57">
        <f t="shared" si="0"/>
        <v>0</v>
      </c>
      <c r="K25" s="57">
        <f>(J25+J26+J33)*0.05*N2</f>
        <v>0</v>
      </c>
      <c r="L25" s="57">
        <f>K25/0.05*0.25</f>
        <v>0</v>
      </c>
      <c r="M25" s="57">
        <f>L25-K25</f>
        <v>0</v>
      </c>
    </row>
    <row r="26" spans="1:14">
      <c r="A26" s="64"/>
      <c r="B26" s="64"/>
      <c r="C26" s="103"/>
      <c r="D26" s="21" t="s">
        <v>61</v>
      </c>
      <c r="E26" s="21" t="s">
        <v>57</v>
      </c>
      <c r="F26" s="33" t="s">
        <v>58</v>
      </c>
      <c r="G26" s="57"/>
      <c r="H26" s="54"/>
      <c r="I26" s="68"/>
      <c r="J26" s="57">
        <f t="shared" si="0"/>
        <v>0</v>
      </c>
      <c r="K26" s="57"/>
      <c r="L26" s="57"/>
      <c r="M26" s="57"/>
    </row>
    <row r="27" spans="1:14">
      <c r="A27" s="64">
        <v>43556</v>
      </c>
      <c r="B27" s="64" t="s">
        <v>359</v>
      </c>
      <c r="C27" s="103"/>
      <c r="D27" s="21" t="s">
        <v>62</v>
      </c>
      <c r="E27" s="21" t="s">
        <v>63</v>
      </c>
      <c r="F27" s="33" t="s">
        <v>64</v>
      </c>
      <c r="G27" s="57"/>
      <c r="H27" s="54"/>
      <c r="I27" s="67"/>
      <c r="J27" s="57">
        <f t="shared" si="0"/>
        <v>0</v>
      </c>
      <c r="K27" s="57">
        <f>(J27+J29+J28)*0.05*N2</f>
        <v>0</v>
      </c>
      <c r="L27" s="57">
        <f>K27/0.05*0.25</f>
        <v>0</v>
      </c>
      <c r="M27" s="57">
        <f>L27-K27</f>
        <v>0</v>
      </c>
    </row>
    <row r="28" spans="1:14">
      <c r="A28" s="64">
        <v>43556</v>
      </c>
      <c r="B28" s="64" t="s">
        <v>359</v>
      </c>
      <c r="C28" s="103"/>
      <c r="D28" s="21" t="s">
        <v>62</v>
      </c>
      <c r="E28" s="21" t="s">
        <v>63</v>
      </c>
      <c r="F28" s="33" t="s">
        <v>65</v>
      </c>
      <c r="G28" s="57"/>
      <c r="H28" s="54"/>
      <c r="I28" s="67"/>
      <c r="J28" s="57">
        <f t="shared" si="0"/>
        <v>0</v>
      </c>
      <c r="K28" s="57"/>
      <c r="L28" s="57"/>
      <c r="M28" s="57"/>
    </row>
    <row r="29" spans="1:14">
      <c r="A29" s="64">
        <v>43556</v>
      </c>
      <c r="B29" s="64" t="s">
        <v>359</v>
      </c>
      <c r="C29" s="103"/>
      <c r="D29" s="21" t="s">
        <v>66</v>
      </c>
      <c r="E29" s="21" t="s">
        <v>63</v>
      </c>
      <c r="F29" s="33" t="s">
        <v>64</v>
      </c>
      <c r="G29" s="57"/>
      <c r="H29" s="54"/>
      <c r="I29" s="67"/>
      <c r="J29" s="57">
        <f t="shared" si="0"/>
        <v>0</v>
      </c>
      <c r="K29" s="57"/>
      <c r="L29" s="57"/>
      <c r="M29" s="57"/>
    </row>
    <row r="30" spans="1:14">
      <c r="A30" s="64">
        <v>43556</v>
      </c>
      <c r="B30" s="64" t="s">
        <v>359</v>
      </c>
      <c r="C30" s="103"/>
      <c r="D30" s="21" t="s">
        <v>45</v>
      </c>
      <c r="E30" s="21" t="s">
        <v>46</v>
      </c>
      <c r="F30" s="33" t="s">
        <v>47</v>
      </c>
      <c r="G30" s="57"/>
      <c r="H30" s="54"/>
      <c r="I30" s="67"/>
      <c r="J30" s="57">
        <f t="shared" si="0"/>
        <v>0</v>
      </c>
      <c r="K30" s="57">
        <f>(J30+J31+J32+J8)*0.03*N2</f>
        <v>0</v>
      </c>
      <c r="L30" s="57">
        <f>K30/0.03*0.25</f>
        <v>0</v>
      </c>
      <c r="M30" s="57">
        <f>L30-K30</f>
        <v>0</v>
      </c>
    </row>
    <row r="31" spans="1:14">
      <c r="A31" s="64">
        <v>43556</v>
      </c>
      <c r="B31" s="64" t="s">
        <v>359</v>
      </c>
      <c r="C31" s="103"/>
      <c r="D31" s="21" t="s">
        <v>45</v>
      </c>
      <c r="E31" s="21" t="s">
        <v>46</v>
      </c>
      <c r="F31" s="33" t="s">
        <v>48</v>
      </c>
      <c r="G31" s="57"/>
      <c r="H31" s="54"/>
      <c r="I31" s="67"/>
      <c r="J31" s="57">
        <f t="shared" si="0"/>
        <v>0</v>
      </c>
      <c r="K31" s="57"/>
      <c r="L31" s="57"/>
      <c r="M31" s="57"/>
    </row>
    <row r="32" spans="1:14">
      <c r="A32" s="64">
        <v>43556</v>
      </c>
      <c r="B32" s="64" t="s">
        <v>359</v>
      </c>
      <c r="C32" s="103"/>
      <c r="D32" s="21" t="s">
        <v>45</v>
      </c>
      <c r="E32" s="21" t="s">
        <v>46</v>
      </c>
      <c r="F32" s="33" t="s">
        <v>49</v>
      </c>
      <c r="G32" s="57"/>
      <c r="H32" s="54"/>
      <c r="I32" s="67"/>
      <c r="J32" s="57">
        <f t="shared" ref="J32:J87" si="3">G32*H32*0.98-I32</f>
        <v>0</v>
      </c>
      <c r="K32" s="57"/>
      <c r="L32" s="57"/>
      <c r="M32" s="57"/>
    </row>
    <row r="33" spans="1:13">
      <c r="A33" s="64">
        <v>43556</v>
      </c>
      <c r="B33" s="64" t="s">
        <v>359</v>
      </c>
      <c r="C33" s="103"/>
      <c r="D33" s="21" t="s">
        <v>56</v>
      </c>
      <c r="E33" s="21" t="s">
        <v>57</v>
      </c>
      <c r="F33" s="33" t="s">
        <v>58</v>
      </c>
      <c r="G33" s="57"/>
      <c r="H33" s="54"/>
      <c r="I33" s="67"/>
      <c r="J33" s="57">
        <f t="shared" si="3"/>
        <v>0</v>
      </c>
      <c r="K33" s="57"/>
      <c r="L33" s="57"/>
      <c r="M33" s="57"/>
    </row>
    <row r="34" spans="1:13">
      <c r="A34" s="64">
        <v>43556</v>
      </c>
      <c r="B34" s="64" t="s">
        <v>359</v>
      </c>
      <c r="C34" s="103"/>
      <c r="D34" s="21" t="s">
        <v>51</v>
      </c>
      <c r="E34" s="21" t="s">
        <v>52</v>
      </c>
      <c r="F34" s="33" t="s">
        <v>53</v>
      </c>
      <c r="G34" s="57"/>
      <c r="H34" s="54"/>
      <c r="I34" s="68"/>
      <c r="J34" s="57">
        <f t="shared" si="3"/>
        <v>0</v>
      </c>
      <c r="K34" s="57">
        <f>(J34)*0.05*N2</f>
        <v>0</v>
      </c>
      <c r="L34" s="57">
        <f>K34/0.05*0.25</f>
        <v>0</v>
      </c>
      <c r="M34" s="57">
        <f>L34-K34</f>
        <v>0</v>
      </c>
    </row>
    <row r="35" spans="1:13">
      <c r="A35" s="64">
        <v>43556</v>
      </c>
      <c r="B35" s="64" t="s">
        <v>359</v>
      </c>
      <c r="C35" s="103"/>
      <c r="D35" s="21" t="s">
        <v>70</v>
      </c>
      <c r="E35" s="21" t="s">
        <v>25</v>
      </c>
      <c r="F35" s="33" t="s">
        <v>26</v>
      </c>
      <c r="G35" s="57"/>
      <c r="H35" s="54"/>
      <c r="I35" s="67"/>
      <c r="J35" s="57">
        <f t="shared" si="3"/>
        <v>0</v>
      </c>
      <c r="K35" s="57">
        <f>(J35+J36+J41+J42)*0.03*N2</f>
        <v>0</v>
      </c>
      <c r="L35" s="57">
        <f>K35/0.04*0.25</f>
        <v>0</v>
      </c>
      <c r="M35" s="57">
        <f>L35-K35</f>
        <v>0</v>
      </c>
    </row>
    <row r="36" spans="1:13">
      <c r="A36" s="64">
        <v>43556</v>
      </c>
      <c r="B36" s="64" t="s">
        <v>359</v>
      </c>
      <c r="C36" s="103"/>
      <c r="D36" s="21" t="s">
        <v>70</v>
      </c>
      <c r="E36" s="21" t="s">
        <v>25</v>
      </c>
      <c r="F36" s="33" t="s">
        <v>28</v>
      </c>
      <c r="G36" s="57"/>
      <c r="H36" s="54"/>
      <c r="I36" s="85"/>
      <c r="J36" s="57">
        <f t="shared" si="3"/>
        <v>0</v>
      </c>
      <c r="K36" s="57"/>
      <c r="L36" s="57"/>
      <c r="M36" s="57"/>
    </row>
    <row r="37" spans="1:13">
      <c r="A37" s="64">
        <v>43556</v>
      </c>
      <c r="B37" s="64" t="s">
        <v>359</v>
      </c>
      <c r="C37" s="103"/>
      <c r="D37" s="21" t="s">
        <v>75</v>
      </c>
      <c r="E37" s="21" t="s">
        <v>17</v>
      </c>
      <c r="F37" s="33" t="s">
        <v>18</v>
      </c>
      <c r="G37" s="57"/>
      <c r="H37" s="54"/>
      <c r="I37" s="68"/>
      <c r="J37" s="57">
        <f t="shared" si="3"/>
        <v>0</v>
      </c>
      <c r="K37" s="57">
        <f>(J37+J38+J39+J40)*0.05*N2</f>
        <v>0</v>
      </c>
      <c r="L37" s="57">
        <f>K37/0.05*0.25</f>
        <v>0</v>
      </c>
      <c r="M37" s="57">
        <f>L37-K37</f>
        <v>0</v>
      </c>
    </row>
    <row r="38" spans="1:13">
      <c r="A38" s="64">
        <v>43556</v>
      </c>
      <c r="B38" s="64" t="s">
        <v>359</v>
      </c>
      <c r="C38" s="103"/>
      <c r="D38" s="21" t="s">
        <v>75</v>
      </c>
      <c r="E38" s="21" t="s">
        <v>17</v>
      </c>
      <c r="F38" s="33" t="s">
        <v>76</v>
      </c>
      <c r="G38" s="57"/>
      <c r="H38" s="54"/>
      <c r="I38" s="67"/>
      <c r="J38" s="57">
        <f t="shared" si="3"/>
        <v>0</v>
      </c>
      <c r="K38" s="57"/>
      <c r="L38" s="57"/>
      <c r="M38" s="57"/>
    </row>
    <row r="39" spans="1:13">
      <c r="A39" s="64">
        <v>43556</v>
      </c>
      <c r="B39" s="64" t="s">
        <v>359</v>
      </c>
      <c r="C39" s="103"/>
      <c r="D39" s="21" t="s">
        <v>72</v>
      </c>
      <c r="E39" s="21" t="s">
        <v>17</v>
      </c>
      <c r="F39" s="33" t="s">
        <v>18</v>
      </c>
      <c r="G39" s="57"/>
      <c r="H39" s="54"/>
      <c r="I39" s="67"/>
      <c r="J39" s="57">
        <f t="shared" si="3"/>
        <v>0</v>
      </c>
      <c r="K39" s="57"/>
      <c r="L39" s="57"/>
      <c r="M39" s="57"/>
    </row>
    <row r="40" spans="1:13">
      <c r="A40" s="64">
        <v>43556</v>
      </c>
      <c r="B40" s="64" t="s">
        <v>359</v>
      </c>
      <c r="C40" s="103"/>
      <c r="D40" s="21" t="s">
        <v>29</v>
      </c>
      <c r="E40" s="21" t="s">
        <v>17</v>
      </c>
      <c r="F40" s="33" t="s">
        <v>18</v>
      </c>
      <c r="G40" s="57"/>
      <c r="H40" s="54"/>
      <c r="I40" s="67"/>
      <c r="J40" s="57">
        <f t="shared" si="3"/>
        <v>0</v>
      </c>
      <c r="K40" s="57"/>
      <c r="L40" s="57"/>
      <c r="M40" s="57"/>
    </row>
    <row r="41" spans="1:13">
      <c r="A41" s="64">
        <v>43556</v>
      </c>
      <c r="B41" s="64" t="s">
        <v>359</v>
      </c>
      <c r="C41" s="103"/>
      <c r="D41" s="21" t="s">
        <v>24</v>
      </c>
      <c r="E41" s="21" t="s">
        <v>25</v>
      </c>
      <c r="F41" s="33" t="s">
        <v>26</v>
      </c>
      <c r="G41" s="57"/>
      <c r="H41" s="54"/>
      <c r="I41" s="67"/>
      <c r="J41" s="57">
        <f t="shared" si="3"/>
        <v>0</v>
      </c>
      <c r="K41" s="57"/>
      <c r="L41" s="57"/>
      <c r="M41" s="57"/>
    </row>
    <row r="42" spans="1:13">
      <c r="A42" s="64">
        <v>43556</v>
      </c>
      <c r="B42" s="64" t="s">
        <v>359</v>
      </c>
      <c r="C42" s="103"/>
      <c r="D42" s="21" t="s">
        <v>24</v>
      </c>
      <c r="E42" s="21" t="s">
        <v>25</v>
      </c>
      <c r="F42" s="33" t="s">
        <v>28</v>
      </c>
      <c r="G42" s="57"/>
      <c r="H42" s="54"/>
      <c r="I42" s="67"/>
      <c r="J42" s="57">
        <f t="shared" si="3"/>
        <v>0</v>
      </c>
      <c r="K42" s="57"/>
      <c r="L42" s="57"/>
      <c r="M42" s="57"/>
    </row>
    <row r="43" spans="1:13" ht="15" customHeight="1">
      <c r="A43" s="64">
        <v>43556</v>
      </c>
      <c r="B43" s="64" t="s">
        <v>359</v>
      </c>
      <c r="C43" s="103"/>
      <c r="D43" s="21" t="s">
        <v>67</v>
      </c>
      <c r="E43" s="21" t="s">
        <v>68</v>
      </c>
      <c r="F43" s="33" t="s">
        <v>69</v>
      </c>
      <c r="G43" s="57"/>
      <c r="H43" s="54"/>
      <c r="I43" s="67"/>
      <c r="J43" s="57">
        <f t="shared" si="3"/>
        <v>0</v>
      </c>
      <c r="K43" s="57">
        <f>J43*0.05*N2</f>
        <v>0</v>
      </c>
      <c r="L43" s="57">
        <f>K43/0.05*0.25</f>
        <v>0</v>
      </c>
      <c r="M43" s="57">
        <f>L43-K43</f>
        <v>0</v>
      </c>
    </row>
    <row r="44" spans="1:13" ht="15" customHeight="1">
      <c r="A44" s="64">
        <v>43556</v>
      </c>
      <c r="B44" s="64" t="s">
        <v>359</v>
      </c>
      <c r="C44" s="103"/>
      <c r="D44" s="21" t="s">
        <v>71</v>
      </c>
      <c r="E44" s="21" t="s">
        <v>278</v>
      </c>
      <c r="F44" s="33" t="s">
        <v>302</v>
      </c>
      <c r="G44" s="57"/>
      <c r="H44" s="54"/>
      <c r="I44" s="67"/>
      <c r="J44" s="57">
        <f t="shared" si="3"/>
        <v>0</v>
      </c>
      <c r="K44" s="57">
        <f>J44*0.2*N2</f>
        <v>0</v>
      </c>
      <c r="L44" s="57"/>
      <c r="M44" s="57"/>
    </row>
    <row r="45" spans="1:13" ht="15" customHeight="1">
      <c r="A45" s="64"/>
      <c r="B45" s="64"/>
      <c r="C45" s="103"/>
      <c r="D45" s="75" t="s">
        <v>79</v>
      </c>
      <c r="E45" s="75" t="s">
        <v>80</v>
      </c>
      <c r="F45" s="75" t="s">
        <v>81</v>
      </c>
      <c r="G45" s="76"/>
      <c r="H45" s="77"/>
      <c r="I45" s="67"/>
      <c r="J45" s="57">
        <f t="shared" si="3"/>
        <v>0</v>
      </c>
      <c r="K45" s="57">
        <f>(J45+J46)*0.25*N2</f>
        <v>0</v>
      </c>
      <c r="L45" s="57"/>
      <c r="M45" s="57"/>
    </row>
    <row r="46" spans="1:13" ht="15" customHeight="1">
      <c r="A46" s="64"/>
      <c r="B46" s="64"/>
      <c r="C46" s="104"/>
      <c r="D46" s="75" t="s">
        <v>79</v>
      </c>
      <c r="E46" s="75" t="s">
        <v>80</v>
      </c>
      <c r="F46" s="75" t="s">
        <v>82</v>
      </c>
      <c r="G46" s="76"/>
      <c r="H46" s="77"/>
      <c r="I46" s="67"/>
      <c r="J46" s="57">
        <f t="shared" si="3"/>
        <v>0</v>
      </c>
      <c r="K46" s="57"/>
      <c r="L46" s="57"/>
      <c r="M46" s="57"/>
    </row>
    <row r="47" spans="1:13" ht="15" customHeight="1">
      <c r="A47" s="64">
        <v>43556</v>
      </c>
      <c r="B47" s="64" t="s">
        <v>359</v>
      </c>
      <c r="C47" s="105" t="s">
        <v>83</v>
      </c>
      <c r="D47" s="21" t="s">
        <v>105</v>
      </c>
      <c r="E47" s="21" t="s">
        <v>99</v>
      </c>
      <c r="F47" s="33" t="s">
        <v>100</v>
      </c>
      <c r="G47" s="57"/>
      <c r="H47" s="54"/>
      <c r="I47" s="68"/>
      <c r="J47" s="57">
        <f t="shared" si="3"/>
        <v>0</v>
      </c>
      <c r="K47" s="57">
        <f>(J47+J48)*0.03*N2</f>
        <v>0</v>
      </c>
      <c r="L47" s="57">
        <f>K47/0.03*0.25</f>
        <v>0</v>
      </c>
      <c r="M47" s="57">
        <f>L47-K47</f>
        <v>0</v>
      </c>
    </row>
    <row r="48" spans="1:13" ht="15" customHeight="1">
      <c r="A48" s="64">
        <v>43556</v>
      </c>
      <c r="B48" s="64" t="s">
        <v>359</v>
      </c>
      <c r="C48" s="105"/>
      <c r="D48" s="21" t="s">
        <v>105</v>
      </c>
      <c r="E48" s="21" t="s">
        <v>99</v>
      </c>
      <c r="F48" s="33" t="s">
        <v>101</v>
      </c>
      <c r="G48" s="57"/>
      <c r="H48" s="54"/>
      <c r="I48" s="68"/>
      <c r="J48" s="57">
        <f t="shared" si="3"/>
        <v>0</v>
      </c>
      <c r="K48" s="57"/>
      <c r="L48" s="57"/>
      <c r="M48" s="57"/>
    </row>
    <row r="49" spans="1:13">
      <c r="A49" s="64">
        <v>43556</v>
      </c>
      <c r="B49" s="64" t="s">
        <v>359</v>
      </c>
      <c r="C49" s="105"/>
      <c r="D49" s="21" t="s">
        <v>102</v>
      </c>
      <c r="E49" s="21" t="s">
        <v>93</v>
      </c>
      <c r="F49" s="33" t="s">
        <v>94</v>
      </c>
      <c r="G49" s="57"/>
      <c r="H49" s="54"/>
      <c r="I49" s="68"/>
      <c r="J49" s="57">
        <f t="shared" si="3"/>
        <v>0</v>
      </c>
      <c r="K49" s="57"/>
      <c r="L49" s="57">
        <f>K49/0.03*0.25</f>
        <v>0</v>
      </c>
      <c r="M49" s="57">
        <f>L49-K49</f>
        <v>0</v>
      </c>
    </row>
    <row r="50" spans="1:13">
      <c r="A50" s="64">
        <v>43556</v>
      </c>
      <c r="B50" s="64" t="s">
        <v>359</v>
      </c>
      <c r="C50" s="105"/>
      <c r="D50" s="21" t="s">
        <v>102</v>
      </c>
      <c r="E50" s="21" t="s">
        <v>93</v>
      </c>
      <c r="F50" s="33" t="s">
        <v>97</v>
      </c>
      <c r="G50" s="57"/>
      <c r="H50" s="54"/>
      <c r="I50" s="68"/>
      <c r="J50" s="57">
        <f t="shared" si="3"/>
        <v>0</v>
      </c>
      <c r="K50" s="57"/>
      <c r="L50" s="57"/>
      <c r="M50" s="57"/>
    </row>
    <row r="51" spans="1:13">
      <c r="A51" s="64">
        <v>43556</v>
      </c>
      <c r="B51" s="64" t="s">
        <v>359</v>
      </c>
      <c r="C51" s="105"/>
      <c r="D51" s="21" t="s">
        <v>98</v>
      </c>
      <c r="E51" s="21" t="s">
        <v>249</v>
      </c>
      <c r="F51" s="33" t="s">
        <v>254</v>
      </c>
      <c r="G51" s="57"/>
      <c r="H51" s="54"/>
      <c r="I51" s="68"/>
      <c r="J51" s="57">
        <f t="shared" si="3"/>
        <v>0</v>
      </c>
      <c r="K51" s="57"/>
      <c r="L51" s="57"/>
      <c r="M51" s="57"/>
    </row>
    <row r="52" spans="1:13">
      <c r="A52" s="64">
        <v>43556</v>
      </c>
      <c r="B52" s="64" t="s">
        <v>359</v>
      </c>
      <c r="C52" s="105"/>
      <c r="D52" s="21" t="s">
        <v>95</v>
      </c>
      <c r="E52" s="21" t="s">
        <v>85</v>
      </c>
      <c r="F52" s="33" t="s">
        <v>86</v>
      </c>
      <c r="G52" s="57"/>
      <c r="H52" s="54"/>
      <c r="I52" s="79"/>
      <c r="J52" s="57">
        <f t="shared" si="3"/>
        <v>0</v>
      </c>
      <c r="K52" s="57">
        <f>(J52+J53+J54+J55+J59+J60)*0.03*N2</f>
        <v>0</v>
      </c>
      <c r="L52" s="57">
        <f>K52/0.03*0.25</f>
        <v>0</v>
      </c>
      <c r="M52" s="57">
        <f>L52-K52</f>
        <v>0</v>
      </c>
    </row>
    <row r="53" spans="1:13">
      <c r="A53" s="64">
        <v>43556</v>
      </c>
      <c r="B53" s="64" t="s">
        <v>359</v>
      </c>
      <c r="C53" s="105"/>
      <c r="D53" s="21" t="s">
        <v>95</v>
      </c>
      <c r="E53" s="21" t="s">
        <v>85</v>
      </c>
      <c r="F53" s="33" t="s">
        <v>87</v>
      </c>
      <c r="G53" s="57"/>
      <c r="H53" s="54"/>
      <c r="I53" s="68"/>
      <c r="J53" s="57">
        <f t="shared" si="3"/>
        <v>0</v>
      </c>
      <c r="K53" s="57"/>
      <c r="L53" s="57"/>
      <c r="M53" s="57"/>
    </row>
    <row r="54" spans="1:13">
      <c r="A54" s="64">
        <v>43556</v>
      </c>
      <c r="B54" s="64" t="s">
        <v>359</v>
      </c>
      <c r="C54" s="105"/>
      <c r="D54" s="21" t="s">
        <v>84</v>
      </c>
      <c r="E54" s="21" t="s">
        <v>85</v>
      </c>
      <c r="F54" s="33" t="s">
        <v>86</v>
      </c>
      <c r="G54" s="57"/>
      <c r="H54" s="54"/>
      <c r="I54" s="68"/>
      <c r="J54" s="57">
        <f t="shared" si="3"/>
        <v>0</v>
      </c>
      <c r="K54" s="57"/>
      <c r="L54" s="57"/>
      <c r="M54" s="57"/>
    </row>
    <row r="55" spans="1:13">
      <c r="A55" s="64">
        <v>43556</v>
      </c>
      <c r="B55" s="64" t="s">
        <v>359</v>
      </c>
      <c r="C55" s="105"/>
      <c r="D55" s="21" t="s">
        <v>84</v>
      </c>
      <c r="E55" s="21" t="s">
        <v>85</v>
      </c>
      <c r="F55" s="33" t="s">
        <v>87</v>
      </c>
      <c r="G55" s="57"/>
      <c r="H55" s="54"/>
      <c r="I55" s="68"/>
      <c r="J55" s="57">
        <f t="shared" si="3"/>
        <v>0</v>
      </c>
      <c r="K55" s="57"/>
      <c r="L55" s="57"/>
      <c r="M55" s="57"/>
    </row>
    <row r="56" spans="1:13">
      <c r="A56" s="64">
        <v>43556</v>
      </c>
      <c r="B56" s="64" t="s">
        <v>359</v>
      </c>
      <c r="C56" s="105"/>
      <c r="D56" s="21" t="s">
        <v>84</v>
      </c>
      <c r="E56" s="21" t="s">
        <v>93</v>
      </c>
      <c r="F56" s="33" t="s">
        <v>360</v>
      </c>
      <c r="G56" s="57"/>
      <c r="H56" s="54"/>
      <c r="I56" s="68"/>
      <c r="J56" s="57">
        <f t="shared" si="3"/>
        <v>0</v>
      </c>
      <c r="K56" s="57"/>
      <c r="L56" s="57"/>
      <c r="M56" s="57"/>
    </row>
    <row r="57" spans="1:13">
      <c r="A57" s="64">
        <v>43556</v>
      </c>
      <c r="B57" s="64" t="s">
        <v>359</v>
      </c>
      <c r="C57" s="105"/>
      <c r="D57" s="21" t="s">
        <v>103</v>
      </c>
      <c r="E57" s="21" t="s">
        <v>93</v>
      </c>
      <c r="F57" s="33" t="s">
        <v>94</v>
      </c>
      <c r="G57" s="57"/>
      <c r="H57" s="54"/>
      <c r="I57" s="79"/>
      <c r="J57" s="57">
        <f t="shared" si="3"/>
        <v>0</v>
      </c>
      <c r="K57" s="57">
        <f>(J57+J58+J49+J50+J51)*0.2*N2</f>
        <v>0</v>
      </c>
      <c r="L57" s="57"/>
      <c r="M57" s="57"/>
    </row>
    <row r="58" spans="1:13">
      <c r="A58" s="64">
        <v>43556</v>
      </c>
      <c r="B58" s="64" t="s">
        <v>359</v>
      </c>
      <c r="C58" s="105"/>
      <c r="D58" s="21" t="s">
        <v>103</v>
      </c>
      <c r="E58" s="21" t="s">
        <v>93</v>
      </c>
      <c r="F58" s="33" t="s">
        <v>97</v>
      </c>
      <c r="G58" s="57"/>
      <c r="H58" s="54"/>
      <c r="I58" s="68"/>
      <c r="J58" s="57">
        <f t="shared" si="3"/>
        <v>0</v>
      </c>
      <c r="K58" s="57"/>
      <c r="L58" s="57"/>
      <c r="M58" s="57"/>
    </row>
    <row r="59" spans="1:13">
      <c r="A59" s="64">
        <v>43556</v>
      </c>
      <c r="B59" s="64" t="s">
        <v>359</v>
      </c>
      <c r="C59" s="105"/>
      <c r="D59" s="21" t="s">
        <v>324</v>
      </c>
      <c r="E59" s="21" t="s">
        <v>85</v>
      </c>
      <c r="F59" s="33" t="s">
        <v>86</v>
      </c>
      <c r="G59" s="57"/>
      <c r="H59" s="54"/>
      <c r="I59" s="68"/>
      <c r="J59" s="57">
        <f t="shared" si="3"/>
        <v>0</v>
      </c>
      <c r="K59" s="57"/>
      <c r="L59" s="57"/>
      <c r="M59" s="57"/>
    </row>
    <row r="60" spans="1:13">
      <c r="A60" s="64">
        <v>43556</v>
      </c>
      <c r="B60" s="64" t="s">
        <v>359</v>
      </c>
      <c r="C60" s="105"/>
      <c r="D60" s="21" t="s">
        <v>324</v>
      </c>
      <c r="E60" s="21" t="s">
        <v>85</v>
      </c>
      <c r="F60" s="33" t="s">
        <v>87</v>
      </c>
      <c r="G60" s="57"/>
      <c r="H60" s="54"/>
      <c r="I60" s="68"/>
      <c r="J60" s="57">
        <f t="shared" si="3"/>
        <v>0</v>
      </c>
      <c r="K60" s="57"/>
      <c r="L60" s="57"/>
      <c r="M60" s="57"/>
    </row>
    <row r="61" spans="1:13">
      <c r="A61" s="64">
        <v>43556</v>
      </c>
      <c r="B61" s="64" t="s">
        <v>359</v>
      </c>
      <c r="C61" s="105" t="s">
        <v>106</v>
      </c>
      <c r="D61" s="21" t="s">
        <v>107</v>
      </c>
      <c r="E61" s="21" t="s">
        <v>108</v>
      </c>
      <c r="F61" s="33" t="s">
        <v>109</v>
      </c>
      <c r="G61" s="57"/>
      <c r="H61" s="54"/>
      <c r="I61" s="67"/>
      <c r="J61" s="57">
        <f t="shared" si="3"/>
        <v>0</v>
      </c>
      <c r="K61" s="57">
        <f>(J61+J62+J77+J78+J90+J91+J82+J83)*0.03*N2</f>
        <v>0</v>
      </c>
      <c r="L61" s="57">
        <f>K61/0.03*0.25</f>
        <v>0</v>
      </c>
      <c r="M61" s="57">
        <f>L61-K61</f>
        <v>0</v>
      </c>
    </row>
    <row r="62" spans="1:13">
      <c r="A62" s="64">
        <v>43556</v>
      </c>
      <c r="B62" s="64" t="s">
        <v>359</v>
      </c>
      <c r="C62" s="105"/>
      <c r="D62" s="21" t="s">
        <v>107</v>
      </c>
      <c r="E62" s="21" t="s">
        <v>108</v>
      </c>
      <c r="F62" s="33" t="s">
        <v>110</v>
      </c>
      <c r="G62" s="57"/>
      <c r="H62" s="54"/>
      <c r="I62" s="67"/>
      <c r="J62" s="57">
        <f t="shared" si="3"/>
        <v>0</v>
      </c>
      <c r="K62" s="57"/>
      <c r="L62" s="57"/>
      <c r="M62" s="57"/>
    </row>
    <row r="63" spans="1:13">
      <c r="A63" s="64">
        <v>43556</v>
      </c>
      <c r="B63" s="64" t="s">
        <v>359</v>
      </c>
      <c r="C63" s="105"/>
      <c r="D63" s="21" t="s">
        <v>127</v>
      </c>
      <c r="E63" s="21" t="s">
        <v>117</v>
      </c>
      <c r="F63" s="33" t="s">
        <v>118</v>
      </c>
      <c r="G63" s="57"/>
      <c r="H63" s="54"/>
      <c r="I63" s="67"/>
      <c r="J63" s="57">
        <f t="shared" si="3"/>
        <v>0</v>
      </c>
      <c r="K63" s="57"/>
      <c r="L63" s="57"/>
      <c r="M63" s="57"/>
    </row>
    <row r="64" spans="1:13">
      <c r="A64" s="64">
        <v>43556</v>
      </c>
      <c r="B64" s="64" t="s">
        <v>359</v>
      </c>
      <c r="C64" s="105"/>
      <c r="D64" s="21" t="s">
        <v>127</v>
      </c>
      <c r="E64" s="21" t="s">
        <v>117</v>
      </c>
      <c r="F64" s="33" t="s">
        <v>119</v>
      </c>
      <c r="G64" s="57"/>
      <c r="H64" s="54"/>
      <c r="I64" s="67"/>
      <c r="J64" s="57">
        <f t="shared" si="3"/>
        <v>0</v>
      </c>
      <c r="K64" s="57"/>
      <c r="L64" s="57"/>
      <c r="M64" s="57"/>
    </row>
    <row r="65" spans="1:13">
      <c r="A65" s="64">
        <v>43556</v>
      </c>
      <c r="B65" s="64" t="s">
        <v>359</v>
      </c>
      <c r="C65" s="105"/>
      <c r="D65" s="21" t="s">
        <v>116</v>
      </c>
      <c r="E65" s="21" t="s">
        <v>117</v>
      </c>
      <c r="F65" s="33" t="s">
        <v>118</v>
      </c>
      <c r="G65" s="57"/>
      <c r="H65" s="54"/>
      <c r="I65" s="67"/>
      <c r="J65" s="57">
        <f t="shared" si="3"/>
        <v>0</v>
      </c>
      <c r="K65" s="57">
        <f>(J65+J66+J64+J63)*0.15*N2</f>
        <v>0</v>
      </c>
      <c r="L65" s="57"/>
      <c r="M65" s="57"/>
    </row>
    <row r="66" spans="1:13">
      <c r="A66" s="64">
        <v>43556</v>
      </c>
      <c r="B66" s="64" t="s">
        <v>359</v>
      </c>
      <c r="C66" s="105"/>
      <c r="D66" s="21" t="s">
        <v>116</v>
      </c>
      <c r="E66" s="21" t="s">
        <v>117</v>
      </c>
      <c r="F66" s="33" t="s">
        <v>119</v>
      </c>
      <c r="G66" s="57"/>
      <c r="H66" s="54"/>
      <c r="I66" s="68"/>
      <c r="J66" s="57">
        <f t="shared" si="3"/>
        <v>0</v>
      </c>
      <c r="K66" s="57"/>
      <c r="L66" s="57"/>
      <c r="M66" s="57"/>
    </row>
    <row r="67" spans="1:13">
      <c r="A67" s="64">
        <v>43556</v>
      </c>
      <c r="B67" s="64" t="s">
        <v>359</v>
      </c>
      <c r="C67" s="105"/>
      <c r="D67" s="21" t="s">
        <v>120</v>
      </c>
      <c r="E67" s="21" t="s">
        <v>121</v>
      </c>
      <c r="F67" s="33" t="s">
        <v>122</v>
      </c>
      <c r="G67" s="57"/>
      <c r="H67" s="54"/>
      <c r="I67" s="68"/>
      <c r="J67" s="57">
        <f t="shared" si="3"/>
        <v>0</v>
      </c>
      <c r="K67" s="57">
        <f>(J67+J69+J70+J71+J68+J72)*0.05*N2</f>
        <v>0</v>
      </c>
      <c r="L67" s="57">
        <f>K67/0.05*0.25</f>
        <v>0</v>
      </c>
      <c r="M67" s="57">
        <f>L67-K67</f>
        <v>0</v>
      </c>
    </row>
    <row r="68" spans="1:13">
      <c r="A68" s="64">
        <v>43556</v>
      </c>
      <c r="B68" s="64" t="s">
        <v>359</v>
      </c>
      <c r="C68" s="105"/>
      <c r="D68" s="21" t="s">
        <v>120</v>
      </c>
      <c r="E68" s="21" t="s">
        <v>121</v>
      </c>
      <c r="F68" s="33" t="s">
        <v>124</v>
      </c>
      <c r="G68" s="57"/>
      <c r="H68" s="54"/>
      <c r="I68" s="67"/>
      <c r="J68" s="57">
        <f t="shared" si="3"/>
        <v>0</v>
      </c>
      <c r="K68" s="57"/>
      <c r="L68" s="57"/>
      <c r="M68" s="57"/>
    </row>
    <row r="69" spans="1:13">
      <c r="A69" s="64">
        <v>43556</v>
      </c>
      <c r="B69" s="64" t="s">
        <v>359</v>
      </c>
      <c r="C69" s="105"/>
      <c r="D69" s="21" t="s">
        <v>123</v>
      </c>
      <c r="E69" s="21" t="s">
        <v>121</v>
      </c>
      <c r="F69" s="33" t="s">
        <v>122</v>
      </c>
      <c r="G69" s="57"/>
      <c r="H69" s="54"/>
      <c r="I69" s="67"/>
      <c r="J69" s="57">
        <f t="shared" si="3"/>
        <v>0</v>
      </c>
      <c r="K69" s="57"/>
      <c r="L69" s="57"/>
      <c r="M69" s="57"/>
    </row>
    <row r="70" spans="1:13">
      <c r="A70" s="64">
        <v>43556</v>
      </c>
      <c r="B70" s="64" t="s">
        <v>359</v>
      </c>
      <c r="C70" s="105"/>
      <c r="D70" s="21" t="s">
        <v>123</v>
      </c>
      <c r="E70" s="21" t="s">
        <v>121</v>
      </c>
      <c r="F70" s="33" t="s">
        <v>124</v>
      </c>
      <c r="G70" s="57"/>
      <c r="H70" s="54"/>
      <c r="I70" s="67"/>
      <c r="J70" s="57">
        <f t="shared" si="3"/>
        <v>0</v>
      </c>
      <c r="K70" s="57"/>
      <c r="L70" s="57"/>
      <c r="M70" s="57"/>
    </row>
    <row r="71" spans="1:13">
      <c r="A71" s="64">
        <v>43556</v>
      </c>
      <c r="B71" s="64" t="s">
        <v>359</v>
      </c>
      <c r="C71" s="105"/>
      <c r="D71" s="21" t="s">
        <v>125</v>
      </c>
      <c r="E71" s="21" t="s">
        <v>121</v>
      </c>
      <c r="F71" s="33" t="s">
        <v>122</v>
      </c>
      <c r="G71" s="57"/>
      <c r="H71" s="54"/>
      <c r="I71" s="67"/>
      <c r="J71" s="57">
        <f t="shared" si="3"/>
        <v>0</v>
      </c>
      <c r="K71" s="57"/>
      <c r="L71" s="57"/>
      <c r="M71" s="57"/>
    </row>
    <row r="72" spans="1:13">
      <c r="A72" s="64">
        <v>43556</v>
      </c>
      <c r="B72" s="64" t="s">
        <v>359</v>
      </c>
      <c r="C72" s="105"/>
      <c r="D72" s="21" t="s">
        <v>125</v>
      </c>
      <c r="E72" s="21" t="s">
        <v>121</v>
      </c>
      <c r="F72" s="33" t="s">
        <v>122</v>
      </c>
      <c r="G72" s="57"/>
      <c r="H72" s="54"/>
      <c r="I72" s="67"/>
      <c r="J72" s="57">
        <f t="shared" si="3"/>
        <v>0</v>
      </c>
      <c r="K72" s="57"/>
      <c r="L72" s="57"/>
      <c r="M72" s="57"/>
    </row>
    <row r="73" spans="1:13">
      <c r="A73" s="64">
        <v>43556</v>
      </c>
      <c r="B73" s="64" t="s">
        <v>359</v>
      </c>
      <c r="C73" s="105"/>
      <c r="D73" s="21" t="s">
        <v>126</v>
      </c>
      <c r="E73" s="21" t="s">
        <v>113</v>
      </c>
      <c r="F73" s="33" t="s">
        <v>114</v>
      </c>
      <c r="G73" s="57"/>
      <c r="H73" s="54"/>
      <c r="I73" s="67"/>
      <c r="J73" s="57">
        <f t="shared" si="3"/>
        <v>0</v>
      </c>
      <c r="K73" s="57"/>
      <c r="L73" s="57">
        <f>K73/0.03*0.25</f>
        <v>0</v>
      </c>
      <c r="M73" s="57">
        <f>L73-K73</f>
        <v>0</v>
      </c>
    </row>
    <row r="74" spans="1:13">
      <c r="A74" s="64">
        <v>43556</v>
      </c>
      <c r="B74" s="64" t="s">
        <v>359</v>
      </c>
      <c r="C74" s="105"/>
      <c r="D74" s="21" t="s">
        <v>126</v>
      </c>
      <c r="E74" s="21" t="s">
        <v>113</v>
      </c>
      <c r="F74" s="33" t="s">
        <v>115</v>
      </c>
      <c r="G74" s="57"/>
      <c r="H74" s="54"/>
      <c r="I74" s="68"/>
      <c r="J74" s="57">
        <f t="shared" si="3"/>
        <v>0</v>
      </c>
      <c r="K74" s="57"/>
      <c r="L74" s="57"/>
      <c r="M74" s="57"/>
    </row>
    <row r="75" spans="1:13">
      <c r="A75" s="64">
        <v>43556</v>
      </c>
      <c r="B75" s="64" t="s">
        <v>359</v>
      </c>
      <c r="C75" s="105"/>
      <c r="D75" s="21" t="s">
        <v>112</v>
      </c>
      <c r="E75" s="21" t="s">
        <v>113</v>
      </c>
      <c r="F75" s="33" t="s">
        <v>114</v>
      </c>
      <c r="G75" s="57"/>
      <c r="H75" s="54"/>
      <c r="I75" s="67"/>
      <c r="J75" s="57">
        <f t="shared" si="3"/>
        <v>0</v>
      </c>
      <c r="K75" s="57"/>
      <c r="L75" s="57"/>
      <c r="M75" s="57"/>
    </row>
    <row r="76" spans="1:13">
      <c r="A76" s="64">
        <v>43556</v>
      </c>
      <c r="B76" s="64" t="s">
        <v>359</v>
      </c>
      <c r="C76" s="105"/>
      <c r="D76" s="21" t="s">
        <v>112</v>
      </c>
      <c r="E76" s="21" t="s">
        <v>113</v>
      </c>
      <c r="F76" s="33" t="s">
        <v>115</v>
      </c>
      <c r="G76" s="57"/>
      <c r="H76" s="54"/>
      <c r="I76" s="67"/>
      <c r="J76" s="57">
        <f t="shared" si="3"/>
        <v>0</v>
      </c>
      <c r="K76" s="57"/>
      <c r="L76" s="57"/>
      <c r="M76" s="57"/>
    </row>
    <row r="77" spans="1:13">
      <c r="A77" s="64">
        <v>43556</v>
      </c>
      <c r="B77" s="64" t="s">
        <v>359</v>
      </c>
      <c r="C77" s="105"/>
      <c r="D77" s="21" t="s">
        <v>111</v>
      </c>
      <c r="E77" s="21" t="s">
        <v>108</v>
      </c>
      <c r="F77" s="33" t="s">
        <v>109</v>
      </c>
      <c r="G77" s="57"/>
      <c r="H77" s="54"/>
      <c r="I77" s="67"/>
      <c r="J77" s="57">
        <f t="shared" si="3"/>
        <v>0</v>
      </c>
      <c r="K77" s="57"/>
      <c r="L77" s="57"/>
      <c r="M77" s="57"/>
    </row>
    <row r="78" spans="1:13">
      <c r="A78" s="64">
        <v>43556</v>
      </c>
      <c r="B78" s="64" t="s">
        <v>359</v>
      </c>
      <c r="C78" s="105"/>
      <c r="D78" s="21" t="s">
        <v>111</v>
      </c>
      <c r="E78" s="21" t="s">
        <v>108</v>
      </c>
      <c r="F78" s="33" t="s">
        <v>110</v>
      </c>
      <c r="G78" s="57"/>
      <c r="H78" s="54"/>
      <c r="I78" s="67"/>
      <c r="J78" s="57">
        <f t="shared" si="3"/>
        <v>0</v>
      </c>
      <c r="K78" s="57"/>
      <c r="L78" s="57"/>
      <c r="M78" s="57"/>
    </row>
    <row r="79" spans="1:13">
      <c r="A79" s="64">
        <v>43556</v>
      </c>
      <c r="B79" s="64" t="s">
        <v>359</v>
      </c>
      <c r="C79" s="105"/>
      <c r="D79" s="21" t="s">
        <v>128</v>
      </c>
      <c r="E79" s="21" t="s">
        <v>129</v>
      </c>
      <c r="F79" s="33" t="s">
        <v>130</v>
      </c>
      <c r="G79" s="57"/>
      <c r="H79" s="54"/>
      <c r="I79" s="67"/>
      <c r="J79" s="57">
        <f t="shared" si="3"/>
        <v>0</v>
      </c>
      <c r="K79" s="57">
        <f>(J79+J80+J81+J85+J84)*0.05*N2</f>
        <v>0</v>
      </c>
      <c r="L79" s="57">
        <f>K79/0.05*0.25</f>
        <v>0</v>
      </c>
      <c r="M79" s="57">
        <f>L79-K79</f>
        <v>0</v>
      </c>
    </row>
    <row r="80" spans="1:13">
      <c r="A80" s="64">
        <v>43556</v>
      </c>
      <c r="B80" s="64" t="s">
        <v>359</v>
      </c>
      <c r="C80" s="105"/>
      <c r="D80" s="21" t="s">
        <v>128</v>
      </c>
      <c r="E80" s="21" t="s">
        <v>129</v>
      </c>
      <c r="F80" s="33" t="s">
        <v>131</v>
      </c>
      <c r="G80" s="57"/>
      <c r="H80" s="54"/>
      <c r="I80" s="67"/>
      <c r="J80" s="57">
        <f t="shared" si="3"/>
        <v>0</v>
      </c>
      <c r="K80" s="57"/>
      <c r="L80" s="57"/>
      <c r="M80" s="57"/>
    </row>
    <row r="81" spans="1:13">
      <c r="A81" s="64">
        <v>43556</v>
      </c>
      <c r="B81" s="64" t="s">
        <v>359</v>
      </c>
      <c r="C81" s="105"/>
      <c r="D81" s="21" t="s">
        <v>128</v>
      </c>
      <c r="E81" s="21" t="s">
        <v>129</v>
      </c>
      <c r="F81" s="33" t="s">
        <v>132</v>
      </c>
      <c r="G81" s="57"/>
      <c r="H81" s="54"/>
      <c r="I81" s="67"/>
      <c r="J81" s="57">
        <f t="shared" si="3"/>
        <v>0</v>
      </c>
      <c r="K81" s="57"/>
      <c r="L81" s="57"/>
      <c r="M81" s="57"/>
    </row>
    <row r="82" spans="1:13">
      <c r="A82" s="64">
        <v>43556</v>
      </c>
      <c r="B82" s="64" t="s">
        <v>359</v>
      </c>
      <c r="C82" s="105"/>
      <c r="D82" s="21" t="s">
        <v>285</v>
      </c>
      <c r="E82" s="21" t="s">
        <v>108</v>
      </c>
      <c r="F82" s="33" t="s">
        <v>109</v>
      </c>
      <c r="G82" s="57"/>
      <c r="H82" s="54"/>
      <c r="I82" s="67"/>
      <c r="J82" s="57">
        <f t="shared" si="3"/>
        <v>0</v>
      </c>
      <c r="K82" s="57"/>
      <c r="L82" s="57"/>
      <c r="M82" s="57"/>
    </row>
    <row r="83" spans="1:13">
      <c r="A83" s="64">
        <v>43556</v>
      </c>
      <c r="B83" s="64" t="s">
        <v>359</v>
      </c>
      <c r="C83" s="105"/>
      <c r="D83" s="21" t="s">
        <v>285</v>
      </c>
      <c r="E83" s="21" t="s">
        <v>108</v>
      </c>
      <c r="F83" s="33" t="s">
        <v>110</v>
      </c>
      <c r="G83" s="57"/>
      <c r="H83" s="54"/>
      <c r="I83" s="67"/>
      <c r="J83" s="57">
        <f t="shared" si="3"/>
        <v>0</v>
      </c>
      <c r="K83" s="57"/>
      <c r="L83" s="57"/>
      <c r="M83" s="57"/>
    </row>
    <row r="84" spans="1:13">
      <c r="A84" s="64">
        <v>43556</v>
      </c>
      <c r="B84" s="64" t="s">
        <v>359</v>
      </c>
      <c r="C84" s="105"/>
      <c r="D84" s="21" t="s">
        <v>133</v>
      </c>
      <c r="E84" s="21" t="s">
        <v>129</v>
      </c>
      <c r="F84" s="33" t="s">
        <v>130</v>
      </c>
      <c r="G84" s="57"/>
      <c r="H84" s="54"/>
      <c r="I84" s="67"/>
      <c r="J84" s="57">
        <f t="shared" si="3"/>
        <v>0</v>
      </c>
      <c r="K84" s="57"/>
      <c r="L84" s="57"/>
      <c r="M84" s="57"/>
    </row>
    <row r="85" spans="1:13">
      <c r="A85" s="64">
        <v>43556</v>
      </c>
      <c r="B85" s="64" t="s">
        <v>359</v>
      </c>
      <c r="C85" s="105"/>
      <c r="D85" s="21" t="s">
        <v>133</v>
      </c>
      <c r="E85" s="21" t="s">
        <v>129</v>
      </c>
      <c r="F85" s="33" t="s">
        <v>131</v>
      </c>
      <c r="G85" s="57"/>
      <c r="H85" s="54"/>
      <c r="I85" s="67"/>
      <c r="J85" s="57">
        <f t="shared" si="3"/>
        <v>0</v>
      </c>
      <c r="K85" s="57"/>
      <c r="L85" s="57"/>
      <c r="M85" s="57"/>
    </row>
    <row r="86" spans="1:13">
      <c r="A86" s="64">
        <v>43556</v>
      </c>
      <c r="B86" s="64" t="s">
        <v>359</v>
      </c>
      <c r="C86" s="105"/>
      <c r="D86" s="21" t="s">
        <v>134</v>
      </c>
      <c r="E86" s="21" t="s">
        <v>113</v>
      </c>
      <c r="F86" s="33" t="s">
        <v>135</v>
      </c>
      <c r="G86" s="57"/>
      <c r="H86" s="54"/>
      <c r="I86" s="67"/>
      <c r="J86" s="57">
        <f t="shared" si="3"/>
        <v>0</v>
      </c>
      <c r="K86" s="57"/>
      <c r="L86" s="57"/>
      <c r="M86" s="57"/>
    </row>
    <row r="87" spans="1:13">
      <c r="A87" s="64">
        <v>43556</v>
      </c>
      <c r="B87" s="64" t="s">
        <v>359</v>
      </c>
      <c r="C87" s="105"/>
      <c r="D87" s="21" t="s">
        <v>134</v>
      </c>
      <c r="E87" s="21" t="s">
        <v>113</v>
      </c>
      <c r="F87" s="33" t="s">
        <v>136</v>
      </c>
      <c r="G87" s="57"/>
      <c r="H87" s="54"/>
      <c r="I87" s="67"/>
      <c r="J87" s="57">
        <f t="shared" si="3"/>
        <v>0</v>
      </c>
      <c r="K87" s="57"/>
      <c r="L87" s="57"/>
      <c r="M87" s="57"/>
    </row>
    <row r="88" spans="1:13">
      <c r="A88" s="64">
        <v>43556</v>
      </c>
      <c r="B88" s="64" t="s">
        <v>359</v>
      </c>
      <c r="C88" s="105"/>
      <c r="D88" s="21" t="s">
        <v>137</v>
      </c>
      <c r="E88" s="21" t="s">
        <v>113</v>
      </c>
      <c r="F88" s="33" t="s">
        <v>114</v>
      </c>
      <c r="G88" s="57"/>
      <c r="H88" s="54"/>
      <c r="I88" s="67"/>
      <c r="J88" s="57">
        <f t="shared" ref="J88:J143" si="4">G88*H88*0.98-I88</f>
        <v>0</v>
      </c>
      <c r="K88" s="57"/>
      <c r="L88" s="57">
        <f>K88/0.03*0.25</f>
        <v>0</v>
      </c>
      <c r="M88" s="57">
        <f>L88-K88</f>
        <v>0</v>
      </c>
    </row>
    <row r="89" spans="1:13">
      <c r="A89" s="64">
        <v>43556</v>
      </c>
      <c r="B89" s="64" t="s">
        <v>359</v>
      </c>
      <c r="C89" s="105"/>
      <c r="D89" s="21" t="s">
        <v>137</v>
      </c>
      <c r="E89" s="21" t="s">
        <v>113</v>
      </c>
      <c r="F89" s="33" t="s">
        <v>115</v>
      </c>
      <c r="G89" s="57"/>
      <c r="H89" s="54"/>
      <c r="I89" s="67"/>
      <c r="J89" s="57">
        <f t="shared" si="4"/>
        <v>0</v>
      </c>
      <c r="K89" s="57"/>
      <c r="L89" s="57"/>
      <c r="M89" s="57"/>
    </row>
    <row r="90" spans="1:13">
      <c r="A90" s="64">
        <v>43556</v>
      </c>
      <c r="B90" s="64" t="s">
        <v>359</v>
      </c>
      <c r="C90" s="105"/>
      <c r="D90" s="21" t="s">
        <v>138</v>
      </c>
      <c r="E90" s="21" t="s">
        <v>108</v>
      </c>
      <c r="F90" s="33" t="s">
        <v>109</v>
      </c>
      <c r="G90" s="57"/>
      <c r="H90" s="54"/>
      <c r="I90" s="67"/>
      <c r="J90" s="57">
        <f t="shared" si="4"/>
        <v>0</v>
      </c>
      <c r="K90" s="57"/>
      <c r="L90" s="57"/>
      <c r="M90" s="57"/>
    </row>
    <row r="91" spans="1:13">
      <c r="A91" s="64">
        <v>43556</v>
      </c>
      <c r="B91" s="64" t="s">
        <v>359</v>
      </c>
      <c r="C91" s="105"/>
      <c r="D91" s="21" t="s">
        <v>138</v>
      </c>
      <c r="E91" s="21" t="s">
        <v>108</v>
      </c>
      <c r="F91" s="33" t="s">
        <v>110</v>
      </c>
      <c r="G91" s="57"/>
      <c r="H91" s="54"/>
      <c r="I91" s="67"/>
      <c r="J91" s="57">
        <f t="shared" si="4"/>
        <v>0</v>
      </c>
      <c r="K91" s="57"/>
      <c r="L91" s="57"/>
      <c r="M91" s="57"/>
    </row>
    <row r="92" spans="1:13">
      <c r="A92" s="64">
        <v>43556</v>
      </c>
      <c r="B92" s="64" t="s">
        <v>359</v>
      </c>
      <c r="C92" s="102" t="s">
        <v>139</v>
      </c>
      <c r="D92" s="75" t="s">
        <v>148</v>
      </c>
      <c r="E92" s="75" t="s">
        <v>149</v>
      </c>
      <c r="F92" s="75" t="s">
        <v>150</v>
      </c>
      <c r="G92" s="76"/>
      <c r="H92" s="77"/>
      <c r="I92" s="67"/>
      <c r="J92" s="57">
        <f t="shared" si="4"/>
        <v>0</v>
      </c>
      <c r="K92" s="57">
        <f>(J92+J93+J110+J111+J112+J101+J102)*0.25*N2</f>
        <v>0</v>
      </c>
      <c r="L92" s="57"/>
      <c r="M92" s="57"/>
    </row>
    <row r="93" spans="1:13">
      <c r="A93" s="64"/>
      <c r="B93" s="64"/>
      <c r="C93" s="103"/>
      <c r="D93" s="75" t="s">
        <v>148</v>
      </c>
      <c r="E93" s="75" t="s">
        <v>149</v>
      </c>
      <c r="F93" s="75" t="s">
        <v>151</v>
      </c>
      <c r="G93" s="76"/>
      <c r="H93" s="77"/>
      <c r="I93" s="68"/>
      <c r="J93" s="57">
        <f t="shared" si="4"/>
        <v>0</v>
      </c>
      <c r="K93" s="57"/>
      <c r="L93" s="57"/>
      <c r="M93" s="57"/>
    </row>
    <row r="94" spans="1:13">
      <c r="A94" s="64">
        <v>43556</v>
      </c>
      <c r="B94" s="64" t="s">
        <v>359</v>
      </c>
      <c r="C94" s="103"/>
      <c r="D94" s="21" t="s">
        <v>175</v>
      </c>
      <c r="E94" s="21" t="s">
        <v>176</v>
      </c>
      <c r="F94" s="33" t="s">
        <v>177</v>
      </c>
      <c r="G94" s="57"/>
      <c r="H94" s="54"/>
      <c r="I94" s="68"/>
      <c r="J94" s="57">
        <f t="shared" si="4"/>
        <v>0</v>
      </c>
      <c r="K94" s="57"/>
      <c r="L94" s="57">
        <f>K94/0.05*0.25</f>
        <v>0</v>
      </c>
      <c r="M94" s="57">
        <f t="shared" ref="M94:M98" si="5">L94-K94</f>
        <v>0</v>
      </c>
    </row>
    <row r="95" spans="1:13">
      <c r="A95" s="64">
        <v>43556</v>
      </c>
      <c r="B95" s="64" t="s">
        <v>359</v>
      </c>
      <c r="C95" s="103"/>
      <c r="D95" s="21" t="s">
        <v>175</v>
      </c>
      <c r="E95" s="21" t="s">
        <v>176</v>
      </c>
      <c r="F95" s="33" t="s">
        <v>178</v>
      </c>
      <c r="G95" s="57"/>
      <c r="H95" s="54"/>
      <c r="I95" s="68"/>
      <c r="J95" s="57">
        <f t="shared" si="4"/>
        <v>0</v>
      </c>
      <c r="K95" s="57"/>
      <c r="L95" s="57"/>
      <c r="M95" s="57"/>
    </row>
    <row r="96" spans="1:13">
      <c r="A96" s="64">
        <v>43556</v>
      </c>
      <c r="B96" s="64" t="s">
        <v>359</v>
      </c>
      <c r="C96" s="103"/>
      <c r="D96" s="21" t="s">
        <v>175</v>
      </c>
      <c r="E96" s="21" t="s">
        <v>176</v>
      </c>
      <c r="F96" s="33" t="s">
        <v>179</v>
      </c>
      <c r="G96" s="57"/>
      <c r="H96" s="54"/>
      <c r="I96" s="67"/>
      <c r="J96" s="57">
        <f t="shared" si="4"/>
        <v>0</v>
      </c>
      <c r="K96" s="57"/>
      <c r="L96" s="57"/>
      <c r="M96" s="57"/>
    </row>
    <row r="97" spans="1:13">
      <c r="A97" s="64">
        <v>43556</v>
      </c>
      <c r="B97" s="64" t="s">
        <v>359</v>
      </c>
      <c r="C97" s="103"/>
      <c r="D97" s="21" t="s">
        <v>180</v>
      </c>
      <c r="E97" s="21" t="s">
        <v>176</v>
      </c>
      <c r="F97" s="33" t="s">
        <v>178</v>
      </c>
      <c r="G97" s="57"/>
      <c r="H97" s="54"/>
      <c r="I97" s="68"/>
      <c r="J97" s="57">
        <f t="shared" si="4"/>
        <v>0</v>
      </c>
      <c r="K97" s="57">
        <f>(J97+J96+J95+J94)*0.03*N2</f>
        <v>0</v>
      </c>
      <c r="L97" s="57">
        <f>K97/0.03*0.25</f>
        <v>0</v>
      </c>
      <c r="M97" s="57">
        <f t="shared" si="5"/>
        <v>0</v>
      </c>
    </row>
    <row r="98" spans="1:13">
      <c r="A98" s="64">
        <v>43556</v>
      </c>
      <c r="B98" s="64" t="s">
        <v>359</v>
      </c>
      <c r="C98" s="103"/>
      <c r="D98" s="21" t="s">
        <v>88</v>
      </c>
      <c r="E98" s="21" t="s">
        <v>181</v>
      </c>
      <c r="F98" s="33" t="s">
        <v>182</v>
      </c>
      <c r="G98" s="57"/>
      <c r="H98" s="54"/>
      <c r="I98" s="68"/>
      <c r="J98" s="57">
        <f t="shared" si="4"/>
        <v>0</v>
      </c>
      <c r="K98" s="57">
        <f>(J98+J99+J100)*0.05*N2</f>
        <v>0</v>
      </c>
      <c r="L98" s="57">
        <f>K98/0.05*0.25</f>
        <v>0</v>
      </c>
      <c r="M98" s="57">
        <f t="shared" si="5"/>
        <v>0</v>
      </c>
    </row>
    <row r="99" spans="1:13">
      <c r="A99" s="64">
        <v>43556</v>
      </c>
      <c r="B99" s="64" t="s">
        <v>359</v>
      </c>
      <c r="C99" s="103"/>
      <c r="D99" s="21" t="s">
        <v>88</v>
      </c>
      <c r="E99" s="21" t="s">
        <v>181</v>
      </c>
      <c r="F99" s="33" t="s">
        <v>183</v>
      </c>
      <c r="G99" s="57"/>
      <c r="H99" s="54"/>
      <c r="I99" s="68"/>
      <c r="J99" s="57">
        <f t="shared" si="4"/>
        <v>0</v>
      </c>
      <c r="K99" s="57"/>
      <c r="L99" s="57"/>
      <c r="M99" s="57"/>
    </row>
    <row r="100" spans="1:13">
      <c r="A100" s="64">
        <v>43556</v>
      </c>
      <c r="B100" s="64" t="s">
        <v>359</v>
      </c>
      <c r="C100" s="103"/>
      <c r="D100" s="21" t="s">
        <v>88</v>
      </c>
      <c r="E100" s="21" t="s">
        <v>181</v>
      </c>
      <c r="F100" s="33" t="s">
        <v>184</v>
      </c>
      <c r="G100" s="57"/>
      <c r="H100" s="54"/>
      <c r="I100" s="68"/>
      <c r="J100" s="57">
        <f t="shared" si="4"/>
        <v>0</v>
      </c>
      <c r="K100" s="57"/>
      <c r="L100" s="57"/>
      <c r="M100" s="57"/>
    </row>
    <row r="101" spans="1:13">
      <c r="A101" s="64">
        <v>43556</v>
      </c>
      <c r="B101" s="64" t="s">
        <v>359</v>
      </c>
      <c r="C101" s="103"/>
      <c r="D101" s="75" t="s">
        <v>158</v>
      </c>
      <c r="E101" s="75" t="s">
        <v>149</v>
      </c>
      <c r="F101" s="75" t="s">
        <v>150</v>
      </c>
      <c r="G101" s="76"/>
      <c r="H101" s="77"/>
      <c r="I101" s="68"/>
      <c r="J101" s="57">
        <f t="shared" si="4"/>
        <v>0</v>
      </c>
      <c r="K101" s="57"/>
      <c r="L101" s="57"/>
      <c r="M101" s="57"/>
    </row>
    <row r="102" spans="1:13">
      <c r="A102" s="64">
        <v>43556</v>
      </c>
      <c r="B102" s="64" t="s">
        <v>359</v>
      </c>
      <c r="C102" s="103"/>
      <c r="D102" s="75" t="s">
        <v>158</v>
      </c>
      <c r="E102" s="75" t="s">
        <v>149</v>
      </c>
      <c r="F102" s="75" t="s">
        <v>151</v>
      </c>
      <c r="G102" s="76"/>
      <c r="H102" s="77"/>
      <c r="I102" s="68"/>
      <c r="J102" s="57">
        <f t="shared" si="4"/>
        <v>0</v>
      </c>
      <c r="K102" s="57"/>
      <c r="L102" s="57"/>
      <c r="M102" s="57"/>
    </row>
    <row r="103" spans="1:13">
      <c r="A103" s="64"/>
      <c r="B103" s="64"/>
      <c r="C103" s="103"/>
      <c r="D103" s="21" t="s">
        <v>158</v>
      </c>
      <c r="E103" s="21" t="s">
        <v>144</v>
      </c>
      <c r="F103" s="33" t="s">
        <v>167</v>
      </c>
      <c r="G103" s="57"/>
      <c r="H103" s="54"/>
      <c r="I103" s="68"/>
      <c r="J103" s="57">
        <f t="shared" si="4"/>
        <v>0</v>
      </c>
      <c r="K103" s="57"/>
      <c r="L103" s="57"/>
      <c r="M103" s="57"/>
    </row>
    <row r="104" spans="1:13">
      <c r="A104" s="64"/>
      <c r="B104" s="64"/>
      <c r="C104" s="103"/>
      <c r="D104" s="21" t="s">
        <v>160</v>
      </c>
      <c r="E104" s="21" t="s">
        <v>161</v>
      </c>
      <c r="F104" s="33" t="s">
        <v>290</v>
      </c>
      <c r="G104" s="57"/>
      <c r="H104" s="54"/>
      <c r="I104" s="68"/>
      <c r="J104" s="57">
        <f t="shared" si="4"/>
        <v>0</v>
      </c>
      <c r="K104" s="57"/>
      <c r="L104" s="57"/>
      <c r="M104" s="57"/>
    </row>
    <row r="105" spans="1:13">
      <c r="A105" s="64">
        <v>43556</v>
      </c>
      <c r="B105" s="64" t="s">
        <v>359</v>
      </c>
      <c r="C105" s="103"/>
      <c r="D105" s="21" t="s">
        <v>160</v>
      </c>
      <c r="E105" s="21" t="s">
        <v>161</v>
      </c>
      <c r="F105" s="33" t="s">
        <v>162</v>
      </c>
      <c r="G105" s="57"/>
      <c r="H105" s="54"/>
      <c r="I105" s="68"/>
      <c r="J105" s="57">
        <f t="shared" si="4"/>
        <v>0</v>
      </c>
      <c r="K105" s="57">
        <f>(J105+J106+J104)*0.04*N2</f>
        <v>0</v>
      </c>
      <c r="L105" s="57">
        <f>K105/0.04*0.25</f>
        <v>0</v>
      </c>
      <c r="M105" s="57">
        <f>L105-K105</f>
        <v>0</v>
      </c>
    </row>
    <row r="106" spans="1:13">
      <c r="A106" s="64"/>
      <c r="B106" s="64"/>
      <c r="C106" s="103"/>
      <c r="D106" s="21" t="s">
        <v>160</v>
      </c>
      <c r="E106" s="21" t="s">
        <v>161</v>
      </c>
      <c r="F106" s="33" t="s">
        <v>163</v>
      </c>
      <c r="G106" s="57"/>
      <c r="H106" s="54"/>
      <c r="I106" s="68"/>
      <c r="J106" s="57">
        <f t="shared" si="4"/>
        <v>0</v>
      </c>
      <c r="K106" s="57"/>
      <c r="L106" s="57"/>
      <c r="M106" s="57"/>
    </row>
    <row r="107" spans="1:13">
      <c r="A107" s="64"/>
      <c r="B107" s="64"/>
      <c r="C107" s="103"/>
      <c r="D107" s="21" t="s">
        <v>140</v>
      </c>
      <c r="E107" s="21" t="s">
        <v>141</v>
      </c>
      <c r="F107" s="33" t="s">
        <v>142</v>
      </c>
      <c r="G107" s="57"/>
      <c r="H107" s="54"/>
      <c r="I107" s="67"/>
      <c r="J107" s="57">
        <f t="shared" si="4"/>
        <v>0</v>
      </c>
      <c r="K107" s="57">
        <f>(J107++J113+J114+J115+J108)*0.03*N2</f>
        <v>0</v>
      </c>
      <c r="L107" s="57">
        <f>K107/0.03*0.25</f>
        <v>0</v>
      </c>
      <c r="M107" s="57">
        <f>L107-K107</f>
        <v>0</v>
      </c>
    </row>
    <row r="108" spans="1:13">
      <c r="A108" s="64">
        <v>43556</v>
      </c>
      <c r="B108" s="64" t="s">
        <v>359</v>
      </c>
      <c r="C108" s="103"/>
      <c r="D108" s="21" t="s">
        <v>140</v>
      </c>
      <c r="E108" s="21" t="s">
        <v>141</v>
      </c>
      <c r="F108" s="33" t="s">
        <v>143</v>
      </c>
      <c r="G108" s="57"/>
      <c r="H108" s="54"/>
      <c r="I108" s="67"/>
      <c r="J108" s="57">
        <f t="shared" si="4"/>
        <v>0</v>
      </c>
      <c r="K108" s="57"/>
      <c r="L108" s="57"/>
      <c r="M108" s="57"/>
    </row>
    <row r="109" spans="1:13">
      <c r="A109" s="64">
        <v>43556</v>
      </c>
      <c r="B109" s="64" t="s">
        <v>359</v>
      </c>
      <c r="C109" s="103"/>
      <c r="D109" s="21" t="s">
        <v>146</v>
      </c>
      <c r="E109" s="21" t="s">
        <v>144</v>
      </c>
      <c r="F109" s="33" t="s">
        <v>145</v>
      </c>
      <c r="G109" s="57"/>
      <c r="H109" s="54"/>
      <c r="I109" s="67"/>
      <c r="J109" s="57">
        <f t="shared" si="4"/>
        <v>0</v>
      </c>
      <c r="K109" s="57">
        <f>(J109+J116+J117+J118+J103)*0.05*N2</f>
        <v>0</v>
      </c>
      <c r="L109" s="57">
        <f>K109/0.05*0.25</f>
        <v>0</v>
      </c>
      <c r="M109" s="57">
        <f>L109-K109</f>
        <v>0</v>
      </c>
    </row>
    <row r="110" spans="1:13">
      <c r="A110" s="64">
        <v>43556</v>
      </c>
      <c r="B110" s="64" t="s">
        <v>359</v>
      </c>
      <c r="C110" s="103"/>
      <c r="D110" s="75" t="s">
        <v>164</v>
      </c>
      <c r="E110" s="75" t="s">
        <v>149</v>
      </c>
      <c r="F110" s="75" t="s">
        <v>159</v>
      </c>
      <c r="G110" s="76"/>
      <c r="H110" s="77"/>
      <c r="I110" s="67"/>
      <c r="J110" s="57">
        <f t="shared" si="4"/>
        <v>0</v>
      </c>
      <c r="K110" s="57"/>
      <c r="L110" s="57"/>
      <c r="M110" s="57"/>
    </row>
    <row r="111" spans="1:13">
      <c r="A111" s="64">
        <v>43556</v>
      </c>
      <c r="B111" s="64" t="s">
        <v>359</v>
      </c>
      <c r="C111" s="103"/>
      <c r="D111" s="75" t="s">
        <v>164</v>
      </c>
      <c r="E111" s="75" t="s">
        <v>149</v>
      </c>
      <c r="F111" s="75" t="s">
        <v>150</v>
      </c>
      <c r="G111" s="76"/>
      <c r="H111" s="77"/>
      <c r="I111" s="67"/>
      <c r="J111" s="57">
        <f t="shared" si="4"/>
        <v>0</v>
      </c>
      <c r="K111" s="57"/>
      <c r="L111" s="57">
        <f>K111/0.03*0.25</f>
        <v>0</v>
      </c>
      <c r="M111" s="57">
        <f>L111-K111</f>
        <v>0</v>
      </c>
    </row>
    <row r="112" spans="1:13">
      <c r="A112" s="64">
        <v>43556</v>
      </c>
      <c r="B112" s="64" t="s">
        <v>359</v>
      </c>
      <c r="C112" s="103"/>
      <c r="D112" s="75" t="s">
        <v>164</v>
      </c>
      <c r="E112" s="75" t="s">
        <v>149</v>
      </c>
      <c r="F112" s="75" t="s">
        <v>151</v>
      </c>
      <c r="G112" s="76"/>
      <c r="H112" s="77"/>
      <c r="I112" s="67"/>
      <c r="J112" s="57">
        <f t="shared" si="4"/>
        <v>0</v>
      </c>
      <c r="K112" s="57"/>
      <c r="L112" s="57"/>
      <c r="M112" s="57"/>
    </row>
    <row r="113" spans="1:13">
      <c r="A113" s="64">
        <v>43556</v>
      </c>
      <c r="B113" s="64" t="s">
        <v>359</v>
      </c>
      <c r="C113" s="103"/>
      <c r="D113" s="21" t="s">
        <v>152</v>
      </c>
      <c r="E113" s="21" t="s">
        <v>141</v>
      </c>
      <c r="F113" s="33" t="s">
        <v>153</v>
      </c>
      <c r="G113" s="57"/>
      <c r="H113" s="54"/>
      <c r="I113" s="67"/>
      <c r="J113" s="57">
        <f t="shared" si="4"/>
        <v>0</v>
      </c>
      <c r="K113" s="57"/>
      <c r="L113" s="57"/>
      <c r="M113" s="57"/>
    </row>
    <row r="114" spans="1:13">
      <c r="A114" s="64">
        <v>43556</v>
      </c>
      <c r="B114" s="64" t="s">
        <v>359</v>
      </c>
      <c r="C114" s="103"/>
      <c r="D114" s="21" t="s">
        <v>152</v>
      </c>
      <c r="E114" s="21" t="s">
        <v>141</v>
      </c>
      <c r="F114" s="33" t="s">
        <v>142</v>
      </c>
      <c r="G114" s="57"/>
      <c r="H114" s="54"/>
      <c r="I114" s="67"/>
      <c r="J114" s="57">
        <f t="shared" si="4"/>
        <v>0</v>
      </c>
      <c r="K114" s="57"/>
      <c r="L114" s="57"/>
      <c r="M114" s="57"/>
    </row>
    <row r="115" spans="1:13">
      <c r="A115" s="64">
        <v>43556</v>
      </c>
      <c r="B115" s="64" t="s">
        <v>359</v>
      </c>
      <c r="C115" s="103"/>
      <c r="D115" s="21" t="s">
        <v>152</v>
      </c>
      <c r="E115" s="21" t="s">
        <v>141</v>
      </c>
      <c r="F115" s="33" t="s">
        <v>143</v>
      </c>
      <c r="G115" s="57"/>
      <c r="H115" s="54"/>
      <c r="I115" s="68"/>
      <c r="J115" s="57">
        <f t="shared" si="4"/>
        <v>0</v>
      </c>
      <c r="K115" s="57"/>
      <c r="L115" s="57"/>
      <c r="M115" s="57"/>
    </row>
    <row r="116" spans="1:13">
      <c r="A116" s="64">
        <v>43556</v>
      </c>
      <c r="B116" s="64" t="s">
        <v>359</v>
      </c>
      <c r="C116" s="103"/>
      <c r="D116" s="21" t="s">
        <v>166</v>
      </c>
      <c r="E116" s="21" t="s">
        <v>144</v>
      </c>
      <c r="F116" s="33" t="s">
        <v>167</v>
      </c>
      <c r="G116" s="57"/>
      <c r="H116" s="54"/>
      <c r="I116" s="67"/>
      <c r="J116" s="57">
        <f t="shared" si="4"/>
        <v>0</v>
      </c>
      <c r="K116" s="57"/>
      <c r="L116" s="57"/>
      <c r="M116" s="57"/>
    </row>
    <row r="117" spans="1:13">
      <c r="A117" s="64">
        <v>43556</v>
      </c>
      <c r="B117" s="64" t="s">
        <v>359</v>
      </c>
      <c r="C117" s="103"/>
      <c r="D117" s="21" t="s">
        <v>166</v>
      </c>
      <c r="E117" s="21" t="s">
        <v>144</v>
      </c>
      <c r="F117" s="33" t="s">
        <v>145</v>
      </c>
      <c r="G117" s="57"/>
      <c r="H117" s="54"/>
      <c r="I117" s="67"/>
      <c r="J117" s="57">
        <f t="shared" si="4"/>
        <v>0</v>
      </c>
      <c r="K117" s="57"/>
      <c r="L117" s="57">
        <f>K117/0.05*0.25</f>
        <v>0</v>
      </c>
      <c r="M117" s="57">
        <f>L117-K117</f>
        <v>0</v>
      </c>
    </row>
    <row r="118" spans="1:13">
      <c r="A118" s="64">
        <v>43556</v>
      </c>
      <c r="B118" s="64" t="s">
        <v>359</v>
      </c>
      <c r="C118" s="103"/>
      <c r="D118" s="21" t="s">
        <v>166</v>
      </c>
      <c r="E118" s="21" t="s">
        <v>144</v>
      </c>
      <c r="F118" s="33" t="s">
        <v>147</v>
      </c>
      <c r="G118" s="57"/>
      <c r="H118" s="54"/>
      <c r="I118" s="67"/>
      <c r="J118" s="57">
        <f t="shared" si="4"/>
        <v>0</v>
      </c>
      <c r="K118" s="57"/>
      <c r="L118" s="57"/>
      <c r="M118" s="57"/>
    </row>
    <row r="119" spans="1:13">
      <c r="A119" s="64">
        <v>43556</v>
      </c>
      <c r="B119" s="64" t="s">
        <v>359</v>
      </c>
      <c r="C119" s="103"/>
      <c r="D119" s="21" t="s">
        <v>169</v>
      </c>
      <c r="E119" s="21" t="s">
        <v>170</v>
      </c>
      <c r="F119" s="33" t="s">
        <v>171</v>
      </c>
      <c r="G119" s="57"/>
      <c r="H119" s="54"/>
      <c r="I119" s="67"/>
      <c r="J119" s="57">
        <f t="shared" si="4"/>
        <v>0</v>
      </c>
      <c r="K119" s="57">
        <f>(J119+J120+J121+J123+J122)*0.04*N2</f>
        <v>0</v>
      </c>
      <c r="L119" s="57">
        <f>K119/0.04*0.25</f>
        <v>0</v>
      </c>
      <c r="M119" s="57">
        <f>L119-K119</f>
        <v>0</v>
      </c>
    </row>
    <row r="120" spans="1:13">
      <c r="A120" s="64">
        <v>43556</v>
      </c>
      <c r="B120" s="64" t="s">
        <v>359</v>
      </c>
      <c r="C120" s="103"/>
      <c r="D120" s="21" t="s">
        <v>169</v>
      </c>
      <c r="E120" s="21" t="s">
        <v>170</v>
      </c>
      <c r="F120" s="33" t="s">
        <v>172</v>
      </c>
      <c r="G120" s="57"/>
      <c r="H120" s="54"/>
      <c r="I120" s="67"/>
      <c r="J120" s="57">
        <f t="shared" si="4"/>
        <v>0</v>
      </c>
      <c r="K120" s="57"/>
      <c r="L120" s="57"/>
      <c r="M120" s="57"/>
    </row>
    <row r="121" spans="1:13">
      <c r="A121" s="64">
        <v>43556</v>
      </c>
      <c r="B121" s="64" t="s">
        <v>359</v>
      </c>
      <c r="C121" s="103"/>
      <c r="D121" s="21" t="s">
        <v>169</v>
      </c>
      <c r="E121" s="21" t="s">
        <v>170</v>
      </c>
      <c r="F121" s="33" t="s">
        <v>173</v>
      </c>
      <c r="G121" s="57"/>
      <c r="H121" s="54"/>
      <c r="I121" s="68"/>
      <c r="J121" s="57">
        <f t="shared" si="4"/>
        <v>0</v>
      </c>
      <c r="K121" s="57"/>
      <c r="L121" s="57"/>
      <c r="M121" s="57"/>
    </row>
    <row r="122" spans="1:13">
      <c r="A122" s="64"/>
      <c r="B122" s="64"/>
      <c r="C122" s="103"/>
      <c r="D122" s="21" t="s">
        <v>174</v>
      </c>
      <c r="E122" s="21" t="s">
        <v>170</v>
      </c>
      <c r="F122" s="33" t="s">
        <v>172</v>
      </c>
      <c r="G122" s="57"/>
      <c r="H122" s="54"/>
      <c r="I122" s="67"/>
      <c r="J122" s="57">
        <f t="shared" si="4"/>
        <v>0</v>
      </c>
      <c r="K122" s="57"/>
      <c r="L122" s="57"/>
      <c r="M122" s="57"/>
    </row>
    <row r="123" spans="1:13">
      <c r="A123" s="64"/>
      <c r="B123" s="64"/>
      <c r="C123" s="103"/>
      <c r="D123" s="21" t="s">
        <v>174</v>
      </c>
      <c r="E123" s="21" t="s">
        <v>170</v>
      </c>
      <c r="F123" s="33" t="s">
        <v>173</v>
      </c>
      <c r="G123" s="57"/>
      <c r="H123" s="54"/>
      <c r="I123" s="67"/>
      <c r="J123" s="57">
        <f t="shared" si="4"/>
        <v>0</v>
      </c>
      <c r="K123" s="57"/>
      <c r="L123" s="57"/>
      <c r="M123" s="57"/>
    </row>
    <row r="124" spans="1:13" ht="15" customHeight="1">
      <c r="A124" s="64">
        <v>43556</v>
      </c>
      <c r="B124" s="64" t="s">
        <v>359</v>
      </c>
      <c r="C124" s="102" t="s">
        <v>199</v>
      </c>
      <c r="D124" s="21" t="s">
        <v>200</v>
      </c>
      <c r="E124" s="21" t="s">
        <v>93</v>
      </c>
      <c r="F124" s="33" t="s">
        <v>94</v>
      </c>
      <c r="G124" s="74"/>
      <c r="H124" s="54"/>
      <c r="I124" s="67"/>
      <c r="J124" s="57">
        <f t="shared" si="4"/>
        <v>0</v>
      </c>
      <c r="K124" s="57">
        <f>(J124+J125+J126+J127+J128)*0.25*N2</f>
        <v>0</v>
      </c>
      <c r="L124" s="57"/>
      <c r="M124" s="57"/>
    </row>
    <row r="125" spans="1:13" ht="15" customHeight="1">
      <c r="A125" s="64">
        <v>43556</v>
      </c>
      <c r="B125" s="64" t="s">
        <v>359</v>
      </c>
      <c r="C125" s="103"/>
      <c r="D125" s="21" t="s">
        <v>201</v>
      </c>
      <c r="E125" s="21" t="s">
        <v>93</v>
      </c>
      <c r="F125" s="33" t="s">
        <v>94</v>
      </c>
      <c r="G125" s="74"/>
      <c r="H125" s="54"/>
      <c r="I125" s="67"/>
      <c r="J125" s="57">
        <f t="shared" si="4"/>
        <v>0</v>
      </c>
      <c r="K125" s="57"/>
      <c r="L125" s="57"/>
      <c r="M125" s="57"/>
    </row>
    <row r="126" spans="1:13" ht="15" customHeight="1">
      <c r="A126" s="64"/>
      <c r="B126" s="64"/>
      <c r="C126" s="103"/>
      <c r="D126" s="21" t="s">
        <v>203</v>
      </c>
      <c r="E126" s="21" t="s">
        <v>93</v>
      </c>
      <c r="F126" s="33" t="s">
        <v>94</v>
      </c>
      <c r="G126" s="74"/>
      <c r="H126" s="54"/>
      <c r="I126" s="67"/>
      <c r="J126" s="57">
        <f t="shared" si="4"/>
        <v>0</v>
      </c>
      <c r="K126" s="57"/>
      <c r="L126" s="57"/>
      <c r="M126" s="57"/>
    </row>
    <row r="127" spans="1:13">
      <c r="A127" s="64">
        <v>43556</v>
      </c>
      <c r="B127" s="64" t="s">
        <v>359</v>
      </c>
      <c r="C127" s="103"/>
      <c r="D127" s="21" t="s">
        <v>202</v>
      </c>
      <c r="E127" s="21" t="s">
        <v>93</v>
      </c>
      <c r="F127" s="33" t="s">
        <v>94</v>
      </c>
      <c r="G127" s="74"/>
      <c r="H127" s="54"/>
      <c r="I127" s="67"/>
      <c r="J127" s="57">
        <f t="shared" si="4"/>
        <v>0</v>
      </c>
      <c r="K127" s="57"/>
      <c r="L127" s="57"/>
      <c r="M127" s="57"/>
    </row>
    <row r="128" spans="1:13">
      <c r="A128" s="64"/>
      <c r="B128" s="64"/>
      <c r="C128" s="103"/>
      <c r="D128" s="21" t="s">
        <v>202</v>
      </c>
      <c r="E128" s="21" t="s">
        <v>93</v>
      </c>
      <c r="F128" s="33" t="s">
        <v>94</v>
      </c>
      <c r="G128" s="74"/>
      <c r="H128" s="54"/>
      <c r="I128" s="67"/>
      <c r="J128" s="57">
        <f t="shared" si="4"/>
        <v>0</v>
      </c>
      <c r="K128" s="57"/>
      <c r="L128" s="57"/>
      <c r="M128" s="57"/>
    </row>
    <row r="129" spans="1:13">
      <c r="A129" s="64">
        <v>43556</v>
      </c>
      <c r="B129" s="64" t="s">
        <v>359</v>
      </c>
      <c r="C129" s="102" t="s">
        <v>257</v>
      </c>
      <c r="D129" s="21" t="s">
        <v>258</v>
      </c>
      <c r="E129" s="21" t="s">
        <v>129</v>
      </c>
      <c r="F129" s="33" t="s">
        <v>130</v>
      </c>
      <c r="G129" s="57"/>
      <c r="H129" s="54"/>
      <c r="I129" s="67"/>
      <c r="J129" s="57">
        <f t="shared" si="4"/>
        <v>0</v>
      </c>
      <c r="K129" s="57">
        <f>(J129+J130)*0.05*N2</f>
        <v>0</v>
      </c>
      <c r="L129" s="57"/>
      <c r="M129" s="57"/>
    </row>
    <row r="130" spans="1:13">
      <c r="A130" s="64">
        <v>43556</v>
      </c>
      <c r="B130" s="64" t="s">
        <v>359</v>
      </c>
      <c r="C130" s="104"/>
      <c r="D130" s="21" t="s">
        <v>258</v>
      </c>
      <c r="E130" s="21" t="s">
        <v>129</v>
      </c>
      <c r="F130" s="33" t="s">
        <v>361</v>
      </c>
      <c r="G130" s="57"/>
      <c r="H130" s="54"/>
      <c r="I130" s="67"/>
      <c r="J130" s="57">
        <f t="shared" si="4"/>
        <v>0</v>
      </c>
      <c r="K130" s="57"/>
      <c r="L130" s="57"/>
      <c r="M130" s="57"/>
    </row>
    <row r="131" spans="1:13">
      <c r="A131" s="64"/>
      <c r="B131" s="64"/>
      <c r="C131" s="103" t="s">
        <v>185</v>
      </c>
      <c r="D131" s="21" t="s">
        <v>186</v>
      </c>
      <c r="E131" s="21" t="s">
        <v>191</v>
      </c>
      <c r="F131" s="33" t="s">
        <v>192</v>
      </c>
      <c r="G131" s="57"/>
      <c r="H131" s="54"/>
      <c r="I131" s="67"/>
      <c r="J131" s="57">
        <f t="shared" si="4"/>
        <v>0</v>
      </c>
      <c r="K131" s="57"/>
      <c r="L131" s="57"/>
      <c r="M131" s="57"/>
    </row>
    <row r="132" spans="1:13">
      <c r="A132" s="64">
        <v>43556</v>
      </c>
      <c r="B132" s="64" t="s">
        <v>359</v>
      </c>
      <c r="C132" s="103"/>
      <c r="D132" s="21" t="s">
        <v>186</v>
      </c>
      <c r="E132" s="21" t="s">
        <v>191</v>
      </c>
      <c r="F132" s="33" t="s">
        <v>193</v>
      </c>
      <c r="G132" s="57"/>
      <c r="H132" s="54"/>
      <c r="I132" s="67"/>
      <c r="J132" s="57">
        <f t="shared" si="4"/>
        <v>0</v>
      </c>
      <c r="K132" s="57">
        <f>(J132+J136+J131)*0.05*N2</f>
        <v>0</v>
      </c>
      <c r="L132" s="57">
        <f>K132/0.05*0.25</f>
        <v>0</v>
      </c>
      <c r="M132" s="57">
        <f>L132-K132</f>
        <v>0</v>
      </c>
    </row>
    <row r="133" spans="1:13">
      <c r="A133" s="64"/>
      <c r="B133" s="64"/>
      <c r="C133" s="103"/>
      <c r="D133" s="21" t="s">
        <v>189</v>
      </c>
      <c r="E133" s="21" t="s">
        <v>187</v>
      </c>
      <c r="F133" s="33" t="s">
        <v>190</v>
      </c>
      <c r="G133" s="57"/>
      <c r="H133" s="54"/>
      <c r="I133" s="67"/>
      <c r="J133" s="57">
        <f t="shared" si="4"/>
        <v>0</v>
      </c>
      <c r="K133" s="57"/>
      <c r="L133" s="57"/>
      <c r="M133" s="57"/>
    </row>
    <row r="134" spans="1:13">
      <c r="A134" s="64">
        <v>43556</v>
      </c>
      <c r="B134" s="64" t="s">
        <v>359</v>
      </c>
      <c r="C134" s="103"/>
      <c r="D134" s="21" t="s">
        <v>189</v>
      </c>
      <c r="E134" s="21" t="s">
        <v>187</v>
      </c>
      <c r="F134" s="33" t="s">
        <v>188</v>
      </c>
      <c r="G134" s="57"/>
      <c r="H134" s="54"/>
      <c r="I134" s="67"/>
      <c r="J134" s="57">
        <f t="shared" si="4"/>
        <v>0</v>
      </c>
      <c r="K134" s="57">
        <f>(J134+J133)*0.05*N2</f>
        <v>0</v>
      </c>
      <c r="L134" s="57">
        <f>K134/0.05*0.25</f>
        <v>0</v>
      </c>
      <c r="M134" s="57">
        <f>L134-K134</f>
        <v>0</v>
      </c>
    </row>
    <row r="135" spans="1:13">
      <c r="A135" s="64"/>
      <c r="B135" s="64"/>
      <c r="C135" s="103"/>
      <c r="D135" s="21" t="s">
        <v>194</v>
      </c>
      <c r="E135" s="75" t="s">
        <v>195</v>
      </c>
      <c r="F135" s="75" t="s">
        <v>196</v>
      </c>
      <c r="G135" s="76"/>
      <c r="H135" s="77"/>
      <c r="I135" s="67"/>
      <c r="J135" s="57">
        <f t="shared" si="4"/>
        <v>0</v>
      </c>
      <c r="K135" s="57">
        <f>(J135)*0.05*N2</f>
        <v>0</v>
      </c>
      <c r="L135" s="57"/>
      <c r="M135" s="57"/>
    </row>
    <row r="136" spans="1:13">
      <c r="A136" s="64"/>
      <c r="B136" s="64"/>
      <c r="C136" s="104"/>
      <c r="D136" s="89" t="s">
        <v>362</v>
      </c>
      <c r="E136" s="21" t="s">
        <v>191</v>
      </c>
      <c r="F136" s="33" t="s">
        <v>193</v>
      </c>
      <c r="G136" s="57"/>
      <c r="H136" s="54"/>
      <c r="I136" s="84"/>
      <c r="J136" s="57">
        <f t="shared" si="4"/>
        <v>0</v>
      </c>
      <c r="K136" s="57"/>
      <c r="L136" s="57"/>
      <c r="M136" s="57"/>
    </row>
    <row r="137" spans="1:13">
      <c r="A137" s="64">
        <v>43556</v>
      </c>
      <c r="B137" s="64" t="s">
        <v>359</v>
      </c>
      <c r="C137" s="106" t="s">
        <v>204</v>
      </c>
      <c r="D137" s="21" t="s">
        <v>88</v>
      </c>
      <c r="E137" s="21" t="s">
        <v>161</v>
      </c>
      <c r="F137" s="33" t="s">
        <v>205</v>
      </c>
      <c r="G137" s="57"/>
      <c r="H137" s="54"/>
      <c r="I137" s="67"/>
      <c r="J137" s="57">
        <f t="shared" si="4"/>
        <v>0</v>
      </c>
      <c r="K137" s="57">
        <f>(J137+J143+J142)*0.25*N2</f>
        <v>0</v>
      </c>
      <c r="L137" s="57"/>
      <c r="M137" s="57"/>
    </row>
    <row r="138" spans="1:13">
      <c r="A138" s="64">
        <v>43556</v>
      </c>
      <c r="B138" s="64" t="s">
        <v>359</v>
      </c>
      <c r="C138" s="108"/>
      <c r="D138" s="21" t="s">
        <v>209</v>
      </c>
      <c r="E138" s="21" t="s">
        <v>144</v>
      </c>
      <c r="F138" s="33" t="s">
        <v>210</v>
      </c>
      <c r="G138" s="74"/>
      <c r="H138" s="54"/>
      <c r="I138" s="67"/>
      <c r="J138" s="57">
        <f t="shared" si="4"/>
        <v>0</v>
      </c>
      <c r="K138" s="57">
        <f>J138*0.25*N2</f>
        <v>0</v>
      </c>
      <c r="L138" s="57"/>
      <c r="M138" s="57"/>
    </row>
    <row r="139" spans="1:13">
      <c r="A139" s="64">
        <v>43556</v>
      </c>
      <c r="B139" s="64" t="s">
        <v>359</v>
      </c>
      <c r="C139" s="108"/>
      <c r="D139" s="21" t="s">
        <v>206</v>
      </c>
      <c r="E139" s="21" t="s">
        <v>129</v>
      </c>
      <c r="F139" s="33" t="s">
        <v>207</v>
      </c>
      <c r="G139" s="57"/>
      <c r="H139" s="54"/>
      <c r="I139" s="67"/>
      <c r="J139" s="57">
        <f t="shared" si="4"/>
        <v>0</v>
      </c>
      <c r="K139" s="57">
        <f>J139*0.2*N2</f>
        <v>0</v>
      </c>
      <c r="L139" s="57"/>
      <c r="M139" s="57"/>
    </row>
    <row r="140" spans="1:13">
      <c r="A140" s="64">
        <v>43556</v>
      </c>
      <c r="B140" s="64" t="s">
        <v>359</v>
      </c>
      <c r="C140" s="108"/>
      <c r="D140" s="21" t="s">
        <v>88</v>
      </c>
      <c r="E140" s="21" t="s">
        <v>93</v>
      </c>
      <c r="F140" s="33" t="s">
        <v>212</v>
      </c>
      <c r="G140" s="57"/>
      <c r="H140" s="54"/>
      <c r="I140" s="67"/>
      <c r="J140" s="57">
        <f t="shared" si="4"/>
        <v>0</v>
      </c>
      <c r="K140" s="57">
        <f>(J140+J141)*0.25*N2</f>
        <v>0</v>
      </c>
      <c r="L140" s="57"/>
      <c r="M140" s="57"/>
    </row>
    <row r="141" spans="1:13">
      <c r="A141" s="64">
        <v>43556</v>
      </c>
      <c r="B141" s="64" t="s">
        <v>359</v>
      </c>
      <c r="C141" s="108"/>
      <c r="D141" s="21" t="s">
        <v>88</v>
      </c>
      <c r="E141" s="21" t="s">
        <v>93</v>
      </c>
      <c r="F141" s="90" t="s">
        <v>213</v>
      </c>
      <c r="G141" s="57"/>
      <c r="H141" s="54"/>
      <c r="I141" s="67"/>
      <c r="J141" s="57">
        <f t="shared" si="4"/>
        <v>0</v>
      </c>
      <c r="K141" s="57"/>
      <c r="L141" s="57"/>
      <c r="M141" s="57"/>
    </row>
    <row r="142" spans="1:13">
      <c r="A142" s="64">
        <v>43556</v>
      </c>
      <c r="B142" s="64" t="s">
        <v>359</v>
      </c>
      <c r="C142" s="108"/>
      <c r="D142" s="21" t="s">
        <v>214</v>
      </c>
      <c r="E142" s="21" t="s">
        <v>161</v>
      </c>
      <c r="F142" s="33" t="s">
        <v>215</v>
      </c>
      <c r="G142" s="57"/>
      <c r="H142" s="54"/>
      <c r="I142" s="67"/>
      <c r="J142" s="57">
        <f t="shared" si="4"/>
        <v>0</v>
      </c>
      <c r="K142" s="57"/>
      <c r="L142" s="57"/>
      <c r="M142" s="57"/>
    </row>
    <row r="143" spans="1:13">
      <c r="A143" s="64"/>
      <c r="B143" s="91"/>
      <c r="C143" s="108"/>
      <c r="D143" s="92" t="s">
        <v>217</v>
      </c>
      <c r="E143" s="21" t="s">
        <v>161</v>
      </c>
      <c r="F143" s="33" t="s">
        <v>215</v>
      </c>
      <c r="G143" s="57"/>
      <c r="H143" s="54"/>
      <c r="I143" s="67"/>
      <c r="J143" s="57">
        <f t="shared" si="4"/>
        <v>0</v>
      </c>
      <c r="K143" s="57"/>
      <c r="L143" s="57"/>
      <c r="M143" s="57"/>
    </row>
    <row r="144" spans="1:13">
      <c r="B144" s="71"/>
      <c r="C144" s="106" t="s">
        <v>218</v>
      </c>
      <c r="D144" s="107"/>
      <c r="E144" s="21" t="s">
        <v>219</v>
      </c>
      <c r="F144" s="33" t="s">
        <v>219</v>
      </c>
      <c r="G144" s="57"/>
      <c r="H144" s="54"/>
      <c r="I144" s="67"/>
      <c r="J144" s="57">
        <f t="shared" ref="J144:J147" si="6">(G144*H144*0.98)-I144</f>
        <v>0</v>
      </c>
      <c r="K144" s="57">
        <f>(J8+J9+J10+J11+J12+J13+J15+J22+J23+J24+J25+J26+J33+J35+J36+J37+J38+J39+J41+J42+J44)*0.07*N2+(J82+J83+J90+J91)*0.04*N2+(J3+J4+J5+J6+J7+J16+J17+J18+J19+J20+J21+J27+J28+J29+J30+J31+J32+J34+J40+J43+J45+J46+J47+J48+J49+J50+J51+J52+J53+J54+J55+J56+J57+J58+J59+J60+J61+J62+J63+J64+J65+J66+J67+J68+J69+J70+J71+J72+J73+J74+J75+J76+J77+J78+J79+J80+J81+J84+J85+J86+J87+J88+J89+J92+J93+J94+J95+J96+J97+J98+J99+J100+J101+J102+J103+J104+J105+J106+J107+J108+J109+J110+J111+J112+J113+J114+J115+J116+J117+J118+J119+J120+J121+J122+J123+J131+J132+J133+J134+J135+J136)*0.01*N2+(0)*0.08*N2</f>
        <v>0</v>
      </c>
      <c r="L144" s="57"/>
      <c r="M144" s="57"/>
    </row>
    <row r="145" spans="2:13">
      <c r="B145" s="72"/>
      <c r="C145" s="108"/>
      <c r="D145" s="109"/>
      <c r="E145" s="21" t="s">
        <v>220</v>
      </c>
      <c r="F145" s="33" t="s">
        <v>220</v>
      </c>
      <c r="G145" s="57"/>
      <c r="H145" s="54"/>
      <c r="I145" s="67"/>
      <c r="J145" s="57">
        <f t="shared" si="6"/>
        <v>0</v>
      </c>
      <c r="K145" s="57">
        <f>(J5+J6+J7+J16+J17+J34)*0.06*N2+(J52+J53+J54+J55+J56+J116+J117+J118+J119+J120+J121)*0.07*N2+(J65+J66+J88+J89)*0.03*N2</f>
        <v>0</v>
      </c>
      <c r="L145" s="57"/>
      <c r="M145" s="57"/>
    </row>
    <row r="146" spans="2:13">
      <c r="B146" s="72"/>
      <c r="C146" s="108"/>
      <c r="D146" s="109"/>
      <c r="E146" s="21" t="s">
        <v>221</v>
      </c>
      <c r="F146" s="33" t="s">
        <v>221</v>
      </c>
      <c r="G146" s="57"/>
      <c r="H146" s="54"/>
      <c r="I146" s="67"/>
      <c r="J146" s="57">
        <f t="shared" si="6"/>
        <v>0</v>
      </c>
      <c r="K146" s="57">
        <f>(J3+J18+J19+J20+J21)*0.06*N2+(J47+J48+J92+J93+J101+J102+J103+J109+J110+J111+J112)*0.07*N2+(J133+J134)*0.03*N2</f>
        <v>0</v>
      </c>
      <c r="L146" s="57"/>
      <c r="M146" s="57"/>
    </row>
    <row r="147" spans="2:13">
      <c r="B147" s="72"/>
      <c r="C147" s="108"/>
      <c r="D147" s="109"/>
      <c r="E147" s="21" t="s">
        <v>225</v>
      </c>
      <c r="F147" s="33" t="s">
        <v>225</v>
      </c>
      <c r="G147" s="57"/>
      <c r="H147" s="54"/>
      <c r="I147" s="67"/>
      <c r="J147" s="57">
        <f t="shared" si="6"/>
        <v>0</v>
      </c>
      <c r="K147" s="57">
        <f>(J94+J95+J96)*0.07*N2+(J30+J31+J32)*0.06*N2+(J71+J72+J75+J76+J84+J85)*0.03*N2</f>
        <v>0</v>
      </c>
      <c r="L147" s="57"/>
      <c r="M147" s="57"/>
    </row>
    <row r="148" spans="2:13">
      <c r="B148" s="72"/>
      <c r="C148" s="108"/>
      <c r="D148" s="109"/>
      <c r="E148" s="21" t="s">
        <v>223</v>
      </c>
      <c r="F148" s="33" t="s">
        <v>223</v>
      </c>
      <c r="G148" s="57"/>
      <c r="H148" s="54"/>
      <c r="I148" s="67"/>
      <c r="J148" s="57">
        <v>0</v>
      </c>
      <c r="K148" s="57">
        <f>(J27+J28+J29+J43+J45+J46)*0.06*N2</f>
        <v>0</v>
      </c>
      <c r="L148" s="57"/>
      <c r="M148" s="57"/>
    </row>
    <row r="149" spans="2:13">
      <c r="B149" s="72"/>
      <c r="C149" s="108"/>
      <c r="D149" s="109"/>
      <c r="E149" s="21" t="s">
        <v>224</v>
      </c>
      <c r="F149" s="33" t="s">
        <v>224</v>
      </c>
      <c r="G149" s="57"/>
      <c r="H149" s="54"/>
      <c r="I149" s="67"/>
      <c r="J149" s="57">
        <v>0</v>
      </c>
      <c r="K149" s="57">
        <f>(0)*0.06*N2+(J51+J97+J98+J99+J100+J122+J123)*0.07*N2+(J69+J70+J131+J132+J135+J136)*0.03*N2</f>
        <v>0</v>
      </c>
      <c r="L149" s="57"/>
      <c r="M149" s="57"/>
    </row>
    <row r="150" spans="2:13">
      <c r="B150" s="72"/>
      <c r="C150" s="108"/>
      <c r="D150" s="109"/>
      <c r="E150" s="21" t="s">
        <v>226</v>
      </c>
      <c r="F150" s="33" t="s">
        <v>226</v>
      </c>
      <c r="G150" s="57"/>
      <c r="H150" s="54"/>
      <c r="I150" s="67"/>
      <c r="J150" s="57">
        <v>0</v>
      </c>
      <c r="K150" s="57">
        <f>(J4)*0.06*N2+(J59+J60+J107+J108+J113+J114+J115)*0.07*N2+(J61+J62+J63+J64)*0.03*N2</f>
        <v>0</v>
      </c>
      <c r="L150" s="57"/>
      <c r="M150" s="57"/>
    </row>
    <row r="151" spans="2:13">
      <c r="B151" s="73"/>
      <c r="C151" s="110"/>
      <c r="D151" s="111"/>
      <c r="E151" s="21" t="s">
        <v>222</v>
      </c>
      <c r="F151" s="33" t="s">
        <v>222</v>
      </c>
      <c r="G151" s="57"/>
      <c r="H151" s="54"/>
      <c r="I151" s="67"/>
      <c r="J151" s="57">
        <v>0</v>
      </c>
      <c r="K151" s="57">
        <f>(J40)*0.06*N2+(J49+J50+J57+J58+J104+J105+J106)*0.07*N2+(J67+J68+J73+J74+J77+J78+J79+J80+J81+J86+J87)*0.03*N2</f>
        <v>0</v>
      </c>
      <c r="L151" s="57"/>
      <c r="M151" s="57"/>
    </row>
    <row r="152" spans="2:13">
      <c r="F152" s="58" t="s">
        <v>227</v>
      </c>
      <c r="G152" s="65">
        <f>SUM(G3:G148)</f>
        <v>0</v>
      </c>
      <c r="H152" s="66"/>
      <c r="I152" s="93">
        <f>SUM(I3:I150)</f>
        <v>0</v>
      </c>
      <c r="J152" s="65">
        <f>SUM(J3:J147)</f>
        <v>0</v>
      </c>
      <c r="K152" s="65">
        <f>J152*N2*0.67</f>
        <v>0</v>
      </c>
      <c r="L152" s="57"/>
      <c r="M152" s="57"/>
    </row>
    <row r="153" spans="2:13">
      <c r="F153" s="58" t="s">
        <v>228</v>
      </c>
      <c r="G153" s="65"/>
      <c r="H153" s="66"/>
      <c r="I153" s="93"/>
      <c r="J153" s="65"/>
      <c r="K153" s="65"/>
      <c r="L153" s="57"/>
      <c r="M153" s="57"/>
    </row>
    <row r="154" spans="2:13">
      <c r="C154" s="21" t="s">
        <v>229</v>
      </c>
      <c r="E154" s="21" t="s">
        <v>230</v>
      </c>
      <c r="F154" s="33"/>
      <c r="G154" s="57"/>
      <c r="H154" s="54"/>
      <c r="I154" s="67"/>
      <c r="J154" s="57">
        <v>0</v>
      </c>
      <c r="K154" s="57">
        <f>(J14+J16+J17+J18+J19)*0.05*N2+M3+M5+M9+M15+M20+M27+M30-N27+M35+M43+M12+M34+M8+M25+M37</f>
        <v>0</v>
      </c>
      <c r="L154" s="57"/>
      <c r="M154" s="57"/>
    </row>
    <row r="155" spans="2:13">
      <c r="C155" s="21" t="s">
        <v>231</v>
      </c>
      <c r="E155" s="21" t="s">
        <v>230</v>
      </c>
      <c r="F155" s="33"/>
      <c r="G155" s="57"/>
      <c r="H155" s="54"/>
      <c r="I155" s="67"/>
      <c r="J155" s="57"/>
      <c r="K155" s="57">
        <f>(0)*0.05*N2+M92+M94+M98+M105+M109+M111+M119+M97+M107</f>
        <v>0</v>
      </c>
      <c r="L155" s="57"/>
      <c r="M155" s="57"/>
    </row>
    <row r="156" spans="2:13">
      <c r="C156" s="21" t="s">
        <v>232</v>
      </c>
      <c r="E156" s="21" t="s">
        <v>233</v>
      </c>
      <c r="F156" s="33"/>
      <c r="G156" s="57"/>
      <c r="H156" s="54"/>
      <c r="I156" s="67"/>
      <c r="J156" s="57"/>
      <c r="K156" s="57">
        <f>(J49+J50+J57+J58)*0.05*N2+M47+M57+M52</f>
        <v>0</v>
      </c>
      <c r="L156" s="57"/>
      <c r="M156" s="57"/>
    </row>
    <row r="157" spans="2:13">
      <c r="C157" s="21" t="s">
        <v>234</v>
      </c>
      <c r="E157" s="21" t="s">
        <v>230</v>
      </c>
      <c r="F157" s="33"/>
      <c r="G157" s="57"/>
      <c r="H157" s="54"/>
      <c r="I157" s="67"/>
      <c r="J157" s="57"/>
      <c r="K157" s="57">
        <f>(J65+J66+J63+J64)*0.05*N2+M61+M73+M67+M79+M88</f>
        <v>0</v>
      </c>
      <c r="L157" s="57"/>
      <c r="M157" s="57"/>
    </row>
    <row r="158" spans="2:13">
      <c r="C158" s="21" t="s">
        <v>235</v>
      </c>
      <c r="E158" s="21" t="s">
        <v>230</v>
      </c>
      <c r="F158" s="33"/>
      <c r="G158" s="57"/>
      <c r="H158" s="54"/>
      <c r="I158" s="67"/>
      <c r="J158" s="57"/>
      <c r="K158" s="57">
        <f>M132+M134</f>
        <v>0</v>
      </c>
      <c r="L158" s="57"/>
      <c r="M158" s="57"/>
    </row>
    <row r="159" spans="2:13">
      <c r="C159" s="21" t="s">
        <v>363</v>
      </c>
      <c r="E159" s="21" t="s">
        <v>230</v>
      </c>
      <c r="K159" s="59">
        <f>J152*0.07*N2</f>
        <v>0</v>
      </c>
    </row>
    <row r="160" spans="2:13">
      <c r="K160" s="59">
        <f>SUM(K154:K159)</f>
        <v>0</v>
      </c>
    </row>
    <row r="161" spans="3:14">
      <c r="K161" s="65">
        <f>K154+K155+K156+K157+K158</f>
        <v>0</v>
      </c>
    </row>
    <row r="163" spans="3:14" customFormat="1">
      <c r="C163" s="21"/>
      <c r="D163" s="21"/>
      <c r="E163" s="21"/>
      <c r="F163" s="21"/>
      <c r="G163" s="59"/>
      <c r="H163" s="60"/>
      <c r="I163" s="88"/>
      <c r="J163" s="59"/>
      <c r="K163" s="59"/>
      <c r="L163" s="59"/>
      <c r="M163" s="59"/>
      <c r="N163" s="59"/>
    </row>
    <row r="164" spans="3:14" customFormat="1">
      <c r="C164" s="21"/>
      <c r="D164" s="21"/>
      <c r="E164" s="21"/>
      <c r="F164" s="21"/>
      <c r="G164" s="59"/>
      <c r="H164" s="60"/>
      <c r="I164" s="88"/>
      <c r="J164" s="59"/>
      <c r="K164" s="59"/>
      <c r="L164" s="59"/>
      <c r="M164" s="59"/>
      <c r="N164" s="59"/>
    </row>
    <row r="165" spans="3:14" customFormat="1"/>
    <row r="166" spans="3:14" customFormat="1"/>
    <row r="167" spans="3:14" customFormat="1"/>
    <row r="168" spans="3:14" customFormat="1"/>
    <row r="169" spans="3:14" customFormat="1"/>
    <row r="170" spans="3:14" customFormat="1"/>
    <row r="171" spans="3:14" customFormat="1"/>
    <row r="172" spans="3:14" customFormat="1"/>
    <row r="173" spans="3:14" customFormat="1"/>
    <row r="174" spans="3:14" customFormat="1"/>
    <row r="175" spans="3:14" customFormat="1"/>
    <row r="176" spans="3:14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</sheetData>
  <mergeCells count="9">
    <mergeCell ref="C131:C136"/>
    <mergeCell ref="C137:C143"/>
    <mergeCell ref="C144:D151"/>
    <mergeCell ref="C3:C46"/>
    <mergeCell ref="C47:C60"/>
    <mergeCell ref="C61:C91"/>
    <mergeCell ref="C92:C123"/>
    <mergeCell ref="C124:C128"/>
    <mergeCell ref="C129:C130"/>
  </mergeCells>
  <phoneticPr fontId="37" type="noConversion"/>
  <conditionalFormatting sqref="E138">
    <cfRule type="containsText" dxfId="34" priority="3" operator="containsText" text="方泽斯">
      <formula>NOT(ISERROR(SEARCH("方泽斯",E138)))</formula>
    </cfRule>
  </conditionalFormatting>
  <conditionalFormatting sqref="E141">
    <cfRule type="containsText" dxfId="33" priority="2" operator="containsText" text="方泽斯">
      <formula>NOT(ISERROR(SEARCH("方泽斯",E141)))</formula>
    </cfRule>
  </conditionalFormatting>
  <conditionalFormatting sqref="E147">
    <cfRule type="containsText" dxfId="32" priority="4" operator="containsText" text="方泽斯">
      <formula>NOT(ISERROR(SEARCH("方泽斯",E147)))</formula>
    </cfRule>
  </conditionalFormatting>
  <conditionalFormatting sqref="E156">
    <cfRule type="containsText" dxfId="31" priority="1" operator="containsText" text="方泽斯">
      <formula>NOT(ISERROR(SEARCH("方泽斯",E156)))</formula>
    </cfRule>
  </conditionalFormatting>
  <pageMargins left="0.75" right="0" top="0" bottom="0" header="0.51" footer="0.51"/>
  <pageSetup paperSize="9" scale="50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tabColor rgb="FF92D050"/>
    <pageSetUpPr fitToPage="1"/>
  </sheetPr>
  <dimension ref="A1:Y143"/>
  <sheetViews>
    <sheetView topLeftCell="C85" zoomScaleSheetLayoutView="100" workbookViewId="0">
      <selection activeCell="G3" sqref="G3:I126"/>
    </sheetView>
  </sheetViews>
  <sheetFormatPr defaultColWidth="11.375" defaultRowHeight="13.5"/>
  <cols>
    <col min="1" max="1" width="10.125" style="21" hidden="1" customWidth="1"/>
    <col min="2" max="2" width="9" style="21" hidden="1" customWidth="1"/>
    <col min="3" max="5" width="11.375" style="21" customWidth="1"/>
    <col min="6" max="6" width="19.875" style="21" customWidth="1"/>
    <col min="7" max="7" width="13.125" style="59" customWidth="1"/>
    <col min="8" max="8" width="11.375" style="60" customWidth="1"/>
    <col min="9" max="9" width="11.375" style="61" customWidth="1"/>
    <col min="10" max="11" width="11.375" style="59" customWidth="1"/>
    <col min="12" max="12" width="13.375" style="59" customWidth="1"/>
    <col min="13" max="14" width="11.375" style="59" customWidth="1"/>
    <col min="15" max="16384" width="11.375" style="21"/>
  </cols>
  <sheetData>
    <row r="1" spans="1:25">
      <c r="C1" s="21" t="s">
        <v>364</v>
      </c>
    </row>
    <row r="2" spans="1:25" s="22" customFormat="1" ht="21" customHeight="1">
      <c r="C2" s="25" t="s">
        <v>1</v>
      </c>
      <c r="D2" s="25" t="s">
        <v>2</v>
      </c>
      <c r="E2" s="25"/>
      <c r="F2" s="26" t="s">
        <v>3</v>
      </c>
      <c r="G2" s="27" t="s">
        <v>4</v>
      </c>
      <c r="H2" s="28" t="s">
        <v>5</v>
      </c>
      <c r="I2" s="29" t="s">
        <v>6</v>
      </c>
      <c r="J2" s="29" t="s">
        <v>7</v>
      </c>
      <c r="K2" s="38" t="s">
        <v>8</v>
      </c>
      <c r="L2" s="39"/>
      <c r="M2" s="40" t="s">
        <v>9</v>
      </c>
      <c r="N2" s="41">
        <v>7.01</v>
      </c>
      <c r="O2" s="42"/>
      <c r="P2" s="43"/>
      <c r="Q2" s="44"/>
      <c r="R2" s="45"/>
      <c r="S2" s="45"/>
      <c r="W2" s="46"/>
      <c r="X2" s="46"/>
      <c r="Y2" s="46"/>
    </row>
    <row r="3" spans="1:25">
      <c r="A3" s="64">
        <v>43556</v>
      </c>
      <c r="B3" s="21" t="s">
        <v>364</v>
      </c>
      <c r="C3" s="105" t="s">
        <v>10</v>
      </c>
      <c r="D3" s="21" t="s">
        <v>11</v>
      </c>
      <c r="E3" s="21" t="s">
        <v>298</v>
      </c>
      <c r="F3" s="33" t="s">
        <v>299</v>
      </c>
      <c r="G3" s="57"/>
      <c r="H3" s="54"/>
      <c r="I3" s="68"/>
      <c r="J3" s="57">
        <f t="shared" ref="J3:J66" si="0">(G3*H3)-I3</f>
        <v>0</v>
      </c>
      <c r="K3" s="57">
        <f>(J3)*0.04*N2</f>
        <v>0</v>
      </c>
      <c r="L3" s="57">
        <f>K3/0.04*0.25</f>
        <v>0</v>
      </c>
      <c r="M3" s="57">
        <f t="shared" ref="M3:M6" si="1">L3-K3</f>
        <v>0</v>
      </c>
      <c r="N3" s="59" t="s">
        <v>37</v>
      </c>
    </row>
    <row r="4" spans="1:25">
      <c r="A4" s="64">
        <v>43556</v>
      </c>
      <c r="B4" s="21" t="s">
        <v>364</v>
      </c>
      <c r="C4" s="105"/>
      <c r="D4" s="21" t="s">
        <v>39</v>
      </c>
      <c r="E4" s="21" t="s">
        <v>40</v>
      </c>
      <c r="F4" s="33" t="s">
        <v>41</v>
      </c>
      <c r="G4" s="57"/>
      <c r="H4" s="54"/>
      <c r="I4" s="67"/>
      <c r="J4" s="57">
        <f t="shared" si="0"/>
        <v>0</v>
      </c>
      <c r="K4" s="57">
        <f>(J4+J5)*0.05*N2</f>
        <v>0</v>
      </c>
      <c r="L4" s="57">
        <f>K4/0.05*0.25</f>
        <v>0</v>
      </c>
      <c r="M4" s="57">
        <f t="shared" si="1"/>
        <v>0</v>
      </c>
    </row>
    <row r="5" spans="1:25">
      <c r="A5" s="64">
        <v>43556</v>
      </c>
      <c r="B5" s="21" t="s">
        <v>364</v>
      </c>
      <c r="C5" s="105"/>
      <c r="D5" s="21" t="s">
        <v>44</v>
      </c>
      <c r="E5" s="21" t="s">
        <v>40</v>
      </c>
      <c r="F5" s="33" t="s">
        <v>41</v>
      </c>
      <c r="G5" s="57"/>
      <c r="H5" s="54"/>
      <c r="I5" s="68"/>
      <c r="J5" s="57">
        <f t="shared" si="0"/>
        <v>0</v>
      </c>
      <c r="K5" s="57"/>
      <c r="L5" s="57"/>
      <c r="M5" s="57"/>
    </row>
    <row r="6" spans="1:25">
      <c r="A6" s="64">
        <v>43556</v>
      </c>
      <c r="B6" s="21" t="s">
        <v>364</v>
      </c>
      <c r="C6" s="105"/>
      <c r="D6" s="21" t="s">
        <v>67</v>
      </c>
      <c r="E6" s="21" t="s">
        <v>68</v>
      </c>
      <c r="F6" s="33" t="s">
        <v>69</v>
      </c>
      <c r="G6" s="74"/>
      <c r="H6" s="54"/>
      <c r="I6" s="68"/>
      <c r="J6" s="57">
        <f t="shared" si="0"/>
        <v>0</v>
      </c>
      <c r="K6" s="57">
        <f>(J6+J7+J8+J33+J10+J11)*0.05*N2</f>
        <v>0</v>
      </c>
      <c r="L6" s="57">
        <f>K6/0.05*0.25</f>
        <v>0</v>
      </c>
      <c r="M6" s="57">
        <f t="shared" si="1"/>
        <v>0</v>
      </c>
    </row>
    <row r="7" spans="1:25">
      <c r="A7" s="64">
        <v>43556</v>
      </c>
      <c r="B7" s="21" t="s">
        <v>364</v>
      </c>
      <c r="C7" s="105"/>
      <c r="D7" s="21" t="s">
        <v>67</v>
      </c>
      <c r="E7" s="21" t="s">
        <v>68</v>
      </c>
      <c r="F7" s="33" t="s">
        <v>303</v>
      </c>
      <c r="G7" s="74"/>
      <c r="H7" s="54"/>
      <c r="I7" s="68"/>
      <c r="J7" s="57">
        <f t="shared" si="0"/>
        <v>0</v>
      </c>
      <c r="K7" s="57"/>
      <c r="L7" s="57"/>
      <c r="M7" s="57"/>
    </row>
    <row r="8" spans="1:25">
      <c r="A8" s="64">
        <v>43556</v>
      </c>
      <c r="B8" s="21" t="s">
        <v>364</v>
      </c>
      <c r="C8" s="105"/>
      <c r="D8" s="21" t="s">
        <v>309</v>
      </c>
      <c r="E8" s="21" t="s">
        <v>68</v>
      </c>
      <c r="F8" s="33" t="s">
        <v>69</v>
      </c>
      <c r="G8" s="57"/>
      <c r="H8" s="54"/>
      <c r="I8" s="68"/>
      <c r="J8" s="57">
        <f t="shared" si="0"/>
        <v>0</v>
      </c>
      <c r="K8" s="57"/>
      <c r="L8" s="57"/>
      <c r="M8" s="57"/>
    </row>
    <row r="9" spans="1:25">
      <c r="A9" s="64">
        <v>43556</v>
      </c>
      <c r="B9" s="21" t="s">
        <v>364</v>
      </c>
      <c r="C9" s="105"/>
      <c r="D9" s="21" t="s">
        <v>72</v>
      </c>
      <c r="E9" s="21" t="s">
        <v>278</v>
      </c>
      <c r="F9" s="33" t="s">
        <v>302</v>
      </c>
      <c r="G9" s="57"/>
      <c r="H9" s="54"/>
      <c r="I9" s="67"/>
      <c r="J9" s="57">
        <f t="shared" si="0"/>
        <v>0</v>
      </c>
      <c r="K9" s="57"/>
      <c r="L9" s="57"/>
      <c r="M9" s="57"/>
    </row>
    <row r="10" spans="1:25">
      <c r="A10" s="64">
        <v>43556</v>
      </c>
      <c r="B10" s="21" t="s">
        <v>364</v>
      </c>
      <c r="C10" s="105"/>
      <c r="D10" s="21" t="s">
        <v>272</v>
      </c>
      <c r="E10" s="21" t="s">
        <v>68</v>
      </c>
      <c r="F10" s="33" t="s">
        <v>69</v>
      </c>
      <c r="G10" s="57"/>
      <c r="H10" s="54"/>
      <c r="I10" s="68"/>
      <c r="J10" s="57">
        <f t="shared" si="0"/>
        <v>0</v>
      </c>
      <c r="K10" s="57"/>
      <c r="L10" s="57"/>
      <c r="M10" s="57"/>
    </row>
    <row r="11" spans="1:25">
      <c r="A11" s="64">
        <v>43556</v>
      </c>
      <c r="B11" s="21" t="s">
        <v>364</v>
      </c>
      <c r="C11" s="105"/>
      <c r="D11" s="21" t="s">
        <v>272</v>
      </c>
      <c r="E11" s="21" t="s">
        <v>68</v>
      </c>
      <c r="F11" s="33" t="s">
        <v>303</v>
      </c>
      <c r="G11" s="57"/>
      <c r="H11" s="54"/>
      <c r="I11" s="68"/>
      <c r="J11" s="57">
        <f t="shared" si="0"/>
        <v>0</v>
      </c>
      <c r="K11" s="57"/>
      <c r="L11" s="57"/>
      <c r="M11" s="57"/>
    </row>
    <row r="12" spans="1:25">
      <c r="A12" s="64">
        <v>43556</v>
      </c>
      <c r="B12" s="21" t="s">
        <v>364</v>
      </c>
      <c r="C12" s="105"/>
      <c r="D12" s="21" t="s">
        <v>45</v>
      </c>
      <c r="E12" s="21" t="s">
        <v>278</v>
      </c>
      <c r="F12" s="33" t="s">
        <v>302</v>
      </c>
      <c r="G12" s="57"/>
      <c r="H12" s="54"/>
      <c r="I12" s="68"/>
      <c r="J12" s="57">
        <f t="shared" si="0"/>
        <v>0</v>
      </c>
      <c r="K12" s="57">
        <f>(J12+J9+J32+J15)*0.2*N2</f>
        <v>0</v>
      </c>
      <c r="L12" s="57"/>
      <c r="M12" s="57"/>
    </row>
    <row r="13" spans="1:25">
      <c r="A13" s="64">
        <v>43556</v>
      </c>
      <c r="B13" s="21" t="s">
        <v>364</v>
      </c>
      <c r="C13" s="105"/>
      <c r="D13" s="21" t="s">
        <v>70</v>
      </c>
      <c r="E13" s="21" t="s">
        <v>238</v>
      </c>
      <c r="F13" s="33" t="s">
        <v>239</v>
      </c>
      <c r="G13" s="57"/>
      <c r="H13" s="54"/>
      <c r="I13" s="67"/>
      <c r="J13" s="57">
        <f t="shared" si="0"/>
        <v>0</v>
      </c>
      <c r="K13" s="57"/>
      <c r="L13" s="57"/>
      <c r="M13" s="57"/>
    </row>
    <row r="14" spans="1:25">
      <c r="A14" s="64">
        <v>43556</v>
      </c>
      <c r="B14" s="21" t="s">
        <v>364</v>
      </c>
      <c r="C14" s="105"/>
      <c r="D14" s="21" t="s">
        <v>70</v>
      </c>
      <c r="E14" s="21" t="s">
        <v>238</v>
      </c>
      <c r="F14" s="33" t="s">
        <v>317</v>
      </c>
      <c r="G14" s="57"/>
      <c r="H14" s="54"/>
      <c r="I14" s="67"/>
      <c r="J14" s="57">
        <f t="shared" si="0"/>
        <v>0</v>
      </c>
      <c r="K14" s="57"/>
      <c r="L14" s="57"/>
      <c r="M14" s="57"/>
    </row>
    <row r="15" spans="1:25">
      <c r="A15" s="64">
        <v>43556</v>
      </c>
      <c r="B15" s="21" t="s">
        <v>364</v>
      </c>
      <c r="C15" s="105"/>
      <c r="D15" s="21" t="s">
        <v>318</v>
      </c>
      <c r="E15" s="21" t="s">
        <v>278</v>
      </c>
      <c r="F15" s="33" t="s">
        <v>302</v>
      </c>
      <c r="G15" s="57"/>
      <c r="H15" s="54"/>
      <c r="I15" s="68"/>
      <c r="J15" s="57">
        <f t="shared" si="0"/>
        <v>0</v>
      </c>
      <c r="K15" s="57"/>
      <c r="L15" s="57"/>
      <c r="M15" s="57"/>
    </row>
    <row r="16" spans="1:25">
      <c r="A16" s="64">
        <v>43556</v>
      </c>
      <c r="B16" s="21" t="s">
        <v>364</v>
      </c>
      <c r="C16" s="105"/>
      <c r="D16" s="21" t="s">
        <v>51</v>
      </c>
      <c r="E16" s="21" t="s">
        <v>238</v>
      </c>
      <c r="F16" s="33" t="s">
        <v>239</v>
      </c>
      <c r="G16" s="57"/>
      <c r="H16" s="54"/>
      <c r="I16" s="67"/>
      <c r="J16" s="57">
        <f t="shared" si="0"/>
        <v>0</v>
      </c>
      <c r="K16" s="57"/>
      <c r="L16" s="57"/>
      <c r="M16" s="57"/>
    </row>
    <row r="17" spans="1:13">
      <c r="A17" s="64">
        <v>43556</v>
      </c>
      <c r="B17" s="21" t="s">
        <v>364</v>
      </c>
      <c r="C17" s="105"/>
      <c r="D17" s="21" t="s">
        <v>51</v>
      </c>
      <c r="E17" s="21" t="s">
        <v>238</v>
      </c>
      <c r="F17" s="33" t="s">
        <v>317</v>
      </c>
      <c r="G17" s="57"/>
      <c r="H17" s="54"/>
      <c r="I17" s="68"/>
      <c r="J17" s="57">
        <f t="shared" si="0"/>
        <v>0</v>
      </c>
      <c r="K17" s="57"/>
      <c r="L17" s="57"/>
      <c r="M17" s="57"/>
    </row>
    <row r="18" spans="1:13">
      <c r="A18" s="64">
        <v>43556</v>
      </c>
      <c r="B18" s="21" t="s">
        <v>364</v>
      </c>
      <c r="C18" s="105"/>
      <c r="D18" s="75" t="s">
        <v>60</v>
      </c>
      <c r="E18" s="75" t="s">
        <v>365</v>
      </c>
      <c r="F18" s="75" t="s">
        <v>366</v>
      </c>
      <c r="G18" s="76"/>
      <c r="H18" s="77"/>
      <c r="I18" s="68"/>
      <c r="J18" s="57">
        <f t="shared" si="0"/>
        <v>0</v>
      </c>
      <c r="K18" s="57"/>
      <c r="L18" s="57"/>
      <c r="M18" s="57"/>
    </row>
    <row r="19" spans="1:13">
      <c r="A19" s="64">
        <v>43556</v>
      </c>
      <c r="B19" s="21" t="s">
        <v>364</v>
      </c>
      <c r="C19" s="105"/>
      <c r="D19" s="21" t="s">
        <v>31</v>
      </c>
      <c r="E19" s="21" t="s">
        <v>238</v>
      </c>
      <c r="F19" s="33" t="s">
        <v>239</v>
      </c>
      <c r="G19" s="57"/>
      <c r="H19" s="54"/>
      <c r="I19" s="67"/>
      <c r="J19" s="57">
        <f t="shared" si="0"/>
        <v>0</v>
      </c>
      <c r="K19" s="57"/>
      <c r="L19" s="57"/>
      <c r="M19" s="57"/>
    </row>
    <row r="20" spans="1:13">
      <c r="A20" s="64">
        <v>43556</v>
      </c>
      <c r="B20" s="21" t="s">
        <v>364</v>
      </c>
      <c r="C20" s="105"/>
      <c r="D20" s="21" t="s">
        <v>31</v>
      </c>
      <c r="E20" s="21" t="s">
        <v>238</v>
      </c>
      <c r="F20" s="33" t="s">
        <v>317</v>
      </c>
      <c r="G20" s="57"/>
      <c r="H20" s="54"/>
      <c r="I20" s="67"/>
      <c r="J20" s="57">
        <f t="shared" si="0"/>
        <v>0</v>
      </c>
      <c r="K20" s="57"/>
      <c r="L20" s="57"/>
      <c r="M20" s="57"/>
    </row>
    <row r="21" spans="1:13">
      <c r="A21" s="64">
        <v>43556</v>
      </c>
      <c r="B21" s="21" t="s">
        <v>364</v>
      </c>
      <c r="C21" s="105"/>
      <c r="D21" s="21" t="s">
        <v>78</v>
      </c>
      <c r="E21" s="21" t="s">
        <v>238</v>
      </c>
      <c r="F21" s="33" t="s">
        <v>239</v>
      </c>
      <c r="G21" s="57"/>
      <c r="H21" s="54"/>
      <c r="I21" s="68"/>
      <c r="J21" s="57">
        <f t="shared" si="0"/>
        <v>0</v>
      </c>
      <c r="K21" s="57"/>
      <c r="L21" s="57"/>
      <c r="M21" s="57"/>
    </row>
    <row r="22" spans="1:13">
      <c r="A22" s="64">
        <v>43556</v>
      </c>
      <c r="B22" s="21" t="s">
        <v>364</v>
      </c>
      <c r="C22" s="105"/>
      <c r="D22" s="21" t="s">
        <v>78</v>
      </c>
      <c r="E22" s="21" t="s">
        <v>238</v>
      </c>
      <c r="F22" s="33" t="s">
        <v>316</v>
      </c>
      <c r="G22" s="57"/>
      <c r="H22" s="54"/>
      <c r="I22" s="68"/>
      <c r="J22" s="57">
        <f t="shared" si="0"/>
        <v>0</v>
      </c>
      <c r="K22" s="57"/>
      <c r="L22" s="57"/>
      <c r="M22" s="57"/>
    </row>
    <row r="23" spans="1:13">
      <c r="A23" s="64">
        <v>43556</v>
      </c>
      <c r="B23" s="21" t="s">
        <v>364</v>
      </c>
      <c r="C23" s="105"/>
      <c r="D23" s="21" t="s">
        <v>78</v>
      </c>
      <c r="E23" s="21" t="s">
        <v>238</v>
      </c>
      <c r="F23" s="33" t="s">
        <v>317</v>
      </c>
      <c r="G23" s="57"/>
      <c r="H23" s="54"/>
      <c r="I23" s="68"/>
      <c r="J23" s="57">
        <f t="shared" si="0"/>
        <v>0</v>
      </c>
      <c r="K23" s="57"/>
      <c r="L23" s="57"/>
      <c r="M23" s="57"/>
    </row>
    <row r="24" spans="1:13">
      <c r="A24" s="64">
        <v>43556</v>
      </c>
      <c r="B24" s="21" t="s">
        <v>364</v>
      </c>
      <c r="C24" s="105"/>
      <c r="D24" s="21" t="s">
        <v>61</v>
      </c>
      <c r="E24" s="21" t="s">
        <v>238</v>
      </c>
      <c r="F24" s="33" t="s">
        <v>239</v>
      </c>
      <c r="G24" s="57"/>
      <c r="H24" s="54"/>
      <c r="I24" s="67"/>
      <c r="J24" s="57">
        <f t="shared" si="0"/>
        <v>0</v>
      </c>
      <c r="K24" s="57">
        <f>(J24+J21+J22+J23+J25+J16+J17+J13+J14+J19+J20)*0.05*N2</f>
        <v>0</v>
      </c>
      <c r="L24" s="57">
        <f>K24/0.05*0.25</f>
        <v>0</v>
      </c>
      <c r="M24" s="57">
        <f>L24-K24</f>
        <v>0</v>
      </c>
    </row>
    <row r="25" spans="1:13">
      <c r="A25" s="64">
        <v>43556</v>
      </c>
      <c r="B25" s="21" t="s">
        <v>364</v>
      </c>
      <c r="C25" s="105"/>
      <c r="D25" s="21" t="s">
        <v>61</v>
      </c>
      <c r="E25" s="21" t="s">
        <v>238</v>
      </c>
      <c r="F25" s="33" t="s">
        <v>317</v>
      </c>
      <c r="G25" s="57"/>
      <c r="H25" s="54"/>
      <c r="I25" s="67"/>
      <c r="J25" s="57">
        <f t="shared" si="0"/>
        <v>0</v>
      </c>
      <c r="K25" s="57"/>
      <c r="L25" s="57"/>
      <c r="M25" s="57"/>
    </row>
    <row r="26" spans="1:13">
      <c r="A26" s="64">
        <v>43556</v>
      </c>
      <c r="B26" s="21" t="s">
        <v>364</v>
      </c>
      <c r="C26" s="105"/>
      <c r="D26" s="75" t="s">
        <v>32</v>
      </c>
      <c r="E26" s="75" t="s">
        <v>310</v>
      </c>
      <c r="F26" s="75" t="s">
        <v>311</v>
      </c>
      <c r="G26" s="76"/>
      <c r="H26" s="77"/>
      <c r="I26" s="68"/>
      <c r="J26" s="57">
        <f t="shared" si="0"/>
        <v>0</v>
      </c>
      <c r="K26" s="57">
        <f>(J26+J27+J28+J29+J30+J31)*0.25*N2</f>
        <v>0</v>
      </c>
      <c r="L26" s="57"/>
      <c r="M26" s="57"/>
    </row>
    <row r="27" spans="1:13">
      <c r="A27" s="64">
        <v>43556</v>
      </c>
      <c r="B27" s="21" t="s">
        <v>364</v>
      </c>
      <c r="C27" s="105"/>
      <c r="D27" s="75" t="s">
        <v>32</v>
      </c>
      <c r="E27" s="75" t="s">
        <v>310</v>
      </c>
      <c r="F27" s="75" t="s">
        <v>312</v>
      </c>
      <c r="G27" s="76"/>
      <c r="H27" s="77"/>
      <c r="I27" s="68"/>
      <c r="J27" s="57">
        <f t="shared" si="0"/>
        <v>0</v>
      </c>
      <c r="K27" s="57"/>
      <c r="L27" s="57"/>
      <c r="M27" s="57"/>
    </row>
    <row r="28" spans="1:13">
      <c r="A28" s="64">
        <v>43556</v>
      </c>
      <c r="B28" s="21" t="s">
        <v>364</v>
      </c>
      <c r="C28" s="105"/>
      <c r="D28" s="75" t="s">
        <v>32</v>
      </c>
      <c r="E28" s="75" t="s">
        <v>310</v>
      </c>
      <c r="F28" s="75" t="s">
        <v>313</v>
      </c>
      <c r="G28" s="76"/>
      <c r="H28" s="77"/>
      <c r="I28" s="67"/>
      <c r="J28" s="57">
        <f t="shared" si="0"/>
        <v>0</v>
      </c>
      <c r="K28" s="57"/>
      <c r="L28" s="57"/>
      <c r="M28" s="57"/>
    </row>
    <row r="29" spans="1:13">
      <c r="A29" s="64">
        <v>43556</v>
      </c>
      <c r="B29" s="21" t="s">
        <v>364</v>
      </c>
      <c r="C29" s="105"/>
      <c r="D29" s="75" t="s">
        <v>38</v>
      </c>
      <c r="E29" s="75" t="s">
        <v>310</v>
      </c>
      <c r="F29" s="75" t="s">
        <v>311</v>
      </c>
      <c r="G29" s="76"/>
      <c r="H29" s="77"/>
      <c r="I29" s="68"/>
      <c r="J29" s="57">
        <f t="shared" si="0"/>
        <v>0</v>
      </c>
      <c r="K29" s="57"/>
      <c r="L29" s="57"/>
      <c r="M29" s="57"/>
    </row>
    <row r="30" spans="1:13">
      <c r="A30" s="64">
        <v>43556</v>
      </c>
      <c r="B30" s="21" t="s">
        <v>364</v>
      </c>
      <c r="C30" s="105"/>
      <c r="D30" s="75" t="s">
        <v>38</v>
      </c>
      <c r="E30" s="75" t="s">
        <v>310</v>
      </c>
      <c r="F30" s="75" t="s">
        <v>312</v>
      </c>
      <c r="G30" s="76"/>
      <c r="H30" s="77"/>
      <c r="I30" s="68"/>
      <c r="J30" s="57">
        <f t="shared" si="0"/>
        <v>0</v>
      </c>
      <c r="K30" s="57"/>
      <c r="L30" s="57"/>
      <c r="M30" s="57"/>
    </row>
    <row r="31" spans="1:13">
      <c r="A31" s="64">
        <v>43556</v>
      </c>
      <c r="B31" s="21" t="s">
        <v>364</v>
      </c>
      <c r="C31" s="105"/>
      <c r="D31" s="75" t="s">
        <v>38</v>
      </c>
      <c r="E31" s="75" t="s">
        <v>310</v>
      </c>
      <c r="F31" s="75" t="s">
        <v>313</v>
      </c>
      <c r="G31" s="76"/>
      <c r="H31" s="77"/>
      <c r="I31" s="67"/>
      <c r="J31" s="57">
        <f t="shared" si="0"/>
        <v>0</v>
      </c>
      <c r="K31" s="57"/>
      <c r="L31" s="57"/>
      <c r="M31" s="57"/>
    </row>
    <row r="32" spans="1:13">
      <c r="A32" s="64">
        <v>43556</v>
      </c>
      <c r="B32" s="21" t="s">
        <v>364</v>
      </c>
      <c r="C32" s="105"/>
      <c r="D32" s="21" t="s">
        <v>77</v>
      </c>
      <c r="E32" s="21" t="s">
        <v>278</v>
      </c>
      <c r="F32" s="33" t="s">
        <v>302</v>
      </c>
      <c r="G32" s="57"/>
      <c r="H32" s="54"/>
      <c r="I32" s="68"/>
      <c r="J32" s="57">
        <f t="shared" si="0"/>
        <v>0</v>
      </c>
      <c r="K32" s="57"/>
      <c r="L32" s="57"/>
      <c r="M32" s="57"/>
    </row>
    <row r="33" spans="1:13" ht="15" customHeight="1">
      <c r="A33" s="64">
        <v>43556</v>
      </c>
      <c r="B33" s="21" t="s">
        <v>364</v>
      </c>
      <c r="C33" s="105"/>
      <c r="D33" s="21" t="s">
        <v>56</v>
      </c>
      <c r="E33" s="21" t="s">
        <v>68</v>
      </c>
      <c r="F33" s="33" t="s">
        <v>69</v>
      </c>
      <c r="G33" s="57"/>
      <c r="H33" s="54"/>
      <c r="I33" s="68"/>
      <c r="J33" s="57">
        <f t="shared" si="0"/>
        <v>0</v>
      </c>
      <c r="K33" s="57"/>
      <c r="L33" s="57"/>
      <c r="M33" s="57"/>
    </row>
    <row r="34" spans="1:13">
      <c r="A34" s="64">
        <v>43556</v>
      </c>
      <c r="B34" s="21" t="s">
        <v>364</v>
      </c>
      <c r="C34" s="105" t="s">
        <v>83</v>
      </c>
      <c r="D34" s="21" t="s">
        <v>367</v>
      </c>
      <c r="E34" s="21" t="s">
        <v>99</v>
      </c>
      <c r="F34" s="33" t="s">
        <v>100</v>
      </c>
      <c r="G34" s="57"/>
      <c r="H34" s="54"/>
      <c r="I34" s="67"/>
      <c r="J34" s="57">
        <f t="shared" si="0"/>
        <v>0</v>
      </c>
      <c r="K34" s="57">
        <f>(J34+J35+J36+J37)*0.03*N2</f>
        <v>0</v>
      </c>
      <c r="L34" s="57">
        <f>K34/0.03*0.25</f>
        <v>0</v>
      </c>
      <c r="M34" s="57">
        <f>L34-K34</f>
        <v>0</v>
      </c>
    </row>
    <row r="35" spans="1:13">
      <c r="A35" s="64">
        <v>43556</v>
      </c>
      <c r="B35" s="21" t="s">
        <v>364</v>
      </c>
      <c r="C35" s="105"/>
      <c r="D35" s="21" t="s">
        <v>367</v>
      </c>
      <c r="E35" s="21" t="s">
        <v>99</v>
      </c>
      <c r="F35" s="33" t="s">
        <v>101</v>
      </c>
      <c r="G35" s="57"/>
      <c r="H35" s="54"/>
      <c r="I35" s="68"/>
      <c r="J35" s="57">
        <f t="shared" si="0"/>
        <v>0</v>
      </c>
      <c r="K35" s="57"/>
      <c r="L35" s="57"/>
      <c r="M35" s="57"/>
    </row>
    <row r="36" spans="1:13">
      <c r="A36" s="64">
        <v>43556</v>
      </c>
      <c r="B36" s="21" t="s">
        <v>364</v>
      </c>
      <c r="C36" s="105"/>
      <c r="D36" s="21" t="s">
        <v>320</v>
      </c>
      <c r="E36" s="21" t="s">
        <v>99</v>
      </c>
      <c r="F36" s="33" t="s">
        <v>100</v>
      </c>
      <c r="G36" s="57"/>
      <c r="H36" s="54"/>
      <c r="I36" s="67"/>
      <c r="J36" s="57">
        <f t="shared" si="0"/>
        <v>0</v>
      </c>
      <c r="K36" s="57"/>
      <c r="L36" s="57"/>
      <c r="M36" s="57"/>
    </row>
    <row r="37" spans="1:13">
      <c r="A37" s="64"/>
      <c r="C37" s="105"/>
      <c r="D37" s="21" t="s">
        <v>320</v>
      </c>
      <c r="E37" s="21" t="s">
        <v>99</v>
      </c>
      <c r="F37" s="33" t="s">
        <v>101</v>
      </c>
      <c r="G37" s="57"/>
      <c r="H37" s="54"/>
      <c r="I37" s="68"/>
      <c r="J37" s="57">
        <f t="shared" si="0"/>
        <v>0</v>
      </c>
      <c r="K37" s="57"/>
      <c r="L37" s="57"/>
      <c r="M37" s="57"/>
    </row>
    <row r="38" spans="1:13">
      <c r="A38" s="64">
        <v>43556</v>
      </c>
      <c r="B38" s="21" t="s">
        <v>364</v>
      </c>
      <c r="C38" s="105"/>
      <c r="D38" s="21" t="s">
        <v>368</v>
      </c>
      <c r="E38" s="21" t="s">
        <v>369</v>
      </c>
      <c r="F38" s="33" t="s">
        <v>370</v>
      </c>
      <c r="G38" s="57"/>
      <c r="H38" s="54"/>
      <c r="I38" s="68"/>
      <c r="J38" s="57">
        <f t="shared" si="0"/>
        <v>0</v>
      </c>
      <c r="K38" s="57">
        <f>J38*0.03*N2</f>
        <v>0</v>
      </c>
      <c r="L38" s="57">
        <f>K38/0.03*0.25</f>
        <v>0</v>
      </c>
      <c r="M38" s="57">
        <f>L38-K38</f>
        <v>0</v>
      </c>
    </row>
    <row r="39" spans="1:13">
      <c r="A39" s="64">
        <v>43556</v>
      </c>
      <c r="B39" s="21" t="s">
        <v>364</v>
      </c>
      <c r="C39" s="105" t="s">
        <v>106</v>
      </c>
      <c r="D39" s="21" t="s">
        <v>127</v>
      </c>
      <c r="E39" s="21" t="s">
        <v>117</v>
      </c>
      <c r="F39" s="33" t="s">
        <v>118</v>
      </c>
      <c r="G39" s="57"/>
      <c r="H39" s="54"/>
      <c r="I39" s="67"/>
      <c r="J39" s="57">
        <f t="shared" si="0"/>
        <v>0</v>
      </c>
      <c r="K39" s="57">
        <f>(J39+J40+J42+J41)*0.15*N2</f>
        <v>0</v>
      </c>
      <c r="L39" s="57"/>
      <c r="M39" s="57"/>
    </row>
    <row r="40" spans="1:13">
      <c r="A40" s="64">
        <v>43556</v>
      </c>
      <c r="B40" s="21" t="s">
        <v>364</v>
      </c>
      <c r="C40" s="105"/>
      <c r="D40" s="21" t="s">
        <v>127</v>
      </c>
      <c r="E40" s="21" t="s">
        <v>117</v>
      </c>
      <c r="F40" s="33" t="s">
        <v>119</v>
      </c>
      <c r="G40" s="57"/>
      <c r="H40" s="54"/>
      <c r="I40" s="68"/>
      <c r="J40" s="57">
        <f t="shared" si="0"/>
        <v>0</v>
      </c>
      <c r="K40" s="57"/>
      <c r="L40" s="57"/>
      <c r="M40" s="57"/>
    </row>
    <row r="41" spans="1:13">
      <c r="A41" s="64">
        <v>43556</v>
      </c>
      <c r="B41" s="21" t="s">
        <v>364</v>
      </c>
      <c r="C41" s="105"/>
      <c r="D41" s="21" t="s">
        <v>116</v>
      </c>
      <c r="E41" s="21" t="s">
        <v>117</v>
      </c>
      <c r="F41" s="33" t="s">
        <v>118</v>
      </c>
      <c r="G41" s="57"/>
      <c r="H41" s="54"/>
      <c r="I41" s="67"/>
      <c r="J41" s="57">
        <f t="shared" si="0"/>
        <v>0</v>
      </c>
      <c r="K41" s="57"/>
      <c r="L41" s="57"/>
      <c r="M41" s="57"/>
    </row>
    <row r="42" spans="1:13">
      <c r="A42" s="64">
        <v>43556</v>
      </c>
      <c r="B42" s="21" t="s">
        <v>364</v>
      </c>
      <c r="C42" s="105"/>
      <c r="D42" s="21" t="s">
        <v>116</v>
      </c>
      <c r="E42" s="21" t="s">
        <v>117</v>
      </c>
      <c r="F42" s="33" t="s">
        <v>119</v>
      </c>
      <c r="G42" s="57"/>
      <c r="H42" s="54"/>
      <c r="I42" s="67"/>
      <c r="J42" s="57">
        <f t="shared" si="0"/>
        <v>0</v>
      </c>
      <c r="K42" s="57"/>
      <c r="L42" s="57"/>
      <c r="M42" s="57"/>
    </row>
    <row r="43" spans="1:13">
      <c r="A43" s="64">
        <v>43556</v>
      </c>
      <c r="B43" s="21" t="s">
        <v>364</v>
      </c>
      <c r="C43" s="105"/>
      <c r="D43" s="21" t="s">
        <v>126</v>
      </c>
      <c r="E43" s="21" t="s">
        <v>113</v>
      </c>
      <c r="F43" s="33" t="s">
        <v>114</v>
      </c>
      <c r="G43" s="57"/>
      <c r="H43" s="54"/>
      <c r="I43" s="67"/>
      <c r="J43" s="57">
        <f t="shared" si="0"/>
        <v>0</v>
      </c>
      <c r="K43" s="57"/>
      <c r="L43" s="57">
        <f>K43/0.03*0.25</f>
        <v>0</v>
      </c>
      <c r="M43" s="57">
        <f t="shared" ref="M43:M47" si="2">L43-K43</f>
        <v>0</v>
      </c>
    </row>
    <row r="44" spans="1:13">
      <c r="A44" s="64">
        <v>43556</v>
      </c>
      <c r="B44" s="21" t="s">
        <v>364</v>
      </c>
      <c r="C44" s="105"/>
      <c r="D44" s="21" t="s">
        <v>126</v>
      </c>
      <c r="E44" s="21" t="s">
        <v>113</v>
      </c>
      <c r="F44" s="33" t="s">
        <v>115</v>
      </c>
      <c r="G44" s="57"/>
      <c r="H44" s="54"/>
      <c r="I44" s="67"/>
      <c r="J44" s="57">
        <f t="shared" si="0"/>
        <v>0</v>
      </c>
      <c r="K44" s="57"/>
      <c r="L44" s="57"/>
      <c r="M44" s="57"/>
    </row>
    <row r="45" spans="1:13">
      <c r="A45" s="64">
        <v>43556</v>
      </c>
      <c r="B45" s="21" t="s">
        <v>364</v>
      </c>
      <c r="C45" s="105"/>
      <c r="D45" s="21" t="s">
        <v>133</v>
      </c>
      <c r="E45" s="21" t="s">
        <v>129</v>
      </c>
      <c r="F45" s="33" t="s">
        <v>130</v>
      </c>
      <c r="G45" s="57"/>
      <c r="H45" s="54"/>
      <c r="I45" s="67"/>
      <c r="J45" s="57">
        <f t="shared" si="0"/>
        <v>0</v>
      </c>
      <c r="K45" s="57">
        <f>(J45+J46+J55+J56)*0.05*N2</f>
        <v>0</v>
      </c>
      <c r="L45" s="57">
        <f>K45/0.05*0.25</f>
        <v>0</v>
      </c>
      <c r="M45" s="57">
        <f t="shared" si="2"/>
        <v>0</v>
      </c>
    </row>
    <row r="46" spans="1:13">
      <c r="A46" s="64">
        <v>43556</v>
      </c>
      <c r="B46" s="21" t="s">
        <v>364</v>
      </c>
      <c r="C46" s="105"/>
      <c r="D46" s="21" t="s">
        <v>133</v>
      </c>
      <c r="E46" s="21" t="s">
        <v>129</v>
      </c>
      <c r="F46" s="33" t="s">
        <v>131</v>
      </c>
      <c r="G46" s="57"/>
      <c r="H46" s="54"/>
      <c r="I46" s="68"/>
      <c r="J46" s="57">
        <f t="shared" si="0"/>
        <v>0</v>
      </c>
      <c r="K46" s="57"/>
      <c r="L46" s="57"/>
      <c r="M46" s="57"/>
    </row>
    <row r="47" spans="1:13">
      <c r="A47" s="64">
        <v>43556</v>
      </c>
      <c r="B47" s="21" t="s">
        <v>364</v>
      </c>
      <c r="C47" s="105"/>
      <c r="D47" s="21" t="s">
        <v>137</v>
      </c>
      <c r="E47" s="21" t="s">
        <v>113</v>
      </c>
      <c r="F47" s="33" t="s">
        <v>135</v>
      </c>
      <c r="G47" s="57"/>
      <c r="H47" s="54"/>
      <c r="I47" s="67"/>
      <c r="J47" s="57">
        <f t="shared" si="0"/>
        <v>0</v>
      </c>
      <c r="K47" s="57"/>
      <c r="L47" s="57">
        <f>K47/0.03*0.25</f>
        <v>0</v>
      </c>
      <c r="M47" s="57">
        <f t="shared" si="2"/>
        <v>0</v>
      </c>
    </row>
    <row r="48" spans="1:13">
      <c r="A48" s="64">
        <v>43556</v>
      </c>
      <c r="B48" s="21" t="s">
        <v>364</v>
      </c>
      <c r="C48" s="105"/>
      <c r="D48" s="21" t="s">
        <v>137</v>
      </c>
      <c r="E48" s="21" t="s">
        <v>113</v>
      </c>
      <c r="F48" s="33" t="s">
        <v>136</v>
      </c>
      <c r="G48" s="57"/>
      <c r="H48" s="54"/>
      <c r="I48" s="68"/>
      <c r="J48" s="57">
        <f t="shared" si="0"/>
        <v>0</v>
      </c>
      <c r="K48" s="57"/>
      <c r="L48" s="57"/>
      <c r="M48" s="57"/>
    </row>
    <row r="49" spans="1:13">
      <c r="A49" s="64">
        <v>43556</v>
      </c>
      <c r="B49" s="21" t="s">
        <v>364</v>
      </c>
      <c r="C49" s="105"/>
      <c r="D49" s="21" t="s">
        <v>134</v>
      </c>
      <c r="E49" s="21" t="s">
        <v>113</v>
      </c>
      <c r="F49" s="33" t="s">
        <v>135</v>
      </c>
      <c r="G49" s="57"/>
      <c r="H49" s="54"/>
      <c r="I49" s="67"/>
      <c r="J49" s="57">
        <f t="shared" si="0"/>
        <v>0</v>
      </c>
      <c r="K49" s="57"/>
      <c r="L49" s="57"/>
      <c r="M49" s="57"/>
    </row>
    <row r="50" spans="1:13">
      <c r="A50" s="64"/>
      <c r="C50" s="105"/>
      <c r="D50" s="21" t="s">
        <v>134</v>
      </c>
      <c r="E50" s="21" t="s">
        <v>113</v>
      </c>
      <c r="F50" s="33" t="s">
        <v>136</v>
      </c>
      <c r="G50" s="57"/>
      <c r="H50" s="54"/>
      <c r="I50" s="68"/>
      <c r="J50" s="57">
        <f t="shared" si="0"/>
        <v>0</v>
      </c>
      <c r="K50" s="57"/>
      <c r="L50" s="57"/>
      <c r="M50" s="57"/>
    </row>
    <row r="51" spans="1:13">
      <c r="A51" s="64">
        <v>43556</v>
      </c>
      <c r="B51" s="21" t="s">
        <v>364</v>
      </c>
      <c r="C51" s="105"/>
      <c r="D51" s="21" t="s">
        <v>138</v>
      </c>
      <c r="E51" s="21" t="s">
        <v>108</v>
      </c>
      <c r="F51" s="33" t="s">
        <v>109</v>
      </c>
      <c r="G51" s="57"/>
      <c r="H51" s="54"/>
      <c r="I51" s="67"/>
      <c r="J51" s="57">
        <f t="shared" si="0"/>
        <v>0</v>
      </c>
      <c r="K51" s="57">
        <f>(J51+J52+J57+J58+J63+J64+J67+J68)*0.03*N2</f>
        <v>0</v>
      </c>
      <c r="L51" s="57">
        <f>K51/0.03*0.25</f>
        <v>0</v>
      </c>
      <c r="M51" s="57">
        <f t="shared" ref="M51:M56" si="3">L51-K51</f>
        <v>0</v>
      </c>
    </row>
    <row r="52" spans="1:13">
      <c r="A52" s="64">
        <v>43556</v>
      </c>
      <c r="B52" s="21" t="s">
        <v>364</v>
      </c>
      <c r="C52" s="105"/>
      <c r="D52" s="21" t="s">
        <v>138</v>
      </c>
      <c r="E52" s="21" t="s">
        <v>108</v>
      </c>
      <c r="F52" s="33" t="s">
        <v>110</v>
      </c>
      <c r="G52" s="57"/>
      <c r="H52" s="54"/>
      <c r="I52" s="67"/>
      <c r="J52" s="57">
        <f t="shared" si="0"/>
        <v>0</v>
      </c>
      <c r="K52" s="57"/>
      <c r="L52" s="57"/>
      <c r="M52" s="57"/>
    </row>
    <row r="53" spans="1:13">
      <c r="A53" s="64">
        <v>43556</v>
      </c>
      <c r="B53" s="21" t="s">
        <v>364</v>
      </c>
      <c r="C53" s="105"/>
      <c r="D53" s="21" t="s">
        <v>112</v>
      </c>
      <c r="E53" s="21" t="s">
        <v>113</v>
      </c>
      <c r="F53" s="33" t="s">
        <v>114</v>
      </c>
      <c r="G53" s="57"/>
      <c r="H53" s="54"/>
      <c r="I53" s="67"/>
      <c r="J53" s="57">
        <f t="shared" si="0"/>
        <v>0</v>
      </c>
      <c r="K53" s="57"/>
      <c r="L53" s="57">
        <f>K53/0.05*0.25</f>
        <v>0</v>
      </c>
      <c r="M53" s="57">
        <f t="shared" si="3"/>
        <v>0</v>
      </c>
    </row>
    <row r="54" spans="1:13">
      <c r="A54" s="64">
        <v>43556</v>
      </c>
      <c r="B54" s="21" t="s">
        <v>364</v>
      </c>
      <c r="C54" s="105"/>
      <c r="D54" s="21" t="s">
        <v>112</v>
      </c>
      <c r="E54" s="21" t="s">
        <v>113</v>
      </c>
      <c r="F54" s="33" t="s">
        <v>115</v>
      </c>
      <c r="G54" s="57"/>
      <c r="H54" s="54"/>
      <c r="I54" s="67"/>
      <c r="J54" s="57">
        <f t="shared" si="0"/>
        <v>0</v>
      </c>
      <c r="K54" s="57"/>
      <c r="L54" s="57"/>
      <c r="M54" s="57"/>
    </row>
    <row r="55" spans="1:13">
      <c r="A55" s="64">
        <v>43556</v>
      </c>
      <c r="B55" s="21" t="s">
        <v>364</v>
      </c>
      <c r="C55" s="105"/>
      <c r="D55" s="21" t="s">
        <v>128</v>
      </c>
      <c r="E55" s="21" t="s">
        <v>129</v>
      </c>
      <c r="F55" s="33" t="s">
        <v>130</v>
      </c>
      <c r="G55" s="57"/>
      <c r="H55" s="54"/>
      <c r="I55" s="67"/>
      <c r="J55" s="57">
        <f t="shared" si="0"/>
        <v>0</v>
      </c>
      <c r="K55" s="57"/>
      <c r="L55" s="57"/>
      <c r="M55" s="57"/>
    </row>
    <row r="56" spans="1:13">
      <c r="A56" s="64">
        <v>43556</v>
      </c>
      <c r="B56" s="21" t="s">
        <v>364</v>
      </c>
      <c r="C56" s="105"/>
      <c r="D56" s="21" t="s">
        <v>128</v>
      </c>
      <c r="E56" s="21" t="s">
        <v>129</v>
      </c>
      <c r="F56" s="33" t="s">
        <v>131</v>
      </c>
      <c r="G56" s="57"/>
      <c r="H56" s="54"/>
      <c r="I56" s="67"/>
      <c r="J56" s="57">
        <f t="shared" si="0"/>
        <v>0</v>
      </c>
      <c r="K56" s="57"/>
      <c r="L56" s="57">
        <f>K56/0.05*0.25</f>
        <v>0</v>
      </c>
      <c r="M56" s="57">
        <f t="shared" si="3"/>
        <v>0</v>
      </c>
    </row>
    <row r="57" spans="1:13">
      <c r="A57" s="64">
        <v>43556</v>
      </c>
      <c r="B57" s="21" t="s">
        <v>364</v>
      </c>
      <c r="C57" s="105"/>
      <c r="D57" s="21" t="s">
        <v>285</v>
      </c>
      <c r="E57" s="21" t="s">
        <v>108</v>
      </c>
      <c r="F57" s="33" t="s">
        <v>109</v>
      </c>
      <c r="G57" s="57"/>
      <c r="H57" s="54"/>
      <c r="I57" s="68"/>
      <c r="J57" s="57">
        <f t="shared" si="0"/>
        <v>0</v>
      </c>
      <c r="K57" s="57"/>
      <c r="L57" s="57"/>
      <c r="M57" s="57"/>
    </row>
    <row r="58" spans="1:13">
      <c r="A58" s="64">
        <v>43556</v>
      </c>
      <c r="B58" s="21" t="s">
        <v>364</v>
      </c>
      <c r="C58" s="105"/>
      <c r="D58" s="21" t="s">
        <v>285</v>
      </c>
      <c r="E58" s="21" t="s">
        <v>108</v>
      </c>
      <c r="F58" s="33" t="s">
        <v>110</v>
      </c>
      <c r="G58" s="57"/>
      <c r="H58" s="54"/>
      <c r="I58" s="68"/>
      <c r="J58" s="57">
        <f t="shared" si="0"/>
        <v>0</v>
      </c>
      <c r="K58" s="57"/>
      <c r="L58" s="57"/>
      <c r="M58" s="57"/>
    </row>
    <row r="59" spans="1:13">
      <c r="A59" s="64">
        <v>43556</v>
      </c>
      <c r="B59" s="21" t="s">
        <v>364</v>
      </c>
      <c r="C59" s="105"/>
      <c r="D59" s="21" t="s">
        <v>120</v>
      </c>
      <c r="E59" s="21" t="s">
        <v>121</v>
      </c>
      <c r="F59" s="33" t="s">
        <v>122</v>
      </c>
      <c r="G59" s="57"/>
      <c r="H59" s="54"/>
      <c r="I59" s="67"/>
      <c r="J59" s="57">
        <f t="shared" si="0"/>
        <v>0</v>
      </c>
      <c r="K59" s="57">
        <f>(J59+J60+J69+J70+J61+J62)*0.05*N2</f>
        <v>0</v>
      </c>
      <c r="L59" s="57">
        <f>K59/0.05*0.25</f>
        <v>0</v>
      </c>
      <c r="M59" s="57">
        <f>L59-K59</f>
        <v>0</v>
      </c>
    </row>
    <row r="60" spans="1:13">
      <c r="A60" s="64">
        <v>43556</v>
      </c>
      <c r="B60" s="21" t="s">
        <v>364</v>
      </c>
      <c r="C60" s="105"/>
      <c r="D60" s="21" t="s">
        <v>120</v>
      </c>
      <c r="E60" s="21" t="s">
        <v>121</v>
      </c>
      <c r="F60" s="33" t="s">
        <v>124</v>
      </c>
      <c r="G60" s="57"/>
      <c r="H60" s="54"/>
      <c r="I60" s="67"/>
      <c r="J60" s="57">
        <f t="shared" si="0"/>
        <v>0</v>
      </c>
      <c r="K60" s="57"/>
      <c r="L60" s="57"/>
      <c r="M60" s="57"/>
    </row>
    <row r="61" spans="1:13">
      <c r="A61" s="64">
        <v>43556</v>
      </c>
      <c r="B61" s="21" t="s">
        <v>364</v>
      </c>
      <c r="C61" s="105"/>
      <c r="D61" s="21" t="s">
        <v>123</v>
      </c>
      <c r="E61" s="21" t="s">
        <v>121</v>
      </c>
      <c r="F61" s="33" t="s">
        <v>122</v>
      </c>
      <c r="G61" s="57"/>
      <c r="H61" s="54"/>
      <c r="I61" s="67"/>
      <c r="J61" s="57">
        <f t="shared" si="0"/>
        <v>0</v>
      </c>
      <c r="K61" s="57"/>
      <c r="L61" s="57"/>
      <c r="M61" s="57"/>
    </row>
    <row r="62" spans="1:13">
      <c r="A62" s="64">
        <v>43556</v>
      </c>
      <c r="B62" s="21" t="s">
        <v>364</v>
      </c>
      <c r="C62" s="105"/>
      <c r="D62" s="21" t="s">
        <v>123</v>
      </c>
      <c r="E62" s="21" t="s">
        <v>121</v>
      </c>
      <c r="F62" s="33" t="s">
        <v>124</v>
      </c>
      <c r="G62" s="57"/>
      <c r="H62" s="54"/>
      <c r="I62" s="67"/>
      <c r="J62" s="57">
        <f t="shared" si="0"/>
        <v>0</v>
      </c>
      <c r="K62" s="57"/>
      <c r="L62" s="57"/>
      <c r="M62" s="57"/>
    </row>
    <row r="63" spans="1:13">
      <c r="A63" s="64">
        <v>43556</v>
      </c>
      <c r="B63" s="21" t="s">
        <v>364</v>
      </c>
      <c r="C63" s="105"/>
      <c r="D63" s="21" t="s">
        <v>107</v>
      </c>
      <c r="E63" s="21" t="s">
        <v>108</v>
      </c>
      <c r="F63" s="33" t="s">
        <v>109</v>
      </c>
      <c r="G63" s="57"/>
      <c r="H63" s="54"/>
      <c r="I63" s="67"/>
      <c r="J63" s="57">
        <f t="shared" si="0"/>
        <v>0</v>
      </c>
      <c r="K63" s="57"/>
      <c r="L63" s="57"/>
      <c r="M63" s="57"/>
    </row>
    <row r="64" spans="1:13">
      <c r="A64" s="64"/>
      <c r="C64" s="105"/>
      <c r="D64" s="21" t="s">
        <v>107</v>
      </c>
      <c r="E64" s="21" t="s">
        <v>108</v>
      </c>
      <c r="F64" s="33" t="s">
        <v>110</v>
      </c>
      <c r="G64" s="57"/>
      <c r="H64" s="54"/>
      <c r="I64" s="67"/>
      <c r="J64" s="57">
        <f t="shared" si="0"/>
        <v>0</v>
      </c>
      <c r="K64" s="57"/>
      <c r="L64" s="57"/>
      <c r="M64" s="57"/>
    </row>
    <row r="65" spans="1:13">
      <c r="A65" s="64">
        <v>43556</v>
      </c>
      <c r="B65" s="21" t="s">
        <v>364</v>
      </c>
      <c r="C65" s="105"/>
      <c r="D65" s="21" t="s">
        <v>280</v>
      </c>
      <c r="E65" s="21" t="s">
        <v>113</v>
      </c>
      <c r="F65" s="33" t="s">
        <v>135</v>
      </c>
      <c r="G65" s="57"/>
      <c r="H65" s="54"/>
      <c r="I65" s="67"/>
      <c r="J65" s="57">
        <f t="shared" si="0"/>
        <v>0</v>
      </c>
      <c r="K65" s="57"/>
      <c r="L65" s="57"/>
      <c r="M65" s="57"/>
    </row>
    <row r="66" spans="1:13">
      <c r="A66" s="64">
        <v>43556</v>
      </c>
      <c r="B66" s="21" t="s">
        <v>364</v>
      </c>
      <c r="C66" s="105"/>
      <c r="D66" s="21" t="s">
        <v>280</v>
      </c>
      <c r="E66" s="21" t="s">
        <v>113</v>
      </c>
      <c r="F66" s="33" t="s">
        <v>136</v>
      </c>
      <c r="G66" s="57"/>
      <c r="H66" s="54"/>
      <c r="I66" s="67"/>
      <c r="J66" s="57">
        <f t="shared" si="0"/>
        <v>0</v>
      </c>
      <c r="K66" s="57"/>
      <c r="L66" s="57"/>
      <c r="M66" s="57"/>
    </row>
    <row r="67" spans="1:13">
      <c r="A67" s="64">
        <v>43556</v>
      </c>
      <c r="B67" s="21" t="s">
        <v>364</v>
      </c>
      <c r="C67" s="105"/>
      <c r="D67" s="21" t="s">
        <v>111</v>
      </c>
      <c r="E67" s="21" t="s">
        <v>108</v>
      </c>
      <c r="F67" s="33" t="s">
        <v>109</v>
      </c>
      <c r="G67" s="57"/>
      <c r="H67" s="54"/>
      <c r="I67" s="67"/>
      <c r="J67" s="57">
        <f t="shared" ref="J67:J122" si="4">(G67*H67)-I67</f>
        <v>0</v>
      </c>
      <c r="K67" s="57"/>
      <c r="L67" s="57"/>
      <c r="M67" s="57"/>
    </row>
    <row r="68" spans="1:13">
      <c r="A68" s="64">
        <v>43556</v>
      </c>
      <c r="B68" s="21" t="s">
        <v>364</v>
      </c>
      <c r="C68" s="105"/>
      <c r="D68" s="21" t="s">
        <v>111</v>
      </c>
      <c r="E68" s="21" t="s">
        <v>108</v>
      </c>
      <c r="F68" s="33" t="s">
        <v>110</v>
      </c>
      <c r="G68" s="57"/>
      <c r="H68" s="54"/>
      <c r="I68" s="67"/>
      <c r="J68" s="57">
        <f t="shared" si="4"/>
        <v>0</v>
      </c>
      <c r="K68" s="57"/>
      <c r="L68" s="57"/>
      <c r="M68" s="57"/>
    </row>
    <row r="69" spans="1:13">
      <c r="A69" s="64">
        <v>43556</v>
      </c>
      <c r="B69" s="21" t="s">
        <v>364</v>
      </c>
      <c r="C69" s="105"/>
      <c r="D69" s="21" t="s">
        <v>125</v>
      </c>
      <c r="E69" s="21" t="s">
        <v>121</v>
      </c>
      <c r="F69" s="33" t="s">
        <v>122</v>
      </c>
      <c r="G69" s="57"/>
      <c r="H69" s="54"/>
      <c r="I69" s="67"/>
      <c r="J69" s="57">
        <f t="shared" si="4"/>
        <v>0</v>
      </c>
      <c r="K69" s="57"/>
      <c r="L69" s="57"/>
      <c r="M69" s="57"/>
    </row>
    <row r="70" spans="1:13">
      <c r="A70" s="64">
        <v>43556</v>
      </c>
      <c r="B70" s="21" t="s">
        <v>364</v>
      </c>
      <c r="C70" s="105"/>
      <c r="D70" s="21" t="s">
        <v>125</v>
      </c>
      <c r="E70" s="21" t="s">
        <v>121</v>
      </c>
      <c r="F70" s="33" t="s">
        <v>124</v>
      </c>
      <c r="G70" s="57"/>
      <c r="H70" s="54"/>
      <c r="I70" s="67"/>
      <c r="J70" s="57">
        <f t="shared" si="4"/>
        <v>0</v>
      </c>
      <c r="K70" s="57"/>
      <c r="L70" s="57"/>
      <c r="M70" s="57"/>
    </row>
    <row r="71" spans="1:13">
      <c r="A71" s="64">
        <v>43556</v>
      </c>
      <c r="B71" s="21" t="s">
        <v>364</v>
      </c>
      <c r="C71" s="105" t="s">
        <v>139</v>
      </c>
      <c r="D71" s="21" t="s">
        <v>140</v>
      </c>
      <c r="E71" s="21" t="s">
        <v>141</v>
      </c>
      <c r="F71" s="33" t="s">
        <v>153</v>
      </c>
      <c r="G71" s="57"/>
      <c r="H71" s="54"/>
      <c r="I71" s="68"/>
      <c r="J71" s="57">
        <f t="shared" si="4"/>
        <v>0</v>
      </c>
      <c r="K71" s="57">
        <f>(J71+J72+J73+J84+J85+J86)*0.03*N2</f>
        <v>0</v>
      </c>
      <c r="L71" s="57">
        <f>K71/0.03*0.25</f>
        <v>0</v>
      </c>
      <c r="M71" s="57">
        <f>L71-K71</f>
        <v>0</v>
      </c>
    </row>
    <row r="72" spans="1:13">
      <c r="A72" s="64">
        <v>43556</v>
      </c>
      <c r="B72" s="21" t="s">
        <v>364</v>
      </c>
      <c r="C72" s="105"/>
      <c r="D72" s="21" t="s">
        <v>140</v>
      </c>
      <c r="E72" s="21" t="s">
        <v>141</v>
      </c>
      <c r="F72" s="33" t="s">
        <v>142</v>
      </c>
      <c r="G72" s="57"/>
      <c r="H72" s="54"/>
      <c r="I72" s="68"/>
      <c r="J72" s="57">
        <f t="shared" si="4"/>
        <v>0</v>
      </c>
      <c r="K72" s="57"/>
      <c r="L72" s="57"/>
      <c r="M72" s="57"/>
    </row>
    <row r="73" spans="1:13">
      <c r="A73" s="64">
        <v>43556</v>
      </c>
      <c r="B73" s="21" t="s">
        <v>364</v>
      </c>
      <c r="C73" s="105"/>
      <c r="D73" s="21" t="s">
        <v>140</v>
      </c>
      <c r="E73" s="21" t="s">
        <v>141</v>
      </c>
      <c r="F73" s="33" t="s">
        <v>143</v>
      </c>
      <c r="G73" s="57"/>
      <c r="H73" s="54"/>
      <c r="I73" s="67"/>
      <c r="J73" s="57">
        <f t="shared" si="4"/>
        <v>0</v>
      </c>
      <c r="K73" s="57"/>
      <c r="L73" s="57"/>
      <c r="M73" s="57"/>
    </row>
    <row r="74" spans="1:13">
      <c r="A74" s="64">
        <v>43556</v>
      </c>
      <c r="B74" s="21" t="s">
        <v>364</v>
      </c>
      <c r="C74" s="105"/>
      <c r="D74" s="21" t="s">
        <v>169</v>
      </c>
      <c r="E74" s="21" t="s">
        <v>170</v>
      </c>
      <c r="F74" s="33" t="s">
        <v>171</v>
      </c>
      <c r="G74" s="57"/>
      <c r="H74" s="54"/>
      <c r="I74" s="67"/>
      <c r="J74" s="57">
        <f t="shared" si="4"/>
        <v>0</v>
      </c>
      <c r="K74" s="57">
        <f>(J74+J75+J76+J93)*0.04*N2</f>
        <v>0</v>
      </c>
      <c r="L74" s="57">
        <f>K74/0.04*0.25</f>
        <v>0</v>
      </c>
      <c r="M74" s="57">
        <f>L74-K74</f>
        <v>0</v>
      </c>
    </row>
    <row r="75" spans="1:13">
      <c r="A75" s="64">
        <v>43556</v>
      </c>
      <c r="B75" s="21" t="s">
        <v>364</v>
      </c>
      <c r="C75" s="105"/>
      <c r="D75" s="21" t="s">
        <v>169</v>
      </c>
      <c r="E75" s="21" t="s">
        <v>170</v>
      </c>
      <c r="F75" s="33" t="s">
        <v>172</v>
      </c>
      <c r="G75" s="57"/>
      <c r="H75" s="54"/>
      <c r="I75" s="67"/>
      <c r="J75" s="57">
        <f t="shared" si="4"/>
        <v>0</v>
      </c>
      <c r="K75" s="57"/>
      <c r="L75" s="57"/>
      <c r="M75" s="57"/>
    </row>
    <row r="76" spans="1:13">
      <c r="A76" s="64">
        <v>43556</v>
      </c>
      <c r="B76" s="21" t="s">
        <v>364</v>
      </c>
      <c r="C76" s="105"/>
      <c r="D76" s="21" t="s">
        <v>169</v>
      </c>
      <c r="E76" s="21" t="s">
        <v>170</v>
      </c>
      <c r="F76" s="33" t="s">
        <v>173</v>
      </c>
      <c r="G76" s="57"/>
      <c r="H76" s="54"/>
      <c r="I76" s="67"/>
      <c r="J76" s="57">
        <f t="shared" si="4"/>
        <v>0</v>
      </c>
      <c r="K76" s="57"/>
      <c r="L76" s="57"/>
      <c r="M76" s="57"/>
    </row>
    <row r="77" spans="1:13">
      <c r="A77" s="64">
        <v>43556</v>
      </c>
      <c r="B77" s="21" t="s">
        <v>364</v>
      </c>
      <c r="C77" s="105"/>
      <c r="D77" s="21" t="s">
        <v>158</v>
      </c>
      <c r="E77" s="21" t="s">
        <v>144</v>
      </c>
      <c r="F77" s="33" t="s">
        <v>167</v>
      </c>
      <c r="G77" s="57"/>
      <c r="H77" s="54"/>
      <c r="I77" s="67"/>
      <c r="J77" s="57">
        <f t="shared" si="4"/>
        <v>0</v>
      </c>
      <c r="K77" s="57"/>
      <c r="L77" s="57"/>
      <c r="M77" s="57"/>
    </row>
    <row r="78" spans="1:13">
      <c r="A78" s="64">
        <v>43556</v>
      </c>
      <c r="B78" s="21" t="s">
        <v>364</v>
      </c>
      <c r="C78" s="105"/>
      <c r="D78" s="21" t="s">
        <v>158</v>
      </c>
      <c r="E78" s="21" t="s">
        <v>144</v>
      </c>
      <c r="F78" s="33" t="s">
        <v>147</v>
      </c>
      <c r="G78" s="57"/>
      <c r="H78" s="54"/>
      <c r="I78" s="67"/>
      <c r="J78" s="57">
        <f t="shared" si="4"/>
        <v>0</v>
      </c>
      <c r="K78" s="57"/>
      <c r="L78" s="57"/>
      <c r="M78" s="57"/>
    </row>
    <row r="79" spans="1:13">
      <c r="A79" s="64">
        <v>43556</v>
      </c>
      <c r="B79" s="21" t="s">
        <v>364</v>
      </c>
      <c r="C79" s="105"/>
      <c r="D79" s="75" t="s">
        <v>164</v>
      </c>
      <c r="E79" s="75" t="s">
        <v>149</v>
      </c>
      <c r="F79" s="75" t="s">
        <v>159</v>
      </c>
      <c r="G79" s="76"/>
      <c r="H79" s="77"/>
      <c r="I79" s="67"/>
      <c r="J79" s="57">
        <f t="shared" si="4"/>
        <v>0</v>
      </c>
      <c r="K79" s="57"/>
      <c r="L79" s="57"/>
      <c r="M79" s="57"/>
    </row>
    <row r="80" spans="1:13">
      <c r="A80" s="64">
        <v>43556</v>
      </c>
      <c r="B80" s="21" t="s">
        <v>364</v>
      </c>
      <c r="C80" s="105"/>
      <c r="D80" s="75" t="s">
        <v>164</v>
      </c>
      <c r="E80" s="75" t="s">
        <v>149</v>
      </c>
      <c r="F80" s="75" t="s">
        <v>150</v>
      </c>
      <c r="G80" s="76"/>
      <c r="H80" s="77"/>
      <c r="I80" s="68"/>
      <c r="J80" s="57">
        <f t="shared" si="4"/>
        <v>0</v>
      </c>
      <c r="K80" s="57"/>
      <c r="L80" s="57"/>
      <c r="M80" s="57"/>
    </row>
    <row r="81" spans="1:13">
      <c r="A81" s="64">
        <v>43556</v>
      </c>
      <c r="B81" s="21" t="s">
        <v>364</v>
      </c>
      <c r="C81" s="105"/>
      <c r="D81" s="75" t="s">
        <v>164</v>
      </c>
      <c r="E81" s="75" t="s">
        <v>149</v>
      </c>
      <c r="F81" s="75" t="s">
        <v>151</v>
      </c>
      <c r="G81" s="76"/>
      <c r="H81" s="77"/>
      <c r="I81" s="68"/>
      <c r="J81" s="57">
        <f t="shared" si="4"/>
        <v>0</v>
      </c>
      <c r="K81" s="57">
        <f>(J79+J80+J81+J87)*0.25*N2</f>
        <v>0</v>
      </c>
      <c r="L81" s="57"/>
      <c r="M81" s="57"/>
    </row>
    <row r="82" spans="1:13">
      <c r="A82" s="64">
        <v>43556</v>
      </c>
      <c r="B82" s="21" t="s">
        <v>364</v>
      </c>
      <c r="C82" s="105"/>
      <c r="D82" s="21" t="s">
        <v>146</v>
      </c>
      <c r="E82" s="21" t="s">
        <v>144</v>
      </c>
      <c r="F82" s="33" t="s">
        <v>145</v>
      </c>
      <c r="G82" s="57"/>
      <c r="H82" s="54"/>
      <c r="I82" s="68"/>
      <c r="J82" s="57">
        <f t="shared" si="4"/>
        <v>0</v>
      </c>
      <c r="K82" s="57"/>
      <c r="L82" s="57"/>
      <c r="M82" s="57"/>
    </row>
    <row r="83" spans="1:13">
      <c r="A83" s="64">
        <v>43556</v>
      </c>
      <c r="B83" s="21" t="s">
        <v>364</v>
      </c>
      <c r="C83" s="105"/>
      <c r="D83" s="21" t="s">
        <v>146</v>
      </c>
      <c r="E83" s="21" t="s">
        <v>144</v>
      </c>
      <c r="F83" s="33" t="s">
        <v>147</v>
      </c>
      <c r="G83" s="57"/>
      <c r="H83" s="54"/>
      <c r="I83" s="68"/>
      <c r="J83" s="57">
        <f t="shared" si="4"/>
        <v>0</v>
      </c>
      <c r="K83" s="57"/>
      <c r="L83" s="57"/>
      <c r="M83" s="57"/>
    </row>
    <row r="84" spans="1:13">
      <c r="A84" s="64">
        <v>43556</v>
      </c>
      <c r="B84" s="21" t="s">
        <v>364</v>
      </c>
      <c r="C84" s="105"/>
      <c r="D84" s="21" t="s">
        <v>152</v>
      </c>
      <c r="E84" s="21" t="s">
        <v>141</v>
      </c>
      <c r="F84" s="33" t="s">
        <v>153</v>
      </c>
      <c r="G84" s="57"/>
      <c r="H84" s="54"/>
      <c r="I84" s="68"/>
      <c r="J84" s="57">
        <f t="shared" si="4"/>
        <v>0</v>
      </c>
      <c r="K84" s="57"/>
      <c r="L84" s="57">
        <f>K84/0.05*0.25</f>
        <v>0</v>
      </c>
      <c r="M84" s="57">
        <f>L84-K84</f>
        <v>0</v>
      </c>
    </row>
    <row r="85" spans="1:13">
      <c r="A85" s="64">
        <v>43556</v>
      </c>
      <c r="B85" s="21" t="s">
        <v>364</v>
      </c>
      <c r="C85" s="105"/>
      <c r="D85" s="21" t="s">
        <v>152</v>
      </c>
      <c r="E85" s="21" t="s">
        <v>141</v>
      </c>
      <c r="F85" s="33" t="s">
        <v>142</v>
      </c>
      <c r="G85" s="57"/>
      <c r="H85" s="54"/>
      <c r="I85" s="67"/>
      <c r="J85" s="57">
        <f t="shared" si="4"/>
        <v>0</v>
      </c>
      <c r="K85" s="57"/>
      <c r="L85" s="57"/>
      <c r="M85" s="57"/>
    </row>
    <row r="86" spans="1:13">
      <c r="A86" s="64">
        <v>43556</v>
      </c>
      <c r="B86" s="21" t="s">
        <v>364</v>
      </c>
      <c r="C86" s="105"/>
      <c r="D86" s="21" t="s">
        <v>152</v>
      </c>
      <c r="E86" s="21" t="s">
        <v>141</v>
      </c>
      <c r="F86" s="33" t="s">
        <v>143</v>
      </c>
      <c r="G86" s="57"/>
      <c r="H86" s="54"/>
      <c r="I86" s="68"/>
      <c r="J86" s="57">
        <f t="shared" si="4"/>
        <v>0</v>
      </c>
      <c r="K86" s="57"/>
      <c r="L86" s="57"/>
      <c r="M86" s="57"/>
    </row>
    <row r="87" spans="1:13">
      <c r="A87" s="64">
        <v>43556</v>
      </c>
      <c r="B87" s="21" t="s">
        <v>364</v>
      </c>
      <c r="C87" s="105"/>
      <c r="D87" s="75" t="s">
        <v>148</v>
      </c>
      <c r="E87" s="75" t="s">
        <v>149</v>
      </c>
      <c r="F87" s="75" t="s">
        <v>159</v>
      </c>
      <c r="G87" s="76"/>
      <c r="H87" s="77"/>
      <c r="I87" s="67"/>
      <c r="J87" s="57">
        <f t="shared" si="4"/>
        <v>0</v>
      </c>
      <c r="K87" s="57"/>
      <c r="L87" s="57"/>
      <c r="M87" s="57"/>
    </row>
    <row r="88" spans="1:13">
      <c r="A88" s="64"/>
      <c r="C88" s="105"/>
      <c r="D88" s="21" t="s">
        <v>165</v>
      </c>
      <c r="E88" s="21" t="s">
        <v>144</v>
      </c>
      <c r="F88" s="33" t="s">
        <v>145</v>
      </c>
      <c r="G88" s="57"/>
      <c r="H88" s="54"/>
      <c r="I88" s="68"/>
      <c r="J88" s="57">
        <f t="shared" si="4"/>
        <v>0</v>
      </c>
      <c r="K88" s="57">
        <f>(J88+J89+J100+J99+J101)*0.05*N2</f>
        <v>0</v>
      </c>
      <c r="L88" s="57">
        <f>K88/0.05*0.25</f>
        <v>0</v>
      </c>
      <c r="M88" s="57">
        <f>L88-K88</f>
        <v>0</v>
      </c>
    </row>
    <row r="89" spans="1:13">
      <c r="A89" s="64"/>
      <c r="C89" s="105"/>
      <c r="D89" s="21" t="s">
        <v>165</v>
      </c>
      <c r="E89" s="21" t="s">
        <v>144</v>
      </c>
      <c r="F89" s="33" t="s">
        <v>147</v>
      </c>
      <c r="G89" s="57"/>
      <c r="H89" s="54"/>
      <c r="I89" s="68"/>
      <c r="J89" s="57">
        <f t="shared" si="4"/>
        <v>0</v>
      </c>
      <c r="K89" s="57"/>
      <c r="L89" s="57"/>
      <c r="M89" s="57"/>
    </row>
    <row r="90" spans="1:13">
      <c r="A90" s="64">
        <v>43556</v>
      </c>
      <c r="B90" s="21" t="s">
        <v>364</v>
      </c>
      <c r="C90" s="105"/>
      <c r="D90" s="21" t="s">
        <v>180</v>
      </c>
      <c r="E90" s="21" t="s">
        <v>176</v>
      </c>
      <c r="F90" s="33" t="s">
        <v>177</v>
      </c>
      <c r="G90" s="57"/>
      <c r="H90" s="54"/>
      <c r="I90" s="68"/>
      <c r="J90" s="57">
        <f t="shared" si="4"/>
        <v>0</v>
      </c>
      <c r="K90" s="57">
        <f>(J90+J91+J102+J103+J104+J92)*0.03*N2</f>
        <v>0</v>
      </c>
      <c r="L90" s="57">
        <f>K90/0.03*0.25</f>
        <v>0</v>
      </c>
      <c r="M90" s="57">
        <f>L90-K90</f>
        <v>0</v>
      </c>
    </row>
    <row r="91" spans="1:13">
      <c r="A91" s="64">
        <v>43556</v>
      </c>
      <c r="B91" s="21" t="s">
        <v>364</v>
      </c>
      <c r="C91" s="105"/>
      <c r="D91" s="21" t="s">
        <v>180</v>
      </c>
      <c r="E91" s="21" t="s">
        <v>176</v>
      </c>
      <c r="F91" s="33" t="s">
        <v>178</v>
      </c>
      <c r="G91" s="57"/>
      <c r="H91" s="54"/>
      <c r="I91" s="68"/>
      <c r="J91" s="57">
        <f t="shared" si="4"/>
        <v>0</v>
      </c>
      <c r="K91" s="57"/>
      <c r="L91" s="57"/>
      <c r="M91" s="57"/>
    </row>
    <row r="92" spans="1:13">
      <c r="A92" s="64"/>
      <c r="C92" s="105"/>
      <c r="D92" s="21" t="s">
        <v>180</v>
      </c>
      <c r="E92" s="21" t="s">
        <v>176</v>
      </c>
      <c r="F92" s="33" t="s">
        <v>179</v>
      </c>
      <c r="G92" s="57"/>
      <c r="H92" s="54"/>
      <c r="I92" s="68"/>
      <c r="J92" s="57">
        <f t="shared" si="4"/>
        <v>0</v>
      </c>
      <c r="K92" s="57"/>
      <c r="L92" s="57"/>
      <c r="M92" s="57"/>
    </row>
    <row r="93" spans="1:13">
      <c r="A93" s="64">
        <v>43556</v>
      </c>
      <c r="B93" s="21" t="s">
        <v>364</v>
      </c>
      <c r="C93" s="105"/>
      <c r="D93" s="21" t="s">
        <v>174</v>
      </c>
      <c r="E93" s="21" t="s">
        <v>170</v>
      </c>
      <c r="F93" s="33" t="s">
        <v>172</v>
      </c>
      <c r="G93" s="57"/>
      <c r="H93" s="54"/>
      <c r="I93" s="68"/>
      <c r="J93" s="57">
        <f t="shared" si="4"/>
        <v>0</v>
      </c>
      <c r="K93" s="57"/>
      <c r="L93" s="57"/>
      <c r="M93" s="57"/>
    </row>
    <row r="94" spans="1:13">
      <c r="A94" s="64">
        <v>43556</v>
      </c>
      <c r="B94" s="21" t="s">
        <v>364</v>
      </c>
      <c r="C94" s="105"/>
      <c r="D94" s="21" t="s">
        <v>371</v>
      </c>
      <c r="E94" s="21" t="s">
        <v>144</v>
      </c>
      <c r="F94" s="33" t="s">
        <v>167</v>
      </c>
      <c r="G94" s="57"/>
      <c r="H94" s="54"/>
      <c r="I94" s="67"/>
      <c r="J94" s="57">
        <f t="shared" si="4"/>
        <v>0</v>
      </c>
      <c r="K94" s="57"/>
      <c r="L94" s="57"/>
      <c r="M94" s="57"/>
    </row>
    <row r="95" spans="1:13">
      <c r="A95" s="64">
        <v>43556</v>
      </c>
      <c r="B95" s="21" t="s">
        <v>364</v>
      </c>
      <c r="C95" s="105"/>
      <c r="D95" s="21" t="s">
        <v>371</v>
      </c>
      <c r="E95" s="21" t="s">
        <v>144</v>
      </c>
      <c r="F95" s="33" t="s">
        <v>145</v>
      </c>
      <c r="G95" s="57"/>
      <c r="H95" s="54"/>
      <c r="I95" s="68"/>
      <c r="J95" s="57">
        <f t="shared" si="4"/>
        <v>0</v>
      </c>
      <c r="K95" s="57"/>
      <c r="L95" s="57"/>
      <c r="M95" s="57"/>
    </row>
    <row r="96" spans="1:13">
      <c r="A96" s="64">
        <v>43556</v>
      </c>
      <c r="B96" s="21" t="s">
        <v>364</v>
      </c>
      <c r="C96" s="105"/>
      <c r="D96" s="21" t="s">
        <v>88</v>
      </c>
      <c r="E96" s="21" t="s">
        <v>181</v>
      </c>
      <c r="F96" s="33" t="s">
        <v>182</v>
      </c>
      <c r="G96" s="57"/>
      <c r="H96" s="54"/>
      <c r="I96" s="67"/>
      <c r="J96" s="57">
        <f t="shared" si="4"/>
        <v>0</v>
      </c>
      <c r="K96" s="57">
        <f>(J96+J97+J98+J107+J106)*0.05*N2</f>
        <v>0</v>
      </c>
      <c r="L96" s="57">
        <f>K96/0.05*0.25</f>
        <v>0</v>
      </c>
      <c r="M96" s="57">
        <f>L96-K96</f>
        <v>0</v>
      </c>
    </row>
    <row r="97" spans="1:13">
      <c r="A97" s="64">
        <v>43556</v>
      </c>
      <c r="B97" s="21" t="s">
        <v>364</v>
      </c>
      <c r="C97" s="105"/>
      <c r="D97" s="21" t="s">
        <v>88</v>
      </c>
      <c r="E97" s="21" t="s">
        <v>181</v>
      </c>
      <c r="F97" s="33" t="s">
        <v>183</v>
      </c>
      <c r="G97" s="57"/>
      <c r="H97" s="54"/>
      <c r="I97" s="67"/>
      <c r="J97" s="57">
        <f t="shared" si="4"/>
        <v>0</v>
      </c>
      <c r="K97" s="57"/>
      <c r="L97" s="57"/>
      <c r="M97" s="57"/>
    </row>
    <row r="98" spans="1:13">
      <c r="A98" s="64">
        <v>43556</v>
      </c>
      <c r="B98" s="21" t="s">
        <v>364</v>
      </c>
      <c r="C98" s="105"/>
      <c r="D98" s="21" t="s">
        <v>88</v>
      </c>
      <c r="E98" s="21" t="s">
        <v>181</v>
      </c>
      <c r="F98" s="33" t="s">
        <v>184</v>
      </c>
      <c r="G98" s="57"/>
      <c r="H98" s="54"/>
      <c r="I98" s="67"/>
      <c r="J98" s="57">
        <f t="shared" si="4"/>
        <v>0</v>
      </c>
      <c r="K98" s="57"/>
      <c r="L98" s="57"/>
      <c r="M98" s="57"/>
    </row>
    <row r="99" spans="1:13">
      <c r="A99" s="64">
        <v>43556</v>
      </c>
      <c r="B99" s="21" t="s">
        <v>364</v>
      </c>
      <c r="C99" s="105"/>
      <c r="D99" s="21" t="s">
        <v>166</v>
      </c>
      <c r="E99" s="21" t="s">
        <v>144</v>
      </c>
      <c r="F99" s="33" t="s">
        <v>167</v>
      </c>
      <c r="G99" s="57"/>
      <c r="H99" s="54"/>
      <c r="I99" s="67"/>
      <c r="J99" s="57">
        <f t="shared" si="4"/>
        <v>0</v>
      </c>
      <c r="K99" s="57"/>
      <c r="L99" s="57"/>
      <c r="M99" s="57"/>
    </row>
    <row r="100" spans="1:13">
      <c r="A100" s="64">
        <v>43556</v>
      </c>
      <c r="B100" s="21" t="s">
        <v>364</v>
      </c>
      <c r="C100" s="105"/>
      <c r="D100" s="21" t="s">
        <v>166</v>
      </c>
      <c r="E100" s="21" t="s">
        <v>144</v>
      </c>
      <c r="F100" s="33" t="s">
        <v>145</v>
      </c>
      <c r="G100" s="57"/>
      <c r="H100" s="54"/>
      <c r="I100" s="68"/>
      <c r="J100" s="57">
        <f t="shared" si="4"/>
        <v>0</v>
      </c>
      <c r="K100" s="57"/>
      <c r="L100" s="57"/>
      <c r="M100" s="57"/>
    </row>
    <row r="101" spans="1:13">
      <c r="A101" s="64">
        <v>43556</v>
      </c>
      <c r="B101" s="21" t="s">
        <v>364</v>
      </c>
      <c r="C101" s="105"/>
      <c r="D101" s="21" t="s">
        <v>166</v>
      </c>
      <c r="E101" s="21" t="s">
        <v>144</v>
      </c>
      <c r="F101" s="33" t="s">
        <v>147</v>
      </c>
      <c r="G101" s="57"/>
      <c r="H101" s="54"/>
      <c r="I101" s="67"/>
      <c r="J101" s="57">
        <f t="shared" si="4"/>
        <v>0</v>
      </c>
      <c r="K101" s="57"/>
      <c r="L101" s="57"/>
      <c r="M101" s="57"/>
    </row>
    <row r="102" spans="1:13">
      <c r="A102" s="64">
        <v>43556</v>
      </c>
      <c r="B102" s="21" t="s">
        <v>364</v>
      </c>
      <c r="C102" s="105"/>
      <c r="D102" s="21" t="s">
        <v>175</v>
      </c>
      <c r="E102" s="21" t="s">
        <v>176</v>
      </c>
      <c r="F102" s="33" t="s">
        <v>177</v>
      </c>
      <c r="G102" s="57"/>
      <c r="H102" s="54"/>
      <c r="I102" s="68"/>
      <c r="J102" s="57">
        <f t="shared" si="4"/>
        <v>0</v>
      </c>
      <c r="K102" s="57"/>
      <c r="L102" s="57">
        <f>K102/0.05*0.25</f>
        <v>0</v>
      </c>
      <c r="M102" s="57">
        <f>L102-K102</f>
        <v>0</v>
      </c>
    </row>
    <row r="103" spans="1:13">
      <c r="A103" s="64">
        <v>43556</v>
      </c>
      <c r="B103" s="21" t="s">
        <v>364</v>
      </c>
      <c r="C103" s="105"/>
      <c r="D103" s="21" t="s">
        <v>175</v>
      </c>
      <c r="E103" s="21" t="s">
        <v>176</v>
      </c>
      <c r="F103" s="33" t="s">
        <v>178</v>
      </c>
      <c r="G103" s="57"/>
      <c r="H103" s="54"/>
      <c r="I103" s="68"/>
      <c r="J103" s="57">
        <f t="shared" si="4"/>
        <v>0</v>
      </c>
      <c r="K103" s="57"/>
      <c r="L103" s="57"/>
      <c r="M103" s="57"/>
    </row>
    <row r="104" spans="1:13">
      <c r="A104" s="64">
        <v>43556</v>
      </c>
      <c r="B104" s="21" t="s">
        <v>364</v>
      </c>
      <c r="C104" s="105"/>
      <c r="D104" s="21" t="s">
        <v>175</v>
      </c>
      <c r="E104" s="21" t="s">
        <v>176</v>
      </c>
      <c r="F104" s="33" t="s">
        <v>179</v>
      </c>
      <c r="G104" s="57"/>
      <c r="H104" s="54"/>
      <c r="I104" s="67"/>
      <c r="J104" s="57">
        <f t="shared" si="4"/>
        <v>0</v>
      </c>
      <c r="K104" s="57"/>
      <c r="L104" s="57"/>
      <c r="M104" s="57"/>
    </row>
    <row r="105" spans="1:13">
      <c r="A105" s="64">
        <v>43556</v>
      </c>
      <c r="B105" s="21" t="s">
        <v>364</v>
      </c>
      <c r="C105" s="105"/>
      <c r="D105" s="21" t="s">
        <v>154</v>
      </c>
      <c r="E105" s="21" t="s">
        <v>181</v>
      </c>
      <c r="F105" s="33" t="s">
        <v>182</v>
      </c>
      <c r="G105" s="57"/>
      <c r="H105" s="54"/>
      <c r="I105" s="68"/>
      <c r="J105" s="57">
        <f t="shared" si="4"/>
        <v>0</v>
      </c>
      <c r="K105" s="57"/>
      <c r="L105" s="57"/>
      <c r="M105" s="57"/>
    </row>
    <row r="106" spans="1:13">
      <c r="A106" s="64">
        <v>43556</v>
      </c>
      <c r="B106" s="21" t="s">
        <v>364</v>
      </c>
      <c r="C106" s="105"/>
      <c r="D106" s="21" t="s">
        <v>154</v>
      </c>
      <c r="E106" s="21" t="s">
        <v>181</v>
      </c>
      <c r="F106" s="33" t="s">
        <v>183</v>
      </c>
      <c r="G106" s="57"/>
      <c r="H106" s="54"/>
      <c r="I106" s="68"/>
      <c r="J106" s="57">
        <f t="shared" si="4"/>
        <v>0</v>
      </c>
      <c r="K106" s="57"/>
      <c r="L106" s="57"/>
      <c r="M106" s="57"/>
    </row>
    <row r="107" spans="1:13">
      <c r="A107" s="64">
        <v>43556</v>
      </c>
      <c r="B107" s="21" t="s">
        <v>364</v>
      </c>
      <c r="C107" s="105"/>
      <c r="D107" s="21" t="s">
        <v>154</v>
      </c>
      <c r="E107" s="21" t="s">
        <v>181</v>
      </c>
      <c r="F107" s="33" t="s">
        <v>184</v>
      </c>
      <c r="G107" s="57"/>
      <c r="H107" s="54"/>
      <c r="I107" s="68"/>
      <c r="J107" s="57">
        <f t="shared" si="4"/>
        <v>0</v>
      </c>
      <c r="K107" s="57"/>
      <c r="L107" s="57"/>
      <c r="M107" s="57"/>
    </row>
    <row r="108" spans="1:13">
      <c r="A108" s="64">
        <v>43556</v>
      </c>
      <c r="B108" s="21" t="s">
        <v>364</v>
      </c>
      <c r="C108" s="105"/>
      <c r="D108" s="21" t="s">
        <v>372</v>
      </c>
      <c r="E108" s="21" t="s">
        <v>373</v>
      </c>
      <c r="F108" s="33" t="s">
        <v>374</v>
      </c>
      <c r="G108" s="57"/>
      <c r="H108" s="54"/>
      <c r="I108" s="68"/>
      <c r="J108" s="57">
        <f t="shared" si="4"/>
        <v>0</v>
      </c>
      <c r="K108" s="57"/>
      <c r="L108" s="57"/>
      <c r="M108" s="57"/>
    </row>
    <row r="109" spans="1:13">
      <c r="A109" s="64">
        <v>43556</v>
      </c>
      <c r="B109" s="21" t="s">
        <v>364</v>
      </c>
      <c r="C109" s="105"/>
      <c r="D109" s="21" t="s">
        <v>342</v>
      </c>
      <c r="E109" s="21" t="s">
        <v>161</v>
      </c>
      <c r="F109" s="33" t="s">
        <v>162</v>
      </c>
      <c r="G109" s="57"/>
      <c r="H109" s="54"/>
      <c r="I109" s="68"/>
      <c r="J109" s="57">
        <f t="shared" si="4"/>
        <v>0</v>
      </c>
      <c r="K109" s="57"/>
      <c r="L109" s="57"/>
      <c r="M109" s="57"/>
    </row>
    <row r="110" spans="1:13">
      <c r="A110" s="64">
        <v>43556</v>
      </c>
      <c r="B110" s="21" t="s">
        <v>364</v>
      </c>
      <c r="C110" s="105"/>
      <c r="D110" s="21" t="s">
        <v>342</v>
      </c>
      <c r="E110" s="21" t="s">
        <v>161</v>
      </c>
      <c r="F110" s="33" t="s">
        <v>163</v>
      </c>
      <c r="G110" s="57"/>
      <c r="H110" s="54"/>
      <c r="I110" s="68"/>
      <c r="J110" s="57">
        <f t="shared" si="4"/>
        <v>0</v>
      </c>
      <c r="K110" s="57"/>
      <c r="L110" s="57"/>
      <c r="M110" s="57"/>
    </row>
    <row r="111" spans="1:13">
      <c r="A111" s="64">
        <v>43556</v>
      </c>
      <c r="B111" s="21" t="s">
        <v>364</v>
      </c>
      <c r="C111" s="105"/>
      <c r="D111" s="21" t="s">
        <v>160</v>
      </c>
      <c r="E111" s="21" t="s">
        <v>161</v>
      </c>
      <c r="F111" s="33" t="s">
        <v>290</v>
      </c>
      <c r="G111" s="57"/>
      <c r="H111" s="54"/>
      <c r="I111" s="68"/>
      <c r="J111" s="57">
        <f t="shared" si="4"/>
        <v>0</v>
      </c>
      <c r="K111" s="57">
        <f>(J111+J112+J113+J110+J109)*0.04*N2</f>
        <v>0</v>
      </c>
      <c r="L111" s="57">
        <f>K111/0.04*0.25</f>
        <v>0</v>
      </c>
      <c r="M111" s="57">
        <f>L111-K111</f>
        <v>0</v>
      </c>
    </row>
    <row r="112" spans="1:13">
      <c r="A112" s="64">
        <v>43556</v>
      </c>
      <c r="B112" s="21" t="s">
        <v>364</v>
      </c>
      <c r="C112" s="105"/>
      <c r="D112" s="21" t="s">
        <v>160</v>
      </c>
      <c r="E112" s="21" t="s">
        <v>161</v>
      </c>
      <c r="F112" s="33" t="s">
        <v>162</v>
      </c>
      <c r="G112" s="57"/>
      <c r="H112" s="54"/>
      <c r="I112" s="67"/>
      <c r="J112" s="57">
        <f t="shared" si="4"/>
        <v>0</v>
      </c>
      <c r="K112" s="57"/>
      <c r="L112" s="57"/>
      <c r="M112" s="57"/>
    </row>
    <row r="113" spans="1:14">
      <c r="A113" s="64">
        <v>43556</v>
      </c>
      <c r="B113" s="21" t="s">
        <v>364</v>
      </c>
      <c r="C113" s="105"/>
      <c r="D113" s="21" t="s">
        <v>160</v>
      </c>
      <c r="E113" s="21" t="s">
        <v>161</v>
      </c>
      <c r="F113" s="33" t="s">
        <v>163</v>
      </c>
      <c r="G113" s="57"/>
      <c r="H113" s="54"/>
      <c r="I113" s="68"/>
      <c r="J113" s="57">
        <f t="shared" si="4"/>
        <v>0</v>
      </c>
      <c r="K113" s="57"/>
      <c r="L113" s="57"/>
      <c r="M113" s="57"/>
    </row>
    <row r="114" spans="1:14">
      <c r="A114" s="64">
        <v>43556</v>
      </c>
      <c r="B114" s="21" t="s">
        <v>364</v>
      </c>
      <c r="C114" s="21" t="s">
        <v>257</v>
      </c>
      <c r="D114" s="21" t="s">
        <v>258</v>
      </c>
      <c r="E114" s="21" t="s">
        <v>121</v>
      </c>
      <c r="F114" s="33" t="s">
        <v>122</v>
      </c>
      <c r="G114" s="57"/>
      <c r="H114" s="54"/>
      <c r="I114" s="68"/>
      <c r="J114" s="57">
        <f t="shared" si="4"/>
        <v>0</v>
      </c>
      <c r="K114" s="57"/>
      <c r="L114" s="57"/>
      <c r="M114" s="57"/>
      <c r="N114" s="57"/>
    </row>
    <row r="115" spans="1:14">
      <c r="A115" s="64">
        <v>43556</v>
      </c>
      <c r="B115" s="21" t="s">
        <v>364</v>
      </c>
      <c r="C115" s="102" t="s">
        <v>185</v>
      </c>
      <c r="D115" s="21" t="s">
        <v>186</v>
      </c>
      <c r="E115" s="21" t="s">
        <v>191</v>
      </c>
      <c r="F115" s="33" t="s">
        <v>193</v>
      </c>
      <c r="G115" s="57"/>
      <c r="H115" s="54"/>
      <c r="I115" s="68"/>
      <c r="J115" s="57">
        <f t="shared" si="4"/>
        <v>0</v>
      </c>
      <c r="K115" s="57">
        <f>(J115+J116)*0.05*N2</f>
        <v>0</v>
      </c>
      <c r="L115" s="57">
        <f>K115/0.05*0.25</f>
        <v>0</v>
      </c>
      <c r="M115" s="57">
        <f>L115-K115</f>
        <v>0</v>
      </c>
    </row>
    <row r="116" spans="1:14">
      <c r="A116" s="64">
        <v>43556</v>
      </c>
      <c r="B116" s="21" t="s">
        <v>364</v>
      </c>
      <c r="C116" s="103"/>
      <c r="D116" s="21" t="s">
        <v>189</v>
      </c>
      <c r="E116" s="21" t="s">
        <v>191</v>
      </c>
      <c r="F116" s="33" t="s">
        <v>193</v>
      </c>
      <c r="G116" s="57"/>
      <c r="H116" s="54"/>
      <c r="I116" s="68"/>
      <c r="J116" s="57">
        <f t="shared" si="4"/>
        <v>0</v>
      </c>
      <c r="K116" s="57"/>
      <c r="L116" s="57"/>
      <c r="M116" s="57"/>
    </row>
    <row r="117" spans="1:14">
      <c r="A117" s="64"/>
      <c r="C117" s="103"/>
      <c r="D117" s="21" t="s">
        <v>186</v>
      </c>
      <c r="E117" s="21" t="s">
        <v>349</v>
      </c>
      <c r="F117" s="33" t="s">
        <v>350</v>
      </c>
      <c r="G117" s="57"/>
      <c r="H117" s="54"/>
      <c r="I117" s="68"/>
      <c r="J117" s="57">
        <f t="shared" si="4"/>
        <v>0</v>
      </c>
      <c r="K117" s="57"/>
      <c r="L117" s="57"/>
      <c r="M117" s="57"/>
    </row>
    <row r="118" spans="1:14">
      <c r="A118" s="64">
        <v>43556</v>
      </c>
      <c r="B118" s="21" t="s">
        <v>364</v>
      </c>
      <c r="C118" s="103"/>
      <c r="D118" s="21" t="s">
        <v>186</v>
      </c>
      <c r="E118" s="21" t="s">
        <v>349</v>
      </c>
      <c r="F118" s="33" t="s">
        <v>351</v>
      </c>
      <c r="G118" s="57"/>
      <c r="H118" s="54"/>
      <c r="I118" s="67"/>
      <c r="J118" s="57">
        <f t="shared" si="4"/>
        <v>0</v>
      </c>
      <c r="K118" s="57">
        <f>(J118+J119+J120+J117)*0.05*N2</f>
        <v>0</v>
      </c>
      <c r="L118" s="57">
        <f>K118/0.05*0.25</f>
        <v>0</v>
      </c>
      <c r="M118" s="57">
        <f>L118-K118</f>
        <v>0</v>
      </c>
    </row>
    <row r="119" spans="1:14">
      <c r="A119" s="64">
        <v>43556</v>
      </c>
      <c r="B119" s="21" t="s">
        <v>364</v>
      </c>
      <c r="C119" s="103"/>
      <c r="D119" s="21" t="s">
        <v>189</v>
      </c>
      <c r="E119" s="21" t="s">
        <v>349</v>
      </c>
      <c r="F119" s="33" t="s">
        <v>351</v>
      </c>
      <c r="G119" s="57"/>
      <c r="H119" s="54"/>
      <c r="I119" s="67"/>
      <c r="J119" s="57">
        <f t="shared" si="4"/>
        <v>0</v>
      </c>
      <c r="K119" s="57"/>
      <c r="L119" s="57"/>
      <c r="M119" s="57"/>
    </row>
    <row r="120" spans="1:14">
      <c r="A120" s="64"/>
      <c r="C120" s="104"/>
      <c r="D120" s="58" t="s">
        <v>362</v>
      </c>
      <c r="E120" s="21" t="s">
        <v>349</v>
      </c>
      <c r="F120" s="33" t="s">
        <v>351</v>
      </c>
      <c r="G120" s="57"/>
      <c r="H120" s="54"/>
      <c r="I120" s="67"/>
      <c r="J120" s="57">
        <f t="shared" si="4"/>
        <v>0</v>
      </c>
      <c r="K120" s="57"/>
      <c r="L120" s="57"/>
      <c r="M120" s="57"/>
    </row>
    <row r="121" spans="1:14">
      <c r="A121" s="64">
        <v>43556</v>
      </c>
      <c r="B121" s="21" t="s">
        <v>364</v>
      </c>
      <c r="C121" s="105" t="s">
        <v>199</v>
      </c>
      <c r="D121" s="21" t="s">
        <v>200</v>
      </c>
      <c r="E121" s="21" t="s">
        <v>93</v>
      </c>
      <c r="F121" s="33" t="s">
        <v>94</v>
      </c>
      <c r="G121" s="57"/>
      <c r="H121" s="54"/>
      <c r="I121" s="68"/>
      <c r="J121" s="57">
        <f t="shared" si="4"/>
        <v>0</v>
      </c>
      <c r="K121" s="57">
        <f>(J121+J122)*0.25*N2</f>
        <v>0</v>
      </c>
      <c r="L121" s="57"/>
      <c r="M121" s="57"/>
    </row>
    <row r="122" spans="1:14">
      <c r="A122" s="64">
        <v>43556</v>
      </c>
      <c r="B122" s="21" t="s">
        <v>364</v>
      </c>
      <c r="C122" s="105"/>
      <c r="D122" s="21" t="s">
        <v>202</v>
      </c>
      <c r="E122" s="21" t="s">
        <v>93</v>
      </c>
      <c r="F122" s="33" t="s">
        <v>94</v>
      </c>
      <c r="G122" s="57"/>
      <c r="H122" s="54"/>
      <c r="I122" s="68"/>
      <c r="J122" s="57">
        <f t="shared" si="4"/>
        <v>0</v>
      </c>
      <c r="K122" s="57"/>
      <c r="L122" s="57"/>
      <c r="M122" s="57"/>
    </row>
    <row r="123" spans="1:14">
      <c r="A123" s="64">
        <v>43556</v>
      </c>
      <c r="B123" s="21" t="s">
        <v>364</v>
      </c>
      <c r="C123" s="102" t="s">
        <v>204</v>
      </c>
      <c r="D123" s="21" t="s">
        <v>209</v>
      </c>
      <c r="E123" s="21" t="s">
        <v>144</v>
      </c>
      <c r="F123" s="33" t="s">
        <v>210</v>
      </c>
      <c r="G123" s="57"/>
      <c r="H123" s="54"/>
      <c r="I123" s="67"/>
      <c r="J123" s="57">
        <f>G123*H123*0.98-I123</f>
        <v>0</v>
      </c>
      <c r="K123" s="57">
        <f>(J123+J124)*0.25*N2</f>
        <v>0</v>
      </c>
      <c r="L123" s="57"/>
      <c r="M123" s="57"/>
    </row>
    <row r="124" spans="1:14">
      <c r="A124" s="64">
        <v>43556</v>
      </c>
      <c r="B124" s="21" t="s">
        <v>364</v>
      </c>
      <c r="C124" s="104"/>
      <c r="D124" s="21" t="s">
        <v>209</v>
      </c>
      <c r="E124" s="21" t="s">
        <v>144</v>
      </c>
      <c r="F124" s="33" t="s">
        <v>211</v>
      </c>
      <c r="G124" s="57"/>
      <c r="H124" s="54"/>
      <c r="I124" s="67"/>
      <c r="J124" s="57">
        <f>G124*H124*0.98-I124</f>
        <v>0</v>
      </c>
      <c r="K124" s="57"/>
      <c r="L124" s="57"/>
      <c r="M124" s="57"/>
    </row>
    <row r="125" spans="1:14">
      <c r="C125" s="105" t="s">
        <v>218</v>
      </c>
      <c r="D125" s="105"/>
      <c r="E125" s="21" t="s">
        <v>219</v>
      </c>
      <c r="F125" s="33" t="s">
        <v>219</v>
      </c>
      <c r="G125" s="57"/>
      <c r="H125" s="54"/>
      <c r="I125" s="68"/>
      <c r="J125" s="57">
        <f t="shared" ref="J125:J128" si="5">(G125*H125*0.98)-I125</f>
        <v>0</v>
      </c>
      <c r="K125" s="57">
        <f>(J9+J13+J14+J18+J19+J20+J24+J25)*0.07*N2+(J57+J51+J52+J58)*0.04*N2+(J3+J4+J10+J16+J17+J22+J23+J26+J28+J31+J32+J36+J39+J41+J42+J47+J53+J54+J55+J59+J60+J61+J62+J65+J66+J69+J70+J71+J72+J73+J74+J75+J76+J80+J81+J90+J93+J96+J97+J98+J99+J100+J101+J102+J103+J105+J106+J107+J110+J111+J112+J115+J116+J118+J119+J27+J29+J40+J43+J48+J56+J67+J68+J79+J11+J44+J63+J77+J78+J87+J109+J6+J49+J30+J83+J88+J89+J91+J113+J12+J37+J50+J64+J104+J120+J34+J45+J46+J85+J92+J117)*0.01*N2+(J94+J95)*0.08*N2</f>
        <v>0</v>
      </c>
      <c r="L125" s="57"/>
      <c r="M125" s="57"/>
    </row>
    <row r="126" spans="1:14">
      <c r="C126" s="105"/>
      <c r="D126" s="105"/>
      <c r="E126" s="21" t="s">
        <v>220</v>
      </c>
      <c r="F126" s="33" t="s">
        <v>220</v>
      </c>
      <c r="G126" s="57"/>
      <c r="H126" s="54"/>
      <c r="I126" s="68"/>
      <c r="J126" s="57">
        <f t="shared" si="5"/>
        <v>0</v>
      </c>
      <c r="K126" s="57">
        <f>(J3+J16+J17+J26+J27+J28)*0.06*N2+(J41+J47+J42+J48)*0.03*N2+(J99+J100+J101+J74+J75+J76)*0.07*N2</f>
        <v>0</v>
      </c>
      <c r="L126" s="57"/>
      <c r="M126" s="57"/>
    </row>
    <row r="127" spans="1:14">
      <c r="C127" s="105"/>
      <c r="D127" s="105"/>
      <c r="E127" s="21" t="s">
        <v>221</v>
      </c>
      <c r="F127" s="33" t="s">
        <v>221</v>
      </c>
      <c r="G127" s="57"/>
      <c r="H127" s="54"/>
      <c r="I127" s="68"/>
      <c r="J127" s="57">
        <f t="shared" si="5"/>
        <v>0</v>
      </c>
      <c r="K127" s="57">
        <f>(J4+J21+J22+J23+J29+J30+J31)*0.06*N2+(J116+J119)*0.03*N2+(J81+J77+J78+J80+J79+J82+J83+J87+J88+J89)*0.07*N2</f>
        <v>0</v>
      </c>
      <c r="L127" s="57"/>
      <c r="M127" s="57"/>
    </row>
    <row r="128" spans="1:14">
      <c r="C128" s="105"/>
      <c r="D128" s="105"/>
      <c r="E128" s="21" t="s">
        <v>225</v>
      </c>
      <c r="F128" s="33" t="s">
        <v>225</v>
      </c>
      <c r="G128" s="57"/>
      <c r="H128" s="54"/>
      <c r="I128" s="68"/>
      <c r="J128" s="57">
        <f t="shared" si="5"/>
        <v>0</v>
      </c>
      <c r="K128" s="57">
        <f>(J102+J103+J106+J105+J107+J104)*0.07*N2+(J69+J70+J45+J46+J53+J54)*0.03*N2+J12*0.06*N2</f>
        <v>0</v>
      </c>
      <c r="L128" s="57"/>
      <c r="M128" s="57"/>
    </row>
    <row r="129" spans="3:13">
      <c r="C129" s="105"/>
      <c r="D129" s="105"/>
      <c r="E129" s="21" t="s">
        <v>224</v>
      </c>
      <c r="F129" s="33" t="s">
        <v>224</v>
      </c>
      <c r="G129" s="57"/>
      <c r="H129" s="54"/>
      <c r="I129" s="68"/>
      <c r="J129" s="57">
        <v>0</v>
      </c>
      <c r="K129" s="57">
        <f>(J38+J96+J98+J97+J90+J93+J91+J92)*0.07*N2+(J61+J62)*0.03*N2+(J32)*0.06*N2</f>
        <v>0</v>
      </c>
      <c r="L129" s="57"/>
      <c r="M129" s="57"/>
    </row>
    <row r="130" spans="3:13">
      <c r="C130" s="105"/>
      <c r="D130" s="105"/>
      <c r="E130" s="21" t="s">
        <v>223</v>
      </c>
      <c r="F130" s="33" t="s">
        <v>223</v>
      </c>
      <c r="G130" s="57"/>
      <c r="H130" s="54"/>
      <c r="I130" s="68"/>
      <c r="J130" s="57">
        <v>0</v>
      </c>
      <c r="K130" s="57">
        <f>(J6+J7)*0.06*N2</f>
        <v>0</v>
      </c>
      <c r="L130" s="57"/>
      <c r="M130" s="57"/>
    </row>
    <row r="131" spans="3:13">
      <c r="C131" s="105"/>
      <c r="D131" s="105"/>
      <c r="E131" s="21" t="s">
        <v>222</v>
      </c>
      <c r="F131" s="21" t="s">
        <v>222</v>
      </c>
      <c r="G131" s="33"/>
      <c r="H131" s="57"/>
      <c r="I131" s="54"/>
      <c r="J131" s="57">
        <v>0</v>
      </c>
      <c r="K131" s="57">
        <f>(J109+J110+J111+J112+J113+J114+J36+J37)*0.07*N2+(J59+J60+J55+J49+J43+J56+J67+J68+J44+J50)*0.03*N2+(J10+J11)*0.06*N2</f>
        <v>0</v>
      </c>
      <c r="L131" s="57"/>
      <c r="M131" s="57"/>
    </row>
    <row r="132" spans="3:13">
      <c r="C132" s="105"/>
      <c r="D132" s="105"/>
      <c r="E132" s="21" t="s">
        <v>226</v>
      </c>
      <c r="F132" s="33" t="s">
        <v>226</v>
      </c>
      <c r="G132" s="57"/>
      <c r="H132" s="54"/>
      <c r="I132" s="68"/>
      <c r="J132" s="57">
        <v>0</v>
      </c>
      <c r="K132" s="57">
        <f>(J34+J35+J71+J72+J73+J84+J85+J86)*0.07*N2+(J65+J66+J39+J40+J63+J64)*0.03*N2+(J32)*0.06*N2</f>
        <v>0</v>
      </c>
      <c r="L132" s="57"/>
      <c r="M132" s="57"/>
    </row>
    <row r="133" spans="3:13">
      <c r="F133" s="58" t="s">
        <v>227</v>
      </c>
      <c r="G133" s="65">
        <f t="shared" ref="G133:J133" si="6">SUM(G3:G128)</f>
        <v>0</v>
      </c>
      <c r="H133" s="66"/>
      <c r="I133" s="69">
        <f t="shared" si="6"/>
        <v>0</v>
      </c>
      <c r="J133" s="65">
        <f t="shared" si="6"/>
        <v>0</v>
      </c>
      <c r="K133" s="65">
        <f>J133*N2</f>
        <v>0</v>
      </c>
      <c r="L133" s="57"/>
      <c r="M133" s="57"/>
    </row>
    <row r="134" spans="3:13">
      <c r="F134" s="58" t="s">
        <v>228</v>
      </c>
      <c r="G134" s="65"/>
      <c r="H134" s="66"/>
      <c r="I134" s="69"/>
      <c r="J134" s="65"/>
      <c r="K134" s="65">
        <f>K133*0.4</f>
        <v>0</v>
      </c>
      <c r="L134" s="57"/>
      <c r="M134" s="57"/>
    </row>
    <row r="135" spans="3:13">
      <c r="F135" s="58" t="s">
        <v>261</v>
      </c>
      <c r="G135" s="65"/>
      <c r="H135" s="66"/>
      <c r="I135" s="69"/>
      <c r="J135" s="65"/>
      <c r="K135" s="65">
        <f>K133*0.6</f>
        <v>0</v>
      </c>
      <c r="L135" s="57"/>
      <c r="M135" s="57"/>
    </row>
    <row r="136" spans="3:13">
      <c r="C136" s="21" t="s">
        <v>355</v>
      </c>
      <c r="E136" s="21" t="s">
        <v>230</v>
      </c>
      <c r="F136" s="33"/>
      <c r="G136" s="57"/>
      <c r="H136" s="54"/>
      <c r="I136" s="68"/>
      <c r="J136" s="57"/>
      <c r="K136" s="57">
        <f>(J15+J32+J9)*0.05*N2+M4+M6+M24+M26-N6+M3</f>
        <v>0</v>
      </c>
      <c r="L136" s="57"/>
      <c r="M136" s="57"/>
    </row>
    <row r="137" spans="3:13">
      <c r="C137" s="21" t="s">
        <v>356</v>
      </c>
      <c r="E137" s="21" t="s">
        <v>230</v>
      </c>
      <c r="F137" s="33"/>
      <c r="G137" s="57"/>
      <c r="H137" s="54"/>
      <c r="I137" s="68"/>
      <c r="J137" s="57"/>
      <c r="K137" s="57">
        <f>(0)*0.05*N2+M102+M84+M111+M96+M81+M71+M74+M90+M88</f>
        <v>0</v>
      </c>
      <c r="L137" s="57"/>
      <c r="M137" s="57"/>
    </row>
    <row r="138" spans="3:13">
      <c r="C138" s="21" t="s">
        <v>357</v>
      </c>
      <c r="E138" s="21" t="s">
        <v>233</v>
      </c>
      <c r="F138" s="33"/>
      <c r="G138" s="57"/>
      <c r="H138" s="54"/>
      <c r="I138" s="68"/>
      <c r="J138" s="57"/>
      <c r="K138" s="57">
        <f>(0)*0.05*N2+M34</f>
        <v>0</v>
      </c>
      <c r="L138" s="57"/>
      <c r="M138" s="57"/>
    </row>
    <row r="139" spans="3:13">
      <c r="C139" s="21" t="s">
        <v>358</v>
      </c>
      <c r="E139" s="21" t="s">
        <v>230</v>
      </c>
      <c r="F139" s="33"/>
      <c r="G139" s="57"/>
      <c r="H139" s="54"/>
      <c r="I139" s="68"/>
      <c r="J139" s="57"/>
      <c r="K139" s="57">
        <f>(J39+J40+J41+J42+J49+J50)*0.05*N2+M51+M65+M56+M53+M59+M43+M47+M45</f>
        <v>0</v>
      </c>
      <c r="L139" s="57"/>
      <c r="M139" s="57"/>
    </row>
    <row r="140" spans="3:13">
      <c r="C140" s="21" t="s">
        <v>235</v>
      </c>
      <c r="E140" s="21" t="s">
        <v>230</v>
      </c>
      <c r="F140" s="33"/>
      <c r="G140" s="57"/>
      <c r="H140" s="54"/>
      <c r="I140" s="68"/>
      <c r="J140" s="57"/>
      <c r="K140" s="57">
        <f>M115+M118</f>
        <v>0</v>
      </c>
      <c r="L140" s="57"/>
      <c r="M140" s="57"/>
    </row>
    <row r="141" spans="3:13">
      <c r="C141" s="21" t="s">
        <v>262</v>
      </c>
      <c r="E141" s="21" t="s">
        <v>230</v>
      </c>
      <c r="F141" s="33"/>
      <c r="G141" s="57"/>
      <c r="H141" s="54"/>
      <c r="I141" s="68"/>
      <c r="J141" s="57"/>
      <c r="K141" s="57">
        <f>J133*0.07*N2</f>
        <v>0</v>
      </c>
      <c r="L141" s="57"/>
      <c r="M141" s="57"/>
    </row>
    <row r="142" spans="3:13">
      <c r="K142" s="59">
        <f>K136+K137+K139</f>
        <v>0</v>
      </c>
    </row>
    <row r="143" spans="3:13">
      <c r="K143" s="65">
        <f>K136+K137+K138+K139+K140</f>
        <v>0</v>
      </c>
    </row>
  </sheetData>
  <mergeCells count="8">
    <mergeCell ref="C123:C124"/>
    <mergeCell ref="C125:D132"/>
    <mergeCell ref="C3:C33"/>
    <mergeCell ref="C34:C38"/>
    <mergeCell ref="C39:C70"/>
    <mergeCell ref="C71:C113"/>
    <mergeCell ref="C115:C120"/>
    <mergeCell ref="C121:C122"/>
  </mergeCells>
  <phoneticPr fontId="37" type="noConversion"/>
  <conditionalFormatting sqref="E128">
    <cfRule type="containsText" dxfId="30" priority="2" operator="containsText" text="方泽斯">
      <formula>NOT(ISERROR(SEARCH("方泽斯",E128)))</formula>
    </cfRule>
  </conditionalFormatting>
  <conditionalFormatting sqref="E138">
    <cfRule type="containsText" dxfId="29" priority="1" operator="containsText" text="方泽斯">
      <formula>NOT(ISERROR(SEARCH("方泽斯",E138)))</formula>
    </cfRule>
  </conditionalFormatting>
  <pageMargins left="0.7" right="0.7" top="0.75" bottom="0.75" header="0.3" footer="0.3"/>
  <pageSetup paperSize="9" scale="48" orientation="portrait" horizontalDpi="0" verticalDpi="180"/>
</worksheet>
</file>

<file path=xl/worksheets/sheet7.xml><?xml version="1.0" encoding="utf-8"?>
<worksheet xmlns="http://schemas.openxmlformats.org/spreadsheetml/2006/main" xmlns:r="http://schemas.openxmlformats.org/officeDocument/2006/relationships">
  <sheetPr enableFormatConditionsCalculation="0">
    <tabColor rgb="FF92D050"/>
    <pageSetUpPr fitToPage="1"/>
  </sheetPr>
  <dimension ref="A1:Y63"/>
  <sheetViews>
    <sheetView topLeftCell="C1" zoomScaleSheetLayoutView="100" workbookViewId="0">
      <selection activeCell="J39" sqref="J39"/>
    </sheetView>
  </sheetViews>
  <sheetFormatPr defaultRowHeight="13.5"/>
  <cols>
    <col min="1" max="2" width="10.875" style="21" hidden="1" customWidth="1"/>
    <col min="3" max="3" width="9.5" style="21" customWidth="1"/>
    <col min="4" max="5" width="10.25" style="21" customWidth="1"/>
    <col min="6" max="6" width="22.5" style="21" customWidth="1"/>
    <col min="7" max="7" width="14.875" style="59" customWidth="1"/>
    <col min="8" max="8" width="12.75" style="60" customWidth="1"/>
    <col min="9" max="9" width="15.875" style="61" customWidth="1"/>
    <col min="10" max="10" width="13.75" style="59" customWidth="1"/>
    <col min="11" max="11" width="15.625" style="59" customWidth="1"/>
    <col min="12" max="12" width="9.625" style="59" customWidth="1"/>
    <col min="13" max="13" width="10.125" style="59" customWidth="1"/>
    <col min="14" max="14" width="11.625" style="59" customWidth="1"/>
    <col min="15" max="15" width="8.5" style="21" customWidth="1"/>
    <col min="16" max="16" width="18.25" style="21" customWidth="1"/>
    <col min="17" max="17" width="13.875" style="21" customWidth="1"/>
    <col min="18" max="19" width="12.75" style="21" customWidth="1"/>
    <col min="20" max="20" width="14" style="21" customWidth="1"/>
    <col min="21" max="22" width="9" style="21"/>
    <col min="23" max="24" width="8.125" style="21" customWidth="1"/>
    <col min="25" max="25" width="7.75" style="21" customWidth="1"/>
    <col min="26" max="26" width="13.25" style="21" customWidth="1"/>
    <col min="27" max="16384" width="9" style="21"/>
  </cols>
  <sheetData>
    <row r="1" spans="1:25">
      <c r="C1" s="21" t="s">
        <v>375</v>
      </c>
    </row>
    <row r="2" spans="1:25" s="22" customFormat="1" ht="21" customHeight="1">
      <c r="A2" s="24"/>
      <c r="B2" s="24"/>
      <c r="C2" s="25" t="s">
        <v>1</v>
      </c>
      <c r="D2" s="25" t="s">
        <v>2</v>
      </c>
      <c r="E2" s="25"/>
      <c r="F2" s="26" t="s">
        <v>3</v>
      </c>
      <c r="G2" s="27" t="s">
        <v>4</v>
      </c>
      <c r="H2" s="28" t="s">
        <v>5</v>
      </c>
      <c r="I2" s="29" t="s">
        <v>6</v>
      </c>
      <c r="J2" s="29" t="s">
        <v>7</v>
      </c>
      <c r="K2" s="38" t="s">
        <v>8</v>
      </c>
      <c r="L2" s="39"/>
      <c r="M2" s="40" t="s">
        <v>9</v>
      </c>
      <c r="N2" s="41">
        <v>7.01</v>
      </c>
      <c r="O2" s="42"/>
      <c r="P2" s="43"/>
      <c r="Q2" s="44"/>
      <c r="R2" s="45"/>
      <c r="S2" s="45"/>
      <c r="W2" s="46"/>
      <c r="X2" s="46"/>
      <c r="Y2" s="46"/>
    </row>
    <row r="3" spans="1:25">
      <c r="A3" s="64">
        <v>43556</v>
      </c>
      <c r="B3" s="30" t="s">
        <v>375</v>
      </c>
      <c r="C3" s="102" t="s">
        <v>10</v>
      </c>
      <c r="D3" s="21" t="s">
        <v>31</v>
      </c>
      <c r="E3" s="21" t="s">
        <v>20</v>
      </c>
      <c r="F3" s="33" t="s">
        <v>21</v>
      </c>
      <c r="G3" s="57"/>
      <c r="H3" s="54"/>
      <c r="I3" s="67"/>
      <c r="J3" s="57">
        <f t="shared" ref="J3:J48" si="0">(G3*H3*0.98)-I3</f>
        <v>0</v>
      </c>
      <c r="K3" s="57">
        <f>J3*0.05*N2</f>
        <v>0</v>
      </c>
      <c r="L3" s="57">
        <f>K3/0.05*0.25</f>
        <v>0</v>
      </c>
      <c r="M3" s="57">
        <f>L3-K3</f>
        <v>0</v>
      </c>
      <c r="N3" s="57"/>
    </row>
    <row r="4" spans="1:25">
      <c r="A4" s="64">
        <v>43556</v>
      </c>
      <c r="B4" s="30" t="s">
        <v>375</v>
      </c>
      <c r="C4" s="103"/>
      <c r="D4" s="21" t="s">
        <v>32</v>
      </c>
      <c r="E4" s="21" t="s">
        <v>33</v>
      </c>
      <c r="F4" s="33" t="s">
        <v>34</v>
      </c>
      <c r="G4" s="57"/>
      <c r="H4" s="54"/>
      <c r="I4" s="68"/>
      <c r="J4" s="57">
        <f t="shared" si="0"/>
        <v>0</v>
      </c>
      <c r="K4" s="57">
        <f>(J4+J5)*0.2*N2</f>
        <v>0</v>
      </c>
      <c r="L4" s="57"/>
      <c r="M4" s="57"/>
      <c r="N4" s="57"/>
    </row>
    <row r="5" spans="1:25">
      <c r="A5" s="64">
        <v>43556</v>
      </c>
      <c r="B5" s="30" t="s">
        <v>375</v>
      </c>
      <c r="C5" s="103"/>
      <c r="D5" s="21" t="s">
        <v>38</v>
      </c>
      <c r="E5" s="21" t="s">
        <v>33</v>
      </c>
      <c r="F5" s="33" t="s">
        <v>34</v>
      </c>
      <c r="G5" s="57"/>
      <c r="H5" s="54"/>
      <c r="I5" s="68"/>
      <c r="J5" s="57">
        <f t="shared" si="0"/>
        <v>0</v>
      </c>
      <c r="K5" s="57"/>
      <c r="L5" s="57"/>
      <c r="M5" s="57"/>
      <c r="N5" s="57"/>
    </row>
    <row r="6" spans="1:25">
      <c r="A6" s="64">
        <v>43556</v>
      </c>
      <c r="B6" s="30" t="s">
        <v>375</v>
      </c>
      <c r="C6" s="103"/>
      <c r="D6" s="21" t="s">
        <v>60</v>
      </c>
      <c r="E6" s="21" t="s">
        <v>57</v>
      </c>
      <c r="F6" s="33" t="s">
        <v>58</v>
      </c>
      <c r="G6" s="57"/>
      <c r="H6" s="54"/>
      <c r="I6" s="68"/>
      <c r="J6" s="57">
        <f t="shared" si="0"/>
        <v>0</v>
      </c>
      <c r="K6" s="57">
        <f>J6*0.05*N2</f>
        <v>0</v>
      </c>
      <c r="L6" s="57"/>
      <c r="M6" s="57"/>
      <c r="N6" s="57" t="s">
        <v>37</v>
      </c>
    </row>
    <row r="7" spans="1:25">
      <c r="A7" s="64">
        <v>43556</v>
      </c>
      <c r="B7" s="30" t="s">
        <v>375</v>
      </c>
      <c r="C7" s="103"/>
      <c r="D7" s="21" t="s">
        <v>39</v>
      </c>
      <c r="E7" s="21" t="s">
        <v>40</v>
      </c>
      <c r="F7" s="33" t="s">
        <v>41</v>
      </c>
      <c r="G7" s="57"/>
      <c r="H7" s="54"/>
      <c r="I7" s="68"/>
      <c r="J7" s="57">
        <f t="shared" si="0"/>
        <v>0</v>
      </c>
      <c r="K7" s="57">
        <f>(J7+J8)*0.05*N2</f>
        <v>0</v>
      </c>
      <c r="L7" s="57">
        <f t="shared" ref="L7:L11" si="1">K7/0.05*0.25</f>
        <v>0</v>
      </c>
      <c r="M7" s="57">
        <f t="shared" ref="M7:M12" si="2">L7-K7</f>
        <v>0</v>
      </c>
      <c r="N7" s="57"/>
    </row>
    <row r="8" spans="1:25">
      <c r="A8" s="64">
        <v>43556</v>
      </c>
      <c r="B8" s="30" t="s">
        <v>375</v>
      </c>
      <c r="C8" s="103"/>
      <c r="D8" s="21" t="s">
        <v>44</v>
      </c>
      <c r="E8" s="21" t="s">
        <v>40</v>
      </c>
      <c r="F8" s="33" t="s">
        <v>41</v>
      </c>
      <c r="G8" s="57"/>
      <c r="H8" s="54"/>
      <c r="I8" s="67"/>
      <c r="J8" s="57">
        <f t="shared" si="0"/>
        <v>0</v>
      </c>
      <c r="K8" s="57"/>
      <c r="L8" s="57"/>
      <c r="M8" s="57"/>
      <c r="N8" s="57"/>
    </row>
    <row r="9" spans="1:25">
      <c r="A9" s="64">
        <v>43556</v>
      </c>
      <c r="B9" s="30" t="s">
        <v>375</v>
      </c>
      <c r="C9" s="103"/>
      <c r="D9" s="21" t="s">
        <v>62</v>
      </c>
      <c r="E9" s="21" t="s">
        <v>63</v>
      </c>
      <c r="F9" s="33" t="s">
        <v>64</v>
      </c>
      <c r="G9" s="57"/>
      <c r="H9" s="54"/>
      <c r="I9" s="67"/>
      <c r="J9" s="57">
        <f t="shared" si="0"/>
        <v>0</v>
      </c>
      <c r="K9" s="57"/>
      <c r="L9" s="57"/>
      <c r="M9" s="57"/>
      <c r="N9" s="57"/>
    </row>
    <row r="10" spans="1:25">
      <c r="A10" s="64">
        <v>43556</v>
      </c>
      <c r="B10" s="30" t="s">
        <v>375</v>
      </c>
      <c r="C10" s="103"/>
      <c r="D10" s="21" t="s">
        <v>61</v>
      </c>
      <c r="E10" s="21" t="s">
        <v>63</v>
      </c>
      <c r="F10" s="33" t="s">
        <v>64</v>
      </c>
      <c r="G10" s="57"/>
      <c r="H10" s="54"/>
      <c r="I10" s="68"/>
      <c r="J10" s="57">
        <f t="shared" si="0"/>
        <v>0</v>
      </c>
      <c r="K10" s="57">
        <f>(J10+J9+J11)*0.05*N2</f>
        <v>0</v>
      </c>
      <c r="L10" s="57">
        <f t="shared" si="1"/>
        <v>0</v>
      </c>
      <c r="M10" s="57">
        <f t="shared" si="2"/>
        <v>0</v>
      </c>
      <c r="N10" s="57"/>
    </row>
    <row r="11" spans="1:25">
      <c r="A11" s="64">
        <v>43556</v>
      </c>
      <c r="B11" s="30" t="s">
        <v>375</v>
      </c>
      <c r="C11" s="103"/>
      <c r="D11" s="21" t="s">
        <v>66</v>
      </c>
      <c r="E11" s="21" t="s">
        <v>63</v>
      </c>
      <c r="F11" s="33" t="s">
        <v>64</v>
      </c>
      <c r="G11" s="57"/>
      <c r="H11" s="54"/>
      <c r="I11" s="68"/>
      <c r="J11" s="57">
        <f t="shared" si="0"/>
        <v>0</v>
      </c>
      <c r="K11" s="57"/>
      <c r="L11" s="57">
        <f t="shared" si="1"/>
        <v>0</v>
      </c>
      <c r="M11" s="57">
        <f t="shared" si="2"/>
        <v>0</v>
      </c>
      <c r="N11" s="57"/>
    </row>
    <row r="12" spans="1:25">
      <c r="A12" s="64">
        <v>43556</v>
      </c>
      <c r="B12" s="30" t="s">
        <v>375</v>
      </c>
      <c r="C12" s="103"/>
      <c r="D12" s="21" t="s">
        <v>70</v>
      </c>
      <c r="E12" s="21" t="s">
        <v>376</v>
      </c>
      <c r="F12" s="33" t="s">
        <v>377</v>
      </c>
      <c r="G12" s="57"/>
      <c r="H12" s="54"/>
      <c r="I12" s="68"/>
      <c r="J12" s="57">
        <f t="shared" si="0"/>
        <v>0</v>
      </c>
      <c r="K12" s="57">
        <f>J12*0.03*N2</f>
        <v>0</v>
      </c>
      <c r="L12" s="57">
        <f>K12/0.03*0.25</f>
        <v>0</v>
      </c>
      <c r="M12" s="57">
        <f t="shared" si="2"/>
        <v>0</v>
      </c>
      <c r="N12" s="57"/>
    </row>
    <row r="13" spans="1:25">
      <c r="A13" s="64"/>
      <c r="B13" s="30"/>
      <c r="C13" s="103"/>
      <c r="D13" s="21" t="s">
        <v>67</v>
      </c>
      <c r="E13" s="21" t="s">
        <v>68</v>
      </c>
      <c r="F13" s="33" t="s">
        <v>69</v>
      </c>
      <c r="G13" s="57"/>
      <c r="H13" s="54"/>
      <c r="I13" s="68"/>
      <c r="J13" s="57">
        <f t="shared" si="0"/>
        <v>0</v>
      </c>
      <c r="K13" s="57">
        <f>J13*0.05*N2</f>
        <v>0</v>
      </c>
      <c r="L13" s="57"/>
      <c r="M13" s="57"/>
      <c r="N13" s="57"/>
    </row>
    <row r="14" spans="1:25">
      <c r="A14" s="64">
        <v>43556</v>
      </c>
      <c r="B14" s="30" t="s">
        <v>375</v>
      </c>
      <c r="C14" s="104"/>
      <c r="D14" s="21" t="s">
        <v>77</v>
      </c>
      <c r="E14" s="21" t="s">
        <v>12</v>
      </c>
      <c r="F14" s="33" t="s">
        <v>13</v>
      </c>
      <c r="G14" s="57"/>
      <c r="H14" s="54"/>
      <c r="I14" s="67"/>
      <c r="J14" s="57">
        <f t="shared" si="0"/>
        <v>0</v>
      </c>
      <c r="K14" s="57">
        <f>J14*0.05*N2</f>
        <v>0</v>
      </c>
      <c r="L14" s="57">
        <f>K14/0.05*0.25</f>
        <v>0</v>
      </c>
      <c r="M14" s="57">
        <f t="shared" ref="M14:M21" si="3">L14-K14</f>
        <v>0</v>
      </c>
      <c r="N14" s="57"/>
    </row>
    <row r="15" spans="1:25">
      <c r="A15" s="64">
        <v>43556</v>
      </c>
      <c r="B15" s="30" t="s">
        <v>375</v>
      </c>
      <c r="C15" s="102" t="s">
        <v>83</v>
      </c>
      <c r="D15" s="21" t="s">
        <v>105</v>
      </c>
      <c r="E15" s="21" t="s">
        <v>99</v>
      </c>
      <c r="F15" s="33" t="s">
        <v>100</v>
      </c>
      <c r="G15" s="57"/>
      <c r="H15" s="54"/>
      <c r="I15" s="67"/>
      <c r="J15" s="57">
        <f t="shared" si="0"/>
        <v>0</v>
      </c>
      <c r="K15" s="57">
        <f>(J15)*0.03*N2</f>
        <v>0</v>
      </c>
      <c r="L15" s="57">
        <f>K15/0.03*0.25</f>
        <v>0</v>
      </c>
      <c r="M15" s="57">
        <f t="shared" si="3"/>
        <v>0</v>
      </c>
      <c r="N15" s="57"/>
    </row>
    <row r="16" spans="1:25">
      <c r="A16" s="64">
        <v>43556</v>
      </c>
      <c r="B16" s="30" t="s">
        <v>375</v>
      </c>
      <c r="C16" s="103"/>
      <c r="D16" s="21" t="s">
        <v>95</v>
      </c>
      <c r="E16" s="21" t="s">
        <v>85</v>
      </c>
      <c r="F16" s="33" t="s">
        <v>86</v>
      </c>
      <c r="G16" s="57"/>
      <c r="H16" s="54"/>
      <c r="I16" s="68"/>
      <c r="J16" s="57">
        <f t="shared" si="0"/>
        <v>0</v>
      </c>
      <c r="K16" s="57">
        <f>(J16+J18)*0.03*N2</f>
        <v>0</v>
      </c>
      <c r="L16" s="57">
        <f t="shared" ref="L16:L21" si="4">K16/0.03*0.25</f>
        <v>0</v>
      </c>
      <c r="M16" s="57">
        <f t="shared" si="3"/>
        <v>0</v>
      </c>
      <c r="N16" s="57"/>
    </row>
    <row r="17" spans="1:14">
      <c r="A17" s="64">
        <v>43556</v>
      </c>
      <c r="B17" s="30" t="s">
        <v>375</v>
      </c>
      <c r="C17" s="103"/>
      <c r="D17" s="21" t="s">
        <v>102</v>
      </c>
      <c r="E17" s="21" t="s">
        <v>93</v>
      </c>
      <c r="F17" s="33" t="s">
        <v>94</v>
      </c>
      <c r="G17" s="74"/>
      <c r="H17" s="54"/>
      <c r="I17" s="68"/>
      <c r="J17" s="57">
        <f t="shared" si="0"/>
        <v>0</v>
      </c>
      <c r="K17" s="57"/>
      <c r="L17" s="57"/>
      <c r="M17" s="57"/>
      <c r="N17" s="57"/>
    </row>
    <row r="18" spans="1:14">
      <c r="A18" s="64">
        <v>43556</v>
      </c>
      <c r="B18" s="30" t="s">
        <v>375</v>
      </c>
      <c r="C18" s="103"/>
      <c r="D18" s="21" t="s">
        <v>84</v>
      </c>
      <c r="E18" s="21" t="s">
        <v>85</v>
      </c>
      <c r="F18" s="33" t="s">
        <v>86</v>
      </c>
      <c r="G18" s="57"/>
      <c r="H18" s="54"/>
      <c r="I18" s="67"/>
      <c r="J18" s="57">
        <f t="shared" si="0"/>
        <v>0</v>
      </c>
      <c r="K18" s="57"/>
      <c r="L18" s="57"/>
      <c r="M18" s="57"/>
      <c r="N18" s="57"/>
    </row>
    <row r="19" spans="1:14">
      <c r="A19" s="64">
        <v>43556</v>
      </c>
      <c r="B19" s="30" t="s">
        <v>375</v>
      </c>
      <c r="C19" s="104"/>
      <c r="D19" s="21" t="s">
        <v>103</v>
      </c>
      <c r="E19" s="21" t="s">
        <v>93</v>
      </c>
      <c r="F19" s="33" t="s">
        <v>94</v>
      </c>
      <c r="G19" s="57"/>
      <c r="H19" s="54"/>
      <c r="I19" s="67"/>
      <c r="J19" s="57">
        <f t="shared" si="0"/>
        <v>0</v>
      </c>
      <c r="K19" s="57">
        <f>(J19+J17)*0.2*N2</f>
        <v>0</v>
      </c>
      <c r="L19" s="57"/>
      <c r="M19" s="57"/>
      <c r="N19" s="57"/>
    </row>
    <row r="20" spans="1:14">
      <c r="A20" s="64">
        <v>43556</v>
      </c>
      <c r="B20" s="30" t="s">
        <v>375</v>
      </c>
      <c r="C20" s="105" t="s">
        <v>106</v>
      </c>
      <c r="D20" s="21" t="s">
        <v>126</v>
      </c>
      <c r="E20" s="21" t="s">
        <v>113</v>
      </c>
      <c r="F20" s="33" t="s">
        <v>114</v>
      </c>
      <c r="G20" s="57"/>
      <c r="H20" s="54"/>
      <c r="I20" s="79"/>
      <c r="J20" s="57">
        <f t="shared" si="0"/>
        <v>0</v>
      </c>
      <c r="K20" s="57"/>
      <c r="L20" s="57">
        <f t="shared" si="4"/>
        <v>0</v>
      </c>
      <c r="M20" s="57">
        <f t="shared" si="3"/>
        <v>0</v>
      </c>
      <c r="N20" s="57"/>
    </row>
    <row r="21" spans="1:14">
      <c r="A21" s="64"/>
      <c r="B21" s="30"/>
      <c r="C21" s="105"/>
      <c r="D21" s="21" t="s">
        <v>120</v>
      </c>
      <c r="E21" s="21" t="s">
        <v>121</v>
      </c>
      <c r="F21" s="33" t="s">
        <v>122</v>
      </c>
      <c r="G21" s="57"/>
      <c r="H21" s="54"/>
      <c r="I21" s="79"/>
      <c r="J21" s="57">
        <f t="shared" si="0"/>
        <v>0</v>
      </c>
      <c r="K21" s="57">
        <f>(J21+J22+J23)*0.05*N2</f>
        <v>0</v>
      </c>
      <c r="L21" s="57">
        <f t="shared" si="4"/>
        <v>0</v>
      </c>
      <c r="M21" s="57">
        <f t="shared" si="3"/>
        <v>0</v>
      </c>
      <c r="N21" s="57"/>
    </row>
    <row r="22" spans="1:14">
      <c r="A22" s="64"/>
      <c r="B22" s="30"/>
      <c r="C22" s="105"/>
      <c r="D22" s="21" t="s">
        <v>123</v>
      </c>
      <c r="E22" s="21" t="s">
        <v>121</v>
      </c>
      <c r="F22" s="33" t="s">
        <v>122</v>
      </c>
      <c r="G22" s="57"/>
      <c r="H22" s="54"/>
      <c r="I22" s="79"/>
      <c r="J22" s="57">
        <f t="shared" si="0"/>
        <v>0</v>
      </c>
      <c r="K22" s="57"/>
      <c r="L22" s="57"/>
      <c r="M22" s="57"/>
      <c r="N22" s="57"/>
    </row>
    <row r="23" spans="1:14">
      <c r="A23" s="64"/>
      <c r="B23" s="30"/>
      <c r="C23" s="105"/>
      <c r="D23" s="21" t="s">
        <v>125</v>
      </c>
      <c r="E23" s="21" t="s">
        <v>121</v>
      </c>
      <c r="F23" s="33" t="s">
        <v>122</v>
      </c>
      <c r="G23" s="57"/>
      <c r="H23" s="54"/>
      <c r="I23" s="79"/>
      <c r="J23" s="57">
        <f t="shared" si="0"/>
        <v>0</v>
      </c>
      <c r="K23" s="57"/>
      <c r="L23" s="57"/>
      <c r="M23" s="57"/>
      <c r="N23" s="57"/>
    </row>
    <row r="24" spans="1:14">
      <c r="A24" s="64"/>
      <c r="B24" s="30"/>
      <c r="C24" s="105"/>
      <c r="D24" s="21" t="s">
        <v>107</v>
      </c>
      <c r="E24" s="21" t="s">
        <v>108</v>
      </c>
      <c r="F24" s="33" t="s">
        <v>109</v>
      </c>
      <c r="G24" s="57"/>
      <c r="H24" s="54"/>
      <c r="I24" s="68"/>
      <c r="J24" s="57">
        <f t="shared" si="0"/>
        <v>0</v>
      </c>
      <c r="K24" s="57"/>
      <c r="L24" s="57"/>
      <c r="M24" s="57"/>
      <c r="N24" s="57"/>
    </row>
    <row r="25" spans="1:14">
      <c r="A25" s="64">
        <v>43556</v>
      </c>
      <c r="B25" s="30" t="s">
        <v>375</v>
      </c>
      <c r="C25" s="105"/>
      <c r="D25" s="21" t="s">
        <v>111</v>
      </c>
      <c r="E25" s="21" t="s">
        <v>108</v>
      </c>
      <c r="F25" s="33" t="s">
        <v>109</v>
      </c>
      <c r="G25" s="57"/>
      <c r="H25" s="54"/>
      <c r="I25" s="79"/>
      <c r="J25" s="57">
        <f t="shared" si="0"/>
        <v>0</v>
      </c>
      <c r="K25" s="57">
        <f>(J25+J24+J26)*0.03*N2</f>
        <v>0</v>
      </c>
      <c r="L25" s="57">
        <f>K25/0.03*0.25</f>
        <v>0</v>
      </c>
      <c r="M25" s="57">
        <f>L25-K25</f>
        <v>0</v>
      </c>
      <c r="N25" s="57"/>
    </row>
    <row r="26" spans="1:14">
      <c r="A26" s="64">
        <v>43556</v>
      </c>
      <c r="B26" s="30" t="s">
        <v>375</v>
      </c>
      <c r="C26" s="105"/>
      <c r="D26" s="21" t="s">
        <v>111</v>
      </c>
      <c r="E26" s="21" t="s">
        <v>108</v>
      </c>
      <c r="F26" s="33" t="s">
        <v>110</v>
      </c>
      <c r="G26" s="57"/>
      <c r="H26" s="54"/>
      <c r="I26" s="68"/>
      <c r="J26" s="57">
        <f t="shared" si="0"/>
        <v>0</v>
      </c>
      <c r="K26" s="57"/>
      <c r="L26" s="57"/>
      <c r="M26" s="57"/>
      <c r="N26" s="57"/>
    </row>
    <row r="27" spans="1:14">
      <c r="A27" s="64">
        <v>43556</v>
      </c>
      <c r="B27" s="30" t="s">
        <v>375</v>
      </c>
      <c r="C27" s="105"/>
      <c r="D27" s="21" t="s">
        <v>128</v>
      </c>
      <c r="E27" s="21" t="s">
        <v>129</v>
      </c>
      <c r="F27" s="33" t="s">
        <v>130</v>
      </c>
      <c r="G27" s="57"/>
      <c r="H27" s="54"/>
      <c r="I27" s="79"/>
      <c r="J27" s="57">
        <f t="shared" si="0"/>
        <v>0</v>
      </c>
      <c r="K27" s="57">
        <f>(J27+J28+J29)*0.05*N2</f>
        <v>0</v>
      </c>
      <c r="L27" s="57">
        <f>K27/0.05*0.25</f>
        <v>0</v>
      </c>
      <c r="M27" s="57">
        <f>L27-K27</f>
        <v>0</v>
      </c>
      <c r="N27" s="57"/>
    </row>
    <row r="28" spans="1:14">
      <c r="A28" s="64">
        <v>43556</v>
      </c>
      <c r="B28" s="30" t="s">
        <v>375</v>
      </c>
      <c r="C28" s="105"/>
      <c r="D28" s="21" t="s">
        <v>133</v>
      </c>
      <c r="E28" s="21" t="s">
        <v>129</v>
      </c>
      <c r="F28" s="33" t="s">
        <v>130</v>
      </c>
      <c r="G28" s="57"/>
      <c r="H28" s="54"/>
      <c r="I28" s="79"/>
      <c r="J28" s="57">
        <f t="shared" si="0"/>
        <v>0</v>
      </c>
      <c r="K28" s="57"/>
      <c r="L28" s="57"/>
      <c r="M28" s="57"/>
      <c r="N28" s="57"/>
    </row>
    <row r="29" spans="1:14">
      <c r="A29" s="64">
        <v>43556</v>
      </c>
      <c r="B29" s="30" t="s">
        <v>375</v>
      </c>
      <c r="C29" s="105"/>
      <c r="D29" s="21" t="s">
        <v>133</v>
      </c>
      <c r="E29" s="21" t="s">
        <v>129</v>
      </c>
      <c r="F29" s="33" t="s">
        <v>131</v>
      </c>
      <c r="G29" s="57"/>
      <c r="H29" s="54"/>
      <c r="I29" s="68"/>
      <c r="J29" s="57">
        <f t="shared" si="0"/>
        <v>0</v>
      </c>
      <c r="K29" s="57"/>
      <c r="L29" s="57"/>
      <c r="M29" s="57"/>
      <c r="N29" s="57"/>
    </row>
    <row r="30" spans="1:14">
      <c r="A30" s="64">
        <v>43556</v>
      </c>
      <c r="B30" s="30" t="s">
        <v>375</v>
      </c>
      <c r="C30" s="105"/>
      <c r="D30" s="21" t="s">
        <v>116</v>
      </c>
      <c r="E30" s="21" t="s">
        <v>117</v>
      </c>
      <c r="F30" s="33" t="s">
        <v>118</v>
      </c>
      <c r="G30" s="57"/>
      <c r="H30" s="54"/>
      <c r="I30" s="79"/>
      <c r="J30" s="57">
        <f t="shared" si="0"/>
        <v>0</v>
      </c>
      <c r="K30" s="57">
        <f>(J30)*0.15*N2</f>
        <v>0</v>
      </c>
      <c r="L30" s="57"/>
      <c r="M30" s="57"/>
      <c r="N30" s="57"/>
    </row>
    <row r="31" spans="1:14">
      <c r="A31" s="64">
        <v>43556</v>
      </c>
      <c r="B31" s="30" t="s">
        <v>375</v>
      </c>
      <c r="C31" s="105"/>
      <c r="D31" s="21" t="s">
        <v>116</v>
      </c>
      <c r="E31" s="21" t="s">
        <v>117</v>
      </c>
      <c r="F31" s="33" t="s">
        <v>119</v>
      </c>
      <c r="G31" s="57"/>
      <c r="H31" s="54"/>
      <c r="I31" s="68"/>
      <c r="J31" s="57">
        <f t="shared" si="0"/>
        <v>0</v>
      </c>
      <c r="K31" s="57"/>
      <c r="L31" s="57"/>
      <c r="M31" s="57"/>
      <c r="N31" s="57"/>
    </row>
    <row r="32" spans="1:14">
      <c r="A32" s="64">
        <v>43556</v>
      </c>
      <c r="B32" s="30" t="s">
        <v>375</v>
      </c>
      <c r="C32" s="102" t="s">
        <v>139</v>
      </c>
      <c r="D32" s="21" t="s">
        <v>175</v>
      </c>
      <c r="E32" s="21" t="s">
        <v>176</v>
      </c>
      <c r="F32" s="33" t="s">
        <v>177</v>
      </c>
      <c r="G32" s="57"/>
      <c r="H32" s="54"/>
      <c r="I32" s="68"/>
      <c r="J32" s="57">
        <f t="shared" si="0"/>
        <v>0</v>
      </c>
      <c r="K32" s="57">
        <f>(J32)*0.03*N2</f>
        <v>0</v>
      </c>
      <c r="L32" s="57">
        <f>K32/0.03*0.25</f>
        <v>0</v>
      </c>
      <c r="M32" s="57">
        <f t="shared" ref="M32:M37" si="5">L32-K32</f>
        <v>0</v>
      </c>
      <c r="N32" s="57"/>
    </row>
    <row r="33" spans="1:14">
      <c r="A33" s="64"/>
      <c r="B33" s="30"/>
      <c r="C33" s="103"/>
      <c r="D33" s="21" t="s">
        <v>88</v>
      </c>
      <c r="E33" s="21" t="s">
        <v>181</v>
      </c>
      <c r="F33" s="33" t="s">
        <v>182</v>
      </c>
      <c r="G33" s="57"/>
      <c r="H33" s="54"/>
      <c r="I33" s="68"/>
      <c r="J33" s="57">
        <f t="shared" si="0"/>
        <v>0</v>
      </c>
      <c r="K33" s="57">
        <f>(J33)*0.05*N2</f>
        <v>0</v>
      </c>
      <c r="L33" s="57">
        <f>K33/0.05*0.25</f>
        <v>0</v>
      </c>
      <c r="M33" s="57">
        <f t="shared" si="5"/>
        <v>0</v>
      </c>
      <c r="N33" s="57"/>
    </row>
    <row r="34" spans="1:14">
      <c r="A34" s="64">
        <v>43556</v>
      </c>
      <c r="B34" s="30" t="s">
        <v>375</v>
      </c>
      <c r="C34" s="103"/>
      <c r="D34" s="21" t="s">
        <v>169</v>
      </c>
      <c r="E34" s="21" t="s">
        <v>170</v>
      </c>
      <c r="F34" s="33" t="s">
        <v>171</v>
      </c>
      <c r="G34" s="57"/>
      <c r="H34" s="54"/>
      <c r="I34" s="68"/>
      <c r="J34" s="57">
        <f t="shared" si="0"/>
        <v>0</v>
      </c>
      <c r="K34" s="57">
        <f>(J34)*0.04*N2</f>
        <v>0</v>
      </c>
      <c r="L34" s="57">
        <f t="shared" ref="L34:L37" si="6">K34/0.04*0.25</f>
        <v>0</v>
      </c>
      <c r="M34" s="57">
        <f t="shared" si="5"/>
        <v>0</v>
      </c>
      <c r="N34" s="57"/>
    </row>
    <row r="35" spans="1:14">
      <c r="A35" s="64"/>
      <c r="B35" s="30"/>
      <c r="C35" s="103"/>
      <c r="D35" s="21" t="s">
        <v>164</v>
      </c>
      <c r="E35" s="21" t="s">
        <v>378</v>
      </c>
      <c r="F35" s="33" t="s">
        <v>379</v>
      </c>
      <c r="G35" s="57"/>
      <c r="H35" s="54"/>
      <c r="I35" s="68"/>
      <c r="J35" s="57">
        <f t="shared" si="0"/>
        <v>0</v>
      </c>
      <c r="K35" s="57">
        <f>(J35)*0.03*N2</f>
        <v>0</v>
      </c>
      <c r="L35" s="57">
        <f>K35/0.03*0.25</f>
        <v>0</v>
      </c>
      <c r="M35" s="57">
        <f t="shared" si="5"/>
        <v>0</v>
      </c>
      <c r="N35" s="57"/>
    </row>
    <row r="36" spans="1:14">
      <c r="A36" s="64">
        <v>43556</v>
      </c>
      <c r="B36" s="30" t="s">
        <v>375</v>
      </c>
      <c r="C36" s="103"/>
      <c r="D36" s="21" t="s">
        <v>152</v>
      </c>
      <c r="E36" s="21" t="s">
        <v>380</v>
      </c>
      <c r="F36" s="33" t="s">
        <v>381</v>
      </c>
      <c r="G36" s="57"/>
      <c r="H36" s="54"/>
      <c r="I36" s="68"/>
      <c r="J36" s="57">
        <f t="shared" si="0"/>
        <v>0</v>
      </c>
      <c r="K36" s="57">
        <f>J36*0.04*N2</f>
        <v>0</v>
      </c>
      <c r="L36" s="57">
        <f t="shared" si="6"/>
        <v>0</v>
      </c>
      <c r="M36" s="57">
        <f t="shared" si="5"/>
        <v>0</v>
      </c>
      <c r="N36" s="57"/>
    </row>
    <row r="37" spans="1:14">
      <c r="A37" s="64">
        <v>43556</v>
      </c>
      <c r="B37" s="30" t="s">
        <v>375</v>
      </c>
      <c r="C37" s="103"/>
      <c r="D37" s="21" t="s">
        <v>160</v>
      </c>
      <c r="E37" s="21" t="s">
        <v>161</v>
      </c>
      <c r="F37" s="33" t="s">
        <v>290</v>
      </c>
      <c r="G37" s="57"/>
      <c r="H37" s="54"/>
      <c r="I37" s="68"/>
      <c r="J37" s="57">
        <f t="shared" si="0"/>
        <v>0</v>
      </c>
      <c r="K37" s="57">
        <f>(J37+J38)*0.04*N2</f>
        <v>0</v>
      </c>
      <c r="L37" s="57">
        <f t="shared" si="6"/>
        <v>0</v>
      </c>
      <c r="M37" s="57">
        <f t="shared" si="5"/>
        <v>0</v>
      </c>
      <c r="N37" s="57"/>
    </row>
    <row r="38" spans="1:14">
      <c r="A38" s="64"/>
      <c r="B38" s="30"/>
      <c r="C38" s="104"/>
      <c r="D38" s="21" t="s">
        <v>160</v>
      </c>
      <c r="E38" s="21" t="s">
        <v>161</v>
      </c>
      <c r="F38" s="33" t="s">
        <v>290</v>
      </c>
      <c r="G38" s="57"/>
      <c r="H38" s="54"/>
      <c r="I38" s="68"/>
      <c r="J38" s="57">
        <f t="shared" si="0"/>
        <v>0</v>
      </c>
      <c r="K38" s="57"/>
      <c r="L38" s="57"/>
      <c r="M38" s="57"/>
      <c r="N38" s="57"/>
    </row>
    <row r="39" spans="1:14">
      <c r="A39" s="64">
        <v>43556</v>
      </c>
      <c r="B39" s="30" t="s">
        <v>375</v>
      </c>
      <c r="C39" s="21" t="s">
        <v>257</v>
      </c>
      <c r="D39" s="21" t="s">
        <v>258</v>
      </c>
      <c r="E39" s="21" t="s">
        <v>129</v>
      </c>
      <c r="F39" s="33" t="s">
        <v>130</v>
      </c>
      <c r="G39" s="57"/>
      <c r="H39" s="54"/>
      <c r="I39" s="68"/>
      <c r="J39" s="57">
        <f t="shared" si="0"/>
        <v>0</v>
      </c>
      <c r="K39" s="57"/>
      <c r="L39" s="57"/>
      <c r="M39" s="57"/>
      <c r="N39" s="57"/>
    </row>
    <row r="40" spans="1:14">
      <c r="A40" s="64">
        <v>43556</v>
      </c>
      <c r="B40" s="30" t="s">
        <v>375</v>
      </c>
      <c r="C40" s="102" t="s">
        <v>235</v>
      </c>
      <c r="D40" s="21" t="s">
        <v>186</v>
      </c>
      <c r="E40" s="21" t="s">
        <v>349</v>
      </c>
      <c r="F40" s="33" t="s">
        <v>351</v>
      </c>
      <c r="G40" s="57"/>
      <c r="H40" s="54"/>
      <c r="I40" s="68"/>
      <c r="J40" s="57">
        <f t="shared" si="0"/>
        <v>0</v>
      </c>
      <c r="K40" s="57">
        <f>(J40+J42+J41)*0.05*N2</f>
        <v>0</v>
      </c>
      <c r="L40" s="57">
        <f>K40/0.05*0.25</f>
        <v>0</v>
      </c>
      <c r="M40" s="57">
        <f>L40-K40</f>
        <v>0</v>
      </c>
      <c r="N40" s="57"/>
    </row>
    <row r="41" spans="1:14">
      <c r="A41" s="64"/>
      <c r="B41" s="30"/>
      <c r="C41" s="103"/>
      <c r="D41" s="21" t="s">
        <v>189</v>
      </c>
      <c r="E41" s="21" t="s">
        <v>349</v>
      </c>
      <c r="F41" s="33" t="s">
        <v>350</v>
      </c>
      <c r="G41" s="57"/>
      <c r="H41" s="54"/>
      <c r="I41" s="68"/>
      <c r="J41" s="57">
        <f t="shared" si="0"/>
        <v>0</v>
      </c>
      <c r="K41" s="57"/>
      <c r="L41" s="57"/>
      <c r="M41" s="57"/>
      <c r="N41" s="57"/>
    </row>
    <row r="42" spans="1:14">
      <c r="A42" s="64">
        <v>43556</v>
      </c>
      <c r="B42" s="30" t="s">
        <v>375</v>
      </c>
      <c r="C42" s="104"/>
      <c r="D42" s="21" t="s">
        <v>189</v>
      </c>
      <c r="E42" s="21" t="s">
        <v>349</v>
      </c>
      <c r="F42" s="33" t="s">
        <v>351</v>
      </c>
      <c r="G42" s="57"/>
      <c r="H42" s="54"/>
      <c r="I42" s="68"/>
      <c r="J42" s="57">
        <f t="shared" si="0"/>
        <v>0</v>
      </c>
      <c r="K42" s="57"/>
      <c r="L42" s="57"/>
      <c r="M42" s="57"/>
      <c r="N42" s="57"/>
    </row>
    <row r="43" spans="1:14">
      <c r="A43" s="64">
        <v>43556</v>
      </c>
      <c r="B43" s="30" t="s">
        <v>375</v>
      </c>
      <c r="C43" s="105" t="s">
        <v>199</v>
      </c>
      <c r="D43" s="21" t="s">
        <v>200</v>
      </c>
      <c r="E43" s="21" t="s">
        <v>93</v>
      </c>
      <c r="F43" s="33" t="s">
        <v>94</v>
      </c>
      <c r="G43" s="57"/>
      <c r="H43" s="54"/>
      <c r="I43" s="68"/>
      <c r="J43" s="57">
        <f t="shared" si="0"/>
        <v>0</v>
      </c>
      <c r="K43" s="57">
        <f>(J43+J44)*0.25*N2</f>
        <v>0</v>
      </c>
      <c r="L43" s="57"/>
      <c r="M43" s="57"/>
      <c r="N43" s="57"/>
    </row>
    <row r="44" spans="1:14">
      <c r="A44" s="64">
        <v>43556</v>
      </c>
      <c r="B44" s="30" t="s">
        <v>375</v>
      </c>
      <c r="C44" s="105"/>
      <c r="D44" s="21" t="s">
        <v>201</v>
      </c>
      <c r="E44" s="21" t="s">
        <v>93</v>
      </c>
      <c r="F44" s="33" t="s">
        <v>94</v>
      </c>
      <c r="G44" s="57"/>
      <c r="H44" s="54"/>
      <c r="I44" s="68"/>
      <c r="J44" s="57">
        <f t="shared" si="0"/>
        <v>0</v>
      </c>
      <c r="K44" s="57"/>
      <c r="L44" s="57"/>
      <c r="M44" s="57"/>
      <c r="N44" s="57"/>
    </row>
    <row r="45" spans="1:14">
      <c r="C45" s="105" t="s">
        <v>218</v>
      </c>
      <c r="D45" s="105"/>
      <c r="E45" s="21" t="s">
        <v>219</v>
      </c>
      <c r="F45" s="33" t="s">
        <v>219</v>
      </c>
      <c r="G45" s="57"/>
      <c r="H45" s="54"/>
      <c r="I45" s="68"/>
      <c r="J45" s="57">
        <f t="shared" si="0"/>
        <v>0</v>
      </c>
      <c r="K45" s="57">
        <f>(J3+J6+J8+J10+J12)*0.07*N2+(0)*0.04+(J7+J11+J15+J16+J17+J18+J20+J21+J22+J23+J25+J26+J27+J30+J14+J32+J37+J40+J42+J9+J24+J34+J35+J38+J28+J29+J19+J13+J33+J41)*0.01*N2+(0)*0.08*N2</f>
        <v>0</v>
      </c>
      <c r="L45" s="57"/>
      <c r="M45" s="57"/>
      <c r="N45" s="57"/>
    </row>
    <row r="46" spans="1:14">
      <c r="C46" s="105"/>
      <c r="D46" s="105"/>
      <c r="E46" s="21" t="s">
        <v>220</v>
      </c>
      <c r="F46" s="33" t="s">
        <v>220</v>
      </c>
      <c r="G46" s="57"/>
      <c r="H46" s="54"/>
      <c r="I46" s="68"/>
      <c r="J46" s="57">
        <f t="shared" si="0"/>
        <v>0</v>
      </c>
      <c r="K46" s="57">
        <f>(J4)*0.06*N2+(J16+J18+J34)*0.07*N2+(J30)*0.03*N2</f>
        <v>0</v>
      </c>
      <c r="L46" s="57"/>
      <c r="M46" s="57"/>
      <c r="N46" s="57"/>
    </row>
    <row r="47" spans="1:14">
      <c r="C47" s="105"/>
      <c r="D47" s="105"/>
      <c r="E47" s="21" t="s">
        <v>221</v>
      </c>
      <c r="F47" s="33" t="s">
        <v>221</v>
      </c>
      <c r="G47" s="57"/>
      <c r="H47" s="54"/>
      <c r="I47" s="68"/>
      <c r="J47" s="57">
        <f t="shared" si="0"/>
        <v>0</v>
      </c>
      <c r="K47" s="57">
        <f>(J5+J7)*0.06*N2+(J15+J35)*0.07*N2+(J42+J41)*0.03*N2</f>
        <v>0</v>
      </c>
      <c r="L47" s="57"/>
      <c r="M47" s="57"/>
      <c r="N47" s="57"/>
    </row>
    <row r="48" spans="1:14">
      <c r="C48" s="105"/>
      <c r="D48" s="105"/>
      <c r="E48" s="21" t="s">
        <v>222</v>
      </c>
      <c r="F48" s="33" t="s">
        <v>222</v>
      </c>
      <c r="G48" s="57"/>
      <c r="H48" s="54"/>
      <c r="I48" s="68"/>
      <c r="J48" s="57">
        <f t="shared" si="0"/>
        <v>0</v>
      </c>
      <c r="K48" s="57">
        <f>(J20+J25+J26+J27+J21)*0.03*N2+(J37+J38+J19)*0.07*N2+J17*0.08*N2</f>
        <v>0</v>
      </c>
      <c r="L48" s="57"/>
      <c r="M48" s="57"/>
      <c r="N48" s="57"/>
    </row>
    <row r="49" spans="1:14">
      <c r="C49" s="105"/>
      <c r="D49" s="105"/>
      <c r="E49" s="21" t="s">
        <v>223</v>
      </c>
      <c r="F49" s="33" t="s">
        <v>223</v>
      </c>
      <c r="G49" s="57"/>
      <c r="H49" s="54"/>
      <c r="I49" s="68"/>
      <c r="J49" s="57">
        <v>0</v>
      </c>
      <c r="K49" s="57">
        <f>(J9+J11+J13)*0.06*N2</f>
        <v>0</v>
      </c>
      <c r="L49" s="57"/>
      <c r="M49" s="57"/>
      <c r="N49" s="57"/>
    </row>
    <row r="50" spans="1:14">
      <c r="C50" s="105"/>
      <c r="D50" s="105"/>
      <c r="E50" s="21" t="s">
        <v>224</v>
      </c>
      <c r="F50" s="33" t="s">
        <v>224</v>
      </c>
      <c r="G50" s="57"/>
      <c r="H50" s="54"/>
      <c r="I50" s="68"/>
      <c r="J50" s="57">
        <v>0</v>
      </c>
      <c r="K50" s="57">
        <f>(0)*0.06*N2+(0)*0.07*N2+(J22+J40)*0.03*N2</f>
        <v>0</v>
      </c>
      <c r="L50" s="57"/>
      <c r="M50" s="57"/>
      <c r="N50" s="57"/>
    </row>
    <row r="51" spans="1:14">
      <c r="C51" s="105"/>
      <c r="D51" s="105"/>
      <c r="E51" s="21" t="s">
        <v>225</v>
      </c>
      <c r="F51" s="33" t="s">
        <v>225</v>
      </c>
      <c r="G51" s="57"/>
      <c r="H51" s="54"/>
      <c r="I51" s="68"/>
      <c r="J51" s="57">
        <v>0</v>
      </c>
      <c r="K51" s="57">
        <f>(J32)*0.07*N2+(J23+J28+J29)*0.03*N2</f>
        <v>0</v>
      </c>
      <c r="L51" s="57"/>
      <c r="M51" s="57"/>
      <c r="N51" s="57"/>
    </row>
    <row r="52" spans="1:14">
      <c r="E52" s="21" t="s">
        <v>226</v>
      </c>
      <c r="F52" s="33" t="s">
        <v>226</v>
      </c>
      <c r="G52" s="57"/>
      <c r="H52" s="54"/>
      <c r="I52" s="68"/>
      <c r="J52" s="57">
        <v>0</v>
      </c>
      <c r="K52" s="57">
        <f>J24*0.03*N2+J14*0.06*N2</f>
        <v>0</v>
      </c>
      <c r="L52" s="57"/>
      <c r="M52" s="57"/>
      <c r="N52" s="57"/>
    </row>
    <row r="53" spans="1:14">
      <c r="F53" s="58" t="s">
        <v>227</v>
      </c>
      <c r="G53" s="65">
        <f t="shared" ref="G53:J53" si="7">SUM(G3:G48)</f>
        <v>0</v>
      </c>
      <c r="H53" s="66"/>
      <c r="I53" s="69">
        <f t="shared" si="7"/>
        <v>0</v>
      </c>
      <c r="J53" s="65">
        <f t="shared" si="7"/>
        <v>0</v>
      </c>
      <c r="K53" s="65">
        <f>J53*N2</f>
        <v>0</v>
      </c>
      <c r="L53" s="57"/>
      <c r="M53" s="57"/>
      <c r="N53" s="57"/>
    </row>
    <row r="54" spans="1:14">
      <c r="F54" s="58" t="s">
        <v>228</v>
      </c>
      <c r="G54" s="65"/>
      <c r="H54" s="66"/>
      <c r="I54" s="69"/>
      <c r="J54" s="65"/>
      <c r="K54" s="65">
        <f>K53*0.4</f>
        <v>0</v>
      </c>
      <c r="L54" s="57"/>
      <c r="M54" s="57"/>
      <c r="N54" s="57"/>
    </row>
    <row r="55" spans="1:14">
      <c r="F55" s="58" t="s">
        <v>261</v>
      </c>
      <c r="G55" s="65"/>
      <c r="H55" s="66"/>
      <c r="I55" s="69"/>
      <c r="J55" s="65"/>
      <c r="K55" s="65">
        <f>K53*0.6</f>
        <v>0</v>
      </c>
      <c r="L55" s="57"/>
      <c r="M55" s="57"/>
      <c r="N55" s="57"/>
    </row>
    <row r="56" spans="1:14">
      <c r="C56" s="21" t="s">
        <v>229</v>
      </c>
      <c r="E56" s="21" t="s">
        <v>230</v>
      </c>
      <c r="F56" s="33"/>
      <c r="G56" s="57"/>
      <c r="H56" s="54"/>
      <c r="I56" s="68"/>
      <c r="J56" s="57"/>
      <c r="K56" s="57">
        <f>(J4+J5)*0.05*N2+M7+M10+M14+M3+M12+M11-N10</f>
        <v>0</v>
      </c>
      <c r="L56" s="57"/>
      <c r="M56" s="57"/>
      <c r="N56" s="57"/>
    </row>
    <row r="57" spans="1:14">
      <c r="C57" s="21" t="s">
        <v>231</v>
      </c>
      <c r="E57" s="21" t="s">
        <v>230</v>
      </c>
      <c r="F57" s="33"/>
      <c r="G57" s="57"/>
      <c r="H57" s="54"/>
      <c r="I57" s="68"/>
      <c r="J57" s="57"/>
      <c r="K57" s="57">
        <f>(0)*0.05*N2+M32+M34+M43+M36+M37+M35+M33</f>
        <v>0</v>
      </c>
      <c r="L57" s="57"/>
      <c r="M57" s="57"/>
      <c r="N57" s="57"/>
    </row>
    <row r="58" spans="1:14">
      <c r="C58" s="21" t="s">
        <v>232</v>
      </c>
      <c r="E58" s="21" t="s">
        <v>233</v>
      </c>
      <c r="F58" s="33"/>
      <c r="G58" s="57"/>
      <c r="H58" s="54"/>
      <c r="I58" s="68"/>
      <c r="J58" s="57"/>
      <c r="K58" s="57">
        <f>(J17+J19)*0.05*N2+M19+M15+M16</f>
        <v>0</v>
      </c>
      <c r="L58" s="57"/>
      <c r="M58" s="57"/>
      <c r="N58" s="57"/>
    </row>
    <row r="59" spans="1:14">
      <c r="C59" s="21" t="s">
        <v>234</v>
      </c>
      <c r="E59" s="21" t="s">
        <v>230</v>
      </c>
      <c r="F59" s="33"/>
      <c r="G59" s="57"/>
      <c r="H59" s="54"/>
      <c r="I59" s="68"/>
      <c r="J59" s="57"/>
      <c r="K59" s="57">
        <f>(0)*0.02*N2+M20+M25+M21+M27</f>
        <v>0</v>
      </c>
      <c r="L59" s="57"/>
      <c r="M59" s="57"/>
      <c r="N59" s="57"/>
    </row>
    <row r="60" spans="1:14">
      <c r="A60" s="21" t="s">
        <v>235</v>
      </c>
      <c r="C60" s="21" t="s">
        <v>235</v>
      </c>
      <c r="E60" s="21" t="s">
        <v>230</v>
      </c>
      <c r="F60" s="33"/>
      <c r="G60" s="57"/>
      <c r="H60" s="54"/>
      <c r="I60" s="68"/>
      <c r="J60" s="57"/>
      <c r="K60" s="57">
        <f>M40</f>
        <v>0</v>
      </c>
      <c r="L60" s="57"/>
      <c r="M60" s="57"/>
      <c r="N60" s="57"/>
    </row>
    <row r="61" spans="1:14">
      <c r="F61" s="33"/>
      <c r="G61" s="57"/>
      <c r="H61" s="54"/>
      <c r="I61" s="68"/>
      <c r="J61" s="57"/>
      <c r="K61" s="57">
        <f>SUM(K56:K59)</f>
        <v>0</v>
      </c>
      <c r="L61" s="57"/>
      <c r="M61" s="57"/>
      <c r="N61" s="57"/>
    </row>
    <row r="62" spans="1:14">
      <c r="C62" s="21" t="s">
        <v>262</v>
      </c>
      <c r="E62" s="21" t="s">
        <v>230</v>
      </c>
      <c r="K62" s="59">
        <f>J53*0.07*N2</f>
        <v>0</v>
      </c>
    </row>
    <row r="63" spans="1:14">
      <c r="K63" s="65">
        <f>K56+K57+K58+K59+K60</f>
        <v>0</v>
      </c>
    </row>
  </sheetData>
  <mergeCells count="7">
    <mergeCell ref="C45:D51"/>
    <mergeCell ref="C3:C14"/>
    <mergeCell ref="C15:C19"/>
    <mergeCell ref="C20:C31"/>
    <mergeCell ref="C32:C38"/>
    <mergeCell ref="C40:C42"/>
    <mergeCell ref="C43:C44"/>
  </mergeCells>
  <phoneticPr fontId="37" type="noConversion"/>
  <conditionalFormatting sqref="E51">
    <cfRule type="containsText" dxfId="28" priority="2" operator="containsText" text="方泽斯">
      <formula>NOT(ISERROR(SEARCH("方泽斯",E51)))</formula>
    </cfRule>
  </conditionalFormatting>
  <conditionalFormatting sqref="E58">
    <cfRule type="containsText" dxfId="27" priority="1" operator="containsText" text="方泽斯">
      <formula>NOT(ISERROR(SEARCH("方泽斯",E58)))</formula>
    </cfRule>
  </conditionalFormatting>
  <pageMargins left="0.7" right="0.7" top="0" bottom="0" header="0.3" footer="0.3"/>
  <pageSetup paperSize="9" scale="85" orientation="landscape" verticalDpi="0"/>
</worksheet>
</file>

<file path=xl/worksheets/sheet8.xml><?xml version="1.0" encoding="utf-8"?>
<worksheet xmlns="http://schemas.openxmlformats.org/spreadsheetml/2006/main" xmlns:r="http://schemas.openxmlformats.org/officeDocument/2006/relationships">
  <sheetPr enableFormatConditionsCalculation="0">
    <tabColor rgb="FF99CC00"/>
    <pageSetUpPr fitToPage="1"/>
  </sheetPr>
  <dimension ref="A1:Y167"/>
  <sheetViews>
    <sheetView topLeftCell="C1" zoomScaleSheetLayoutView="100" workbookViewId="0">
      <selection activeCell="G13" sqref="G13"/>
    </sheetView>
  </sheetViews>
  <sheetFormatPr defaultRowHeight="13.5"/>
  <cols>
    <col min="1" max="1" width="10.875" style="21" hidden="1" customWidth="1"/>
    <col min="2" max="2" width="7.625" style="21" hidden="1" customWidth="1"/>
    <col min="3" max="3" width="9.625" style="21" customWidth="1"/>
    <col min="4" max="4" width="12.25" style="21" customWidth="1"/>
    <col min="5" max="5" width="10.375" style="21" customWidth="1"/>
    <col min="6" max="6" width="22.5" style="21" customWidth="1"/>
    <col min="7" max="7" width="14.5" style="59" customWidth="1"/>
    <col min="8" max="8" width="13.375" style="60" customWidth="1"/>
    <col min="9" max="9" width="13.875" style="61" customWidth="1"/>
    <col min="10" max="10" width="13.375" style="59" customWidth="1"/>
    <col min="11" max="11" width="17" style="59" customWidth="1"/>
    <col min="12" max="12" width="10.875" style="59" customWidth="1"/>
    <col min="13" max="13" width="11.25" style="59" customWidth="1"/>
    <col min="14" max="14" width="11.625" style="59" customWidth="1"/>
    <col min="15" max="15" width="8.5" style="52" customWidth="1"/>
    <col min="16" max="16" width="18.25" style="21" customWidth="1"/>
    <col min="17" max="17" width="13.875" style="21" customWidth="1"/>
    <col min="18" max="19" width="12.75" style="21" customWidth="1"/>
    <col min="20" max="20" width="14" style="21" customWidth="1"/>
    <col min="21" max="22" width="9" style="21"/>
    <col min="23" max="24" width="8.125" style="21" customWidth="1"/>
    <col min="25" max="25" width="7.75" style="21" customWidth="1"/>
    <col min="26" max="26" width="13.25" style="21" customWidth="1"/>
    <col min="27" max="16384" width="9" style="21"/>
  </cols>
  <sheetData>
    <row r="1" spans="1:25">
      <c r="C1" s="21" t="s">
        <v>382</v>
      </c>
    </row>
    <row r="2" spans="1:25" s="22" customFormat="1" ht="21" customHeight="1">
      <c r="A2" s="24"/>
      <c r="B2" s="24"/>
      <c r="C2" s="25" t="s">
        <v>1</v>
      </c>
      <c r="D2" s="25" t="s">
        <v>2</v>
      </c>
      <c r="E2" s="25"/>
      <c r="F2" s="26" t="s">
        <v>3</v>
      </c>
      <c r="G2" s="27" t="s">
        <v>4</v>
      </c>
      <c r="H2" s="28" t="s">
        <v>5</v>
      </c>
      <c r="I2" s="29" t="s">
        <v>6</v>
      </c>
      <c r="J2" s="29" t="s">
        <v>7</v>
      </c>
      <c r="K2" s="38" t="s">
        <v>8</v>
      </c>
      <c r="L2" s="39"/>
      <c r="M2" s="40" t="s">
        <v>9</v>
      </c>
      <c r="N2" s="41">
        <v>7.01</v>
      </c>
      <c r="O2" s="42"/>
      <c r="P2" s="43"/>
      <c r="Q2" s="44"/>
      <c r="R2" s="45"/>
      <c r="S2" s="45"/>
      <c r="W2" s="46"/>
      <c r="X2" s="46"/>
      <c r="Y2" s="46"/>
    </row>
    <row r="3" spans="1:25">
      <c r="A3" s="64">
        <v>43556</v>
      </c>
      <c r="B3" s="70" t="s">
        <v>382</v>
      </c>
      <c r="C3" s="103" t="s">
        <v>10</v>
      </c>
      <c r="D3" s="21" t="s">
        <v>19</v>
      </c>
      <c r="E3" s="21" t="s">
        <v>20</v>
      </c>
      <c r="F3" s="33" t="s">
        <v>21</v>
      </c>
      <c r="G3" s="57"/>
      <c r="H3" s="54"/>
      <c r="I3" s="67"/>
      <c r="J3" s="57">
        <f t="shared" ref="J3:J66" si="0">(G3*H3*1)-I3</f>
        <v>0</v>
      </c>
      <c r="K3" s="57">
        <f>(J3+J4+J5)*0.015*N2</f>
        <v>0</v>
      </c>
      <c r="L3" s="57">
        <f>K3/0.015*0.25</f>
        <v>0</v>
      </c>
      <c r="M3" s="57">
        <f>L3-K3</f>
        <v>0</v>
      </c>
      <c r="N3" s="57" t="s">
        <v>37</v>
      </c>
    </row>
    <row r="4" spans="1:25">
      <c r="A4" s="64">
        <v>43556</v>
      </c>
      <c r="B4" s="70" t="s">
        <v>382</v>
      </c>
      <c r="C4" s="103"/>
      <c r="D4" s="21" t="s">
        <v>19</v>
      </c>
      <c r="E4" s="21" t="s">
        <v>20</v>
      </c>
      <c r="F4" s="33" t="s">
        <v>22</v>
      </c>
      <c r="G4" s="57"/>
      <c r="H4" s="54"/>
      <c r="I4" s="67"/>
      <c r="J4" s="57">
        <f t="shared" si="0"/>
        <v>0</v>
      </c>
      <c r="K4" s="57"/>
      <c r="L4" s="57"/>
      <c r="M4" s="57"/>
      <c r="N4" s="57"/>
    </row>
    <row r="5" spans="1:25">
      <c r="A5" s="64">
        <v>43556</v>
      </c>
      <c r="B5" s="70" t="s">
        <v>382</v>
      </c>
      <c r="C5" s="103"/>
      <c r="D5" s="21" t="s">
        <v>19</v>
      </c>
      <c r="E5" s="21" t="s">
        <v>20</v>
      </c>
      <c r="F5" s="33" t="s">
        <v>23</v>
      </c>
      <c r="G5" s="57"/>
      <c r="H5" s="54"/>
      <c r="I5" s="67"/>
      <c r="J5" s="57">
        <f t="shared" si="0"/>
        <v>0</v>
      </c>
      <c r="K5" s="57"/>
      <c r="L5" s="57"/>
      <c r="M5" s="57"/>
      <c r="N5" s="57"/>
    </row>
    <row r="6" spans="1:25">
      <c r="A6" s="64">
        <v>43556</v>
      </c>
      <c r="B6" s="70" t="s">
        <v>382</v>
      </c>
      <c r="C6" s="103"/>
      <c r="D6" s="21" t="s">
        <v>32</v>
      </c>
      <c r="E6" s="21" t="s">
        <v>33</v>
      </c>
      <c r="F6" s="33" t="s">
        <v>34</v>
      </c>
      <c r="G6" s="57"/>
      <c r="H6" s="54"/>
      <c r="I6" s="67"/>
      <c r="J6" s="57">
        <f t="shared" si="0"/>
        <v>0</v>
      </c>
      <c r="K6" s="57">
        <f>(J7+J8+J9+J6+J10)*0.2*N2</f>
        <v>0</v>
      </c>
      <c r="L6" s="57"/>
      <c r="M6" s="57"/>
      <c r="N6" s="57"/>
    </row>
    <row r="7" spans="1:25">
      <c r="A7" s="64">
        <v>43556</v>
      </c>
      <c r="B7" s="70" t="s">
        <v>382</v>
      </c>
      <c r="C7" s="103"/>
      <c r="D7" s="21" t="s">
        <v>32</v>
      </c>
      <c r="E7" s="21" t="s">
        <v>33</v>
      </c>
      <c r="F7" s="33" t="s">
        <v>35</v>
      </c>
      <c r="G7" s="57"/>
      <c r="H7" s="54"/>
      <c r="I7" s="67"/>
      <c r="J7" s="57">
        <f t="shared" si="0"/>
        <v>0</v>
      </c>
      <c r="K7" s="57"/>
      <c r="L7" s="57"/>
      <c r="M7" s="57"/>
      <c r="N7" s="57"/>
    </row>
    <row r="8" spans="1:25">
      <c r="A8" s="64">
        <v>43556</v>
      </c>
      <c r="B8" s="70" t="s">
        <v>382</v>
      </c>
      <c r="C8" s="103"/>
      <c r="D8" s="21" t="s">
        <v>38</v>
      </c>
      <c r="E8" s="21" t="s">
        <v>33</v>
      </c>
      <c r="F8" s="33" t="s">
        <v>34</v>
      </c>
      <c r="G8" s="57"/>
      <c r="H8" s="54"/>
      <c r="I8" s="67"/>
      <c r="J8" s="57">
        <f t="shared" si="0"/>
        <v>0</v>
      </c>
      <c r="K8" s="57"/>
      <c r="L8" s="57"/>
      <c r="M8" s="57"/>
      <c r="N8" s="57"/>
    </row>
    <row r="9" spans="1:25">
      <c r="A9" s="64">
        <v>43556</v>
      </c>
      <c r="B9" s="70" t="s">
        <v>382</v>
      </c>
      <c r="C9" s="103"/>
      <c r="D9" s="21" t="s">
        <v>38</v>
      </c>
      <c r="E9" s="21" t="s">
        <v>33</v>
      </c>
      <c r="F9" s="33" t="s">
        <v>35</v>
      </c>
      <c r="G9" s="57"/>
      <c r="H9" s="54"/>
      <c r="I9" s="68"/>
      <c r="J9" s="57">
        <f t="shared" si="0"/>
        <v>0</v>
      </c>
      <c r="K9" s="57"/>
      <c r="L9" s="57"/>
      <c r="M9" s="57"/>
      <c r="N9" s="57"/>
    </row>
    <row r="10" spans="1:25">
      <c r="A10" s="64"/>
      <c r="B10" s="70"/>
      <c r="C10" s="103"/>
      <c r="D10" s="21" t="s">
        <v>38</v>
      </c>
      <c r="E10" s="21" t="s">
        <v>33</v>
      </c>
      <c r="F10" s="33" t="s">
        <v>36</v>
      </c>
      <c r="G10" s="57"/>
      <c r="H10" s="54"/>
      <c r="I10" s="68"/>
      <c r="J10" s="57">
        <f t="shared" si="0"/>
        <v>0</v>
      </c>
      <c r="K10" s="57"/>
      <c r="L10" s="57"/>
      <c r="M10" s="57"/>
      <c r="N10" s="57"/>
    </row>
    <row r="11" spans="1:25">
      <c r="A11" s="64">
        <v>43556</v>
      </c>
      <c r="B11" s="70" t="s">
        <v>382</v>
      </c>
      <c r="C11" s="103"/>
      <c r="D11" s="21" t="s">
        <v>11</v>
      </c>
      <c r="E11" s="21" t="s">
        <v>12</v>
      </c>
      <c r="F11" s="33" t="s">
        <v>13</v>
      </c>
      <c r="G11" s="57"/>
      <c r="H11" s="54"/>
      <c r="I11" s="67"/>
      <c r="J11" s="57">
        <f t="shared" si="0"/>
        <v>0</v>
      </c>
      <c r="K11" s="57">
        <f>(J11+J12+J13)*0.025*N2</f>
        <v>0</v>
      </c>
      <c r="L11" s="57">
        <f>K11/0.025*0.25</f>
        <v>0</v>
      </c>
      <c r="M11" s="57">
        <f>L11-K11</f>
        <v>0</v>
      </c>
      <c r="N11" s="57"/>
    </row>
    <row r="12" spans="1:25">
      <c r="A12" s="64">
        <v>43556</v>
      </c>
      <c r="B12" s="70" t="s">
        <v>382</v>
      </c>
      <c r="C12" s="103"/>
      <c r="D12" s="21" t="s">
        <v>11</v>
      </c>
      <c r="E12" s="21" t="s">
        <v>12</v>
      </c>
      <c r="F12" s="33" t="s">
        <v>14</v>
      </c>
      <c r="G12" s="57"/>
      <c r="H12" s="54"/>
      <c r="I12" s="67"/>
      <c r="J12" s="57">
        <f t="shared" si="0"/>
        <v>0</v>
      </c>
      <c r="K12" s="57"/>
      <c r="L12" s="57"/>
      <c r="M12" s="57"/>
      <c r="N12" s="57"/>
    </row>
    <row r="13" spans="1:25">
      <c r="A13" s="64">
        <v>43556</v>
      </c>
      <c r="B13" s="70" t="s">
        <v>382</v>
      </c>
      <c r="C13" s="103"/>
      <c r="D13" s="21" t="s">
        <v>11</v>
      </c>
      <c r="E13" s="21" t="s">
        <v>12</v>
      </c>
      <c r="F13" s="33" t="s">
        <v>15</v>
      </c>
      <c r="G13" s="57"/>
      <c r="H13" s="54"/>
      <c r="I13" s="67"/>
      <c r="J13" s="57">
        <f t="shared" si="0"/>
        <v>0</v>
      </c>
      <c r="K13" s="57"/>
      <c r="L13" s="57"/>
      <c r="M13" s="57"/>
      <c r="N13" s="57"/>
    </row>
    <row r="14" spans="1:25">
      <c r="A14" s="64">
        <v>43556</v>
      </c>
      <c r="B14" s="70" t="s">
        <v>382</v>
      </c>
      <c r="C14" s="103"/>
      <c r="D14" s="21" t="s">
        <v>309</v>
      </c>
      <c r="E14" s="21" t="s">
        <v>264</v>
      </c>
      <c r="F14" s="33" t="s">
        <v>265</v>
      </c>
      <c r="G14" s="57"/>
      <c r="H14" s="54"/>
      <c r="I14" s="67"/>
      <c r="J14" s="57">
        <f t="shared" si="0"/>
        <v>0</v>
      </c>
      <c r="K14" s="57">
        <f>J14*0.2*N2</f>
        <v>0</v>
      </c>
      <c r="L14" s="57"/>
      <c r="M14" s="57"/>
      <c r="N14" s="57"/>
    </row>
    <row r="15" spans="1:25">
      <c r="A15" s="64">
        <v>43556</v>
      </c>
      <c r="B15" s="70" t="s">
        <v>382</v>
      </c>
      <c r="C15" s="103"/>
      <c r="D15" s="21" t="s">
        <v>61</v>
      </c>
      <c r="E15" s="21" t="s">
        <v>57</v>
      </c>
      <c r="F15" s="33" t="s">
        <v>58</v>
      </c>
      <c r="G15" s="57"/>
      <c r="H15" s="54"/>
      <c r="I15" s="67"/>
      <c r="J15" s="57">
        <f t="shared" si="0"/>
        <v>0</v>
      </c>
      <c r="K15" s="57"/>
      <c r="L15" s="57"/>
      <c r="M15" s="57"/>
      <c r="N15" s="57"/>
    </row>
    <row r="16" spans="1:25">
      <c r="A16" s="64">
        <v>43556</v>
      </c>
      <c r="B16" s="70" t="s">
        <v>382</v>
      </c>
      <c r="C16" s="103"/>
      <c r="D16" s="21" t="s">
        <v>66</v>
      </c>
      <c r="E16" s="21" t="s">
        <v>63</v>
      </c>
      <c r="F16" s="33" t="s">
        <v>64</v>
      </c>
      <c r="G16" s="57"/>
      <c r="H16" s="54"/>
      <c r="I16" s="67"/>
      <c r="J16" s="57">
        <f t="shared" si="0"/>
        <v>0</v>
      </c>
      <c r="K16" s="57"/>
      <c r="L16" s="57"/>
      <c r="M16" s="57"/>
      <c r="N16" s="57"/>
    </row>
    <row r="17" spans="1:14">
      <c r="A17" s="64"/>
      <c r="B17" s="70"/>
      <c r="C17" s="103"/>
      <c r="D17" s="21" t="s">
        <v>66</v>
      </c>
      <c r="E17" s="21" t="s">
        <v>63</v>
      </c>
      <c r="F17" s="33" t="s">
        <v>65</v>
      </c>
      <c r="G17" s="57"/>
      <c r="H17" s="54"/>
      <c r="I17" s="67"/>
      <c r="J17" s="57">
        <f t="shared" si="0"/>
        <v>0</v>
      </c>
      <c r="K17" s="57"/>
      <c r="L17" s="57"/>
      <c r="M17" s="57"/>
      <c r="N17" s="57"/>
    </row>
    <row r="18" spans="1:14">
      <c r="A18" s="64">
        <v>43556</v>
      </c>
      <c r="B18" s="70" t="s">
        <v>382</v>
      </c>
      <c r="C18" s="103"/>
      <c r="D18" s="21" t="s">
        <v>62</v>
      </c>
      <c r="E18" s="21" t="s">
        <v>63</v>
      </c>
      <c r="F18" s="33" t="s">
        <v>64</v>
      </c>
      <c r="G18" s="57"/>
      <c r="H18" s="54"/>
      <c r="I18" s="68"/>
      <c r="J18" s="57">
        <f t="shared" si="0"/>
        <v>0</v>
      </c>
      <c r="K18" s="57">
        <f>(J18+J16+J19+J17)*0.05*N2</f>
        <v>0</v>
      </c>
      <c r="L18" s="57">
        <f>K18/0.05*0.25</f>
        <v>0</v>
      </c>
      <c r="M18" s="57">
        <f>L18-K18</f>
        <v>0</v>
      </c>
      <c r="N18" s="57"/>
    </row>
    <row r="19" spans="1:14">
      <c r="A19" s="64">
        <v>43556</v>
      </c>
      <c r="B19" s="70" t="s">
        <v>382</v>
      </c>
      <c r="C19" s="103"/>
      <c r="D19" s="21" t="s">
        <v>62</v>
      </c>
      <c r="E19" s="21" t="s">
        <v>63</v>
      </c>
      <c r="F19" s="33" t="s">
        <v>64</v>
      </c>
      <c r="G19" s="57"/>
      <c r="H19" s="54"/>
      <c r="I19" s="67"/>
      <c r="J19" s="57">
        <f t="shared" si="0"/>
        <v>0</v>
      </c>
      <c r="K19" s="57"/>
      <c r="L19" s="57"/>
      <c r="M19" s="57"/>
      <c r="N19" s="57"/>
    </row>
    <row r="20" spans="1:14">
      <c r="A20" s="64">
        <v>43556</v>
      </c>
      <c r="B20" s="70" t="s">
        <v>382</v>
      </c>
      <c r="C20" s="103"/>
      <c r="D20" s="21" t="s">
        <v>24</v>
      </c>
      <c r="E20" s="21" t="s">
        <v>25</v>
      </c>
      <c r="F20" s="33" t="s">
        <v>26</v>
      </c>
      <c r="G20" s="57"/>
      <c r="H20" s="54"/>
      <c r="I20" s="68"/>
      <c r="J20" s="57">
        <f t="shared" si="0"/>
        <v>0</v>
      </c>
      <c r="K20" s="57">
        <f>(J20+J21+J24+J25)*0.03*N2</f>
        <v>0</v>
      </c>
      <c r="L20" s="57">
        <f>K20/0.03*0.25</f>
        <v>0</v>
      </c>
      <c r="M20" s="57">
        <f>L20-K20</f>
        <v>0</v>
      </c>
      <c r="N20" s="57"/>
    </row>
    <row r="21" spans="1:14">
      <c r="A21" s="64"/>
      <c r="B21" s="70"/>
      <c r="C21" s="103"/>
      <c r="D21" s="21" t="s">
        <v>24</v>
      </c>
      <c r="E21" s="21" t="s">
        <v>25</v>
      </c>
      <c r="F21" s="33" t="s">
        <v>28</v>
      </c>
      <c r="G21" s="57"/>
      <c r="H21" s="54"/>
      <c r="I21" s="67"/>
      <c r="J21" s="57">
        <f t="shared" si="0"/>
        <v>0</v>
      </c>
      <c r="K21" s="57"/>
      <c r="L21" s="57"/>
      <c r="M21" s="57"/>
      <c r="N21" s="57"/>
    </row>
    <row r="22" spans="1:14">
      <c r="A22" s="64">
        <v>43556</v>
      </c>
      <c r="B22" s="70" t="s">
        <v>382</v>
      </c>
      <c r="C22" s="103"/>
      <c r="D22" s="21" t="s">
        <v>72</v>
      </c>
      <c r="E22" s="21" t="s">
        <v>17</v>
      </c>
      <c r="F22" s="33" t="s">
        <v>18</v>
      </c>
      <c r="G22" s="57"/>
      <c r="H22" s="54"/>
      <c r="I22" s="67"/>
      <c r="J22" s="57">
        <f t="shared" si="0"/>
        <v>0</v>
      </c>
      <c r="K22" s="57">
        <f>(J22+J23+J26)*0.05*N2</f>
        <v>0</v>
      </c>
      <c r="L22" s="57">
        <f>K22/0.05*0.25</f>
        <v>0</v>
      </c>
      <c r="M22" s="57">
        <f>L22-K22</f>
        <v>0</v>
      </c>
      <c r="N22" s="57"/>
    </row>
    <row r="23" spans="1:14">
      <c r="A23" s="64">
        <v>43556</v>
      </c>
      <c r="B23" s="70" t="s">
        <v>382</v>
      </c>
      <c r="C23" s="103"/>
      <c r="D23" s="21" t="s">
        <v>29</v>
      </c>
      <c r="E23" s="21" t="s">
        <v>17</v>
      </c>
      <c r="F23" s="33" t="s">
        <v>18</v>
      </c>
      <c r="G23" s="57"/>
      <c r="H23" s="54"/>
      <c r="I23" s="68"/>
      <c r="J23" s="57">
        <f t="shared" si="0"/>
        <v>0</v>
      </c>
      <c r="K23" s="57"/>
      <c r="L23" s="57"/>
      <c r="M23" s="57"/>
      <c r="N23" s="57"/>
    </row>
    <row r="24" spans="1:14">
      <c r="A24" s="64"/>
      <c r="B24" s="70"/>
      <c r="C24" s="103"/>
      <c r="D24" s="21" t="s">
        <v>70</v>
      </c>
      <c r="E24" s="21" t="s">
        <v>25</v>
      </c>
      <c r="F24" s="33" t="s">
        <v>26</v>
      </c>
      <c r="G24" s="57"/>
      <c r="H24" s="54"/>
      <c r="I24" s="67"/>
      <c r="J24" s="57">
        <f t="shared" si="0"/>
        <v>0</v>
      </c>
      <c r="K24" s="57"/>
      <c r="L24" s="57"/>
      <c r="M24" s="57"/>
      <c r="N24" s="57"/>
    </row>
    <row r="25" spans="1:14">
      <c r="A25" s="64"/>
      <c r="B25" s="70"/>
      <c r="C25" s="103"/>
      <c r="D25" s="21" t="s">
        <v>70</v>
      </c>
      <c r="E25" s="21" t="s">
        <v>25</v>
      </c>
      <c r="F25" s="33" t="s">
        <v>28</v>
      </c>
      <c r="G25" s="57"/>
      <c r="H25" s="54"/>
      <c r="I25" s="67"/>
      <c r="J25" s="57">
        <f t="shared" si="0"/>
        <v>0</v>
      </c>
      <c r="K25" s="57"/>
      <c r="L25" s="57"/>
      <c r="M25" s="57"/>
      <c r="N25" s="57"/>
    </row>
    <row r="26" spans="1:14">
      <c r="A26" s="64"/>
      <c r="B26" s="70"/>
      <c r="C26" s="103"/>
      <c r="D26" s="21" t="s">
        <v>75</v>
      </c>
      <c r="E26" s="21" t="s">
        <v>17</v>
      </c>
      <c r="F26" s="33" t="s">
        <v>18</v>
      </c>
      <c r="G26" s="57"/>
      <c r="H26" s="54"/>
      <c r="I26" s="67"/>
      <c r="J26" s="57">
        <f t="shared" si="0"/>
        <v>0</v>
      </c>
      <c r="K26" s="57"/>
      <c r="L26" s="57"/>
      <c r="M26" s="57"/>
      <c r="N26" s="57"/>
    </row>
    <row r="27" spans="1:14">
      <c r="A27" s="64">
        <v>43556</v>
      </c>
      <c r="B27" s="70" t="s">
        <v>382</v>
      </c>
      <c r="C27" s="103"/>
      <c r="D27" s="21" t="s">
        <v>39</v>
      </c>
      <c r="E27" s="21" t="s">
        <v>40</v>
      </c>
      <c r="F27" s="33" t="s">
        <v>41</v>
      </c>
      <c r="G27" s="57"/>
      <c r="H27" s="54"/>
      <c r="I27" s="67"/>
      <c r="J27" s="57">
        <f t="shared" si="0"/>
        <v>0</v>
      </c>
      <c r="K27" s="57"/>
      <c r="L27" s="57"/>
      <c r="M27" s="57"/>
      <c r="N27" s="57"/>
    </row>
    <row r="28" spans="1:14">
      <c r="A28" s="64">
        <v>43556</v>
      </c>
      <c r="B28" s="70" t="s">
        <v>382</v>
      </c>
      <c r="C28" s="103"/>
      <c r="D28" s="21" t="s">
        <v>39</v>
      </c>
      <c r="E28" s="21" t="s">
        <v>40</v>
      </c>
      <c r="F28" s="33" t="s">
        <v>42</v>
      </c>
      <c r="G28" s="57"/>
      <c r="H28" s="54"/>
      <c r="I28" s="68"/>
      <c r="J28" s="57">
        <f t="shared" si="0"/>
        <v>0</v>
      </c>
      <c r="K28" s="57">
        <f>(J27+J28+J30+J29+J31)*0.05*N2</f>
        <v>0</v>
      </c>
      <c r="L28" s="57">
        <f>K28/0.05*0.25</f>
        <v>0</v>
      </c>
      <c r="M28" s="57">
        <f>L28-K28</f>
        <v>0</v>
      </c>
      <c r="N28" s="57">
        <f>M28*0.2</f>
        <v>0</v>
      </c>
    </row>
    <row r="29" spans="1:14">
      <c r="A29" s="64">
        <v>43556</v>
      </c>
      <c r="B29" s="70" t="s">
        <v>382</v>
      </c>
      <c r="C29" s="103"/>
      <c r="D29" s="21" t="s">
        <v>39</v>
      </c>
      <c r="E29" s="21" t="s">
        <v>40</v>
      </c>
      <c r="F29" s="33" t="s">
        <v>43</v>
      </c>
      <c r="G29" s="57"/>
      <c r="H29" s="54"/>
      <c r="I29" s="67"/>
      <c r="J29" s="57">
        <f t="shared" si="0"/>
        <v>0</v>
      </c>
      <c r="K29" s="57"/>
      <c r="L29" s="57"/>
      <c r="M29" s="57"/>
      <c r="N29" s="57"/>
    </row>
    <row r="30" spans="1:14">
      <c r="A30" s="64">
        <v>43556</v>
      </c>
      <c r="B30" s="70" t="s">
        <v>382</v>
      </c>
      <c r="C30" s="103"/>
      <c r="D30" s="21" t="s">
        <v>44</v>
      </c>
      <c r="E30" s="21" t="s">
        <v>40</v>
      </c>
      <c r="F30" s="33" t="s">
        <v>41</v>
      </c>
      <c r="G30" s="57"/>
      <c r="H30" s="54"/>
      <c r="I30" s="85"/>
      <c r="J30" s="57">
        <f t="shared" si="0"/>
        <v>0</v>
      </c>
      <c r="K30" s="57"/>
      <c r="L30" s="57"/>
      <c r="M30" s="57"/>
      <c r="N30" s="57"/>
    </row>
    <row r="31" spans="1:14">
      <c r="A31" s="64">
        <v>43556</v>
      </c>
      <c r="B31" s="70" t="s">
        <v>382</v>
      </c>
      <c r="C31" s="103"/>
      <c r="D31" s="21" t="s">
        <v>73</v>
      </c>
      <c r="E31" s="21" t="s">
        <v>40</v>
      </c>
      <c r="F31" s="33" t="s">
        <v>41</v>
      </c>
      <c r="G31" s="57"/>
      <c r="H31" s="54"/>
      <c r="I31" s="67"/>
      <c r="J31" s="57">
        <f t="shared" si="0"/>
        <v>0</v>
      </c>
      <c r="K31" s="57"/>
      <c r="L31" s="57"/>
      <c r="M31" s="57"/>
      <c r="N31" s="57"/>
    </row>
    <row r="32" spans="1:14">
      <c r="A32" s="64">
        <v>43556</v>
      </c>
      <c r="B32" s="70" t="s">
        <v>382</v>
      </c>
      <c r="C32" s="103"/>
      <c r="D32" s="21" t="s">
        <v>45</v>
      </c>
      <c r="E32" s="21" t="s">
        <v>46</v>
      </c>
      <c r="F32" s="33" t="s">
        <v>47</v>
      </c>
      <c r="G32" s="57"/>
      <c r="H32" s="54"/>
      <c r="I32" s="67"/>
      <c r="J32" s="57">
        <f t="shared" si="0"/>
        <v>0</v>
      </c>
      <c r="K32" s="57">
        <f>(J32+J33+J34+J42+J43+J39+J41+J40)*0.03*N2</f>
        <v>0</v>
      </c>
      <c r="L32" s="57">
        <f>K32/0.03*0.25</f>
        <v>0</v>
      </c>
      <c r="M32" s="57">
        <f t="shared" ref="M32:M37" si="1">L32-K32</f>
        <v>0</v>
      </c>
      <c r="N32" s="57"/>
    </row>
    <row r="33" spans="1:14">
      <c r="A33" s="64">
        <v>43556</v>
      </c>
      <c r="B33" s="70" t="s">
        <v>382</v>
      </c>
      <c r="C33" s="103"/>
      <c r="D33" s="21" t="s">
        <v>45</v>
      </c>
      <c r="E33" s="21" t="s">
        <v>46</v>
      </c>
      <c r="F33" s="33" t="s">
        <v>48</v>
      </c>
      <c r="G33" s="57"/>
      <c r="H33" s="54"/>
      <c r="I33" s="67"/>
      <c r="J33" s="57">
        <f t="shared" si="0"/>
        <v>0</v>
      </c>
      <c r="K33" s="57"/>
      <c r="L33" s="57"/>
      <c r="M33" s="57"/>
      <c r="N33" s="57"/>
    </row>
    <row r="34" spans="1:14">
      <c r="A34" s="64">
        <v>43556</v>
      </c>
      <c r="B34" s="70" t="s">
        <v>382</v>
      </c>
      <c r="C34" s="103"/>
      <c r="D34" s="21" t="s">
        <v>45</v>
      </c>
      <c r="E34" s="21" t="s">
        <v>46</v>
      </c>
      <c r="F34" s="33" t="s">
        <v>49</v>
      </c>
      <c r="G34" s="57"/>
      <c r="H34" s="54"/>
      <c r="I34" s="67"/>
      <c r="J34" s="57">
        <f t="shared" si="0"/>
        <v>0</v>
      </c>
      <c r="K34" s="57"/>
      <c r="L34" s="57"/>
      <c r="M34" s="57"/>
      <c r="N34" s="57"/>
    </row>
    <row r="35" spans="1:14">
      <c r="A35" s="64">
        <v>43556</v>
      </c>
      <c r="B35" s="70" t="s">
        <v>382</v>
      </c>
      <c r="C35" s="103"/>
      <c r="D35" s="21" t="s">
        <v>51</v>
      </c>
      <c r="E35" s="21" t="s">
        <v>52</v>
      </c>
      <c r="F35" s="33" t="s">
        <v>53</v>
      </c>
      <c r="G35" s="57"/>
      <c r="H35" s="54"/>
      <c r="I35" s="67"/>
      <c r="J35" s="57">
        <f t="shared" si="0"/>
        <v>0</v>
      </c>
      <c r="K35" s="57">
        <f>(J35+J36)*0.05*N2</f>
        <v>0</v>
      </c>
      <c r="L35" s="57">
        <f>K35/0.05*0.25</f>
        <v>0</v>
      </c>
      <c r="M35" s="57">
        <f t="shared" si="1"/>
        <v>0</v>
      </c>
      <c r="N35" s="57"/>
    </row>
    <row r="36" spans="1:14">
      <c r="A36" s="64">
        <v>43556</v>
      </c>
      <c r="B36" s="70" t="s">
        <v>382</v>
      </c>
      <c r="C36" s="103"/>
      <c r="D36" s="21" t="s">
        <v>51</v>
      </c>
      <c r="E36" s="21" t="s">
        <v>52</v>
      </c>
      <c r="F36" s="33" t="s">
        <v>54</v>
      </c>
      <c r="G36" s="57"/>
      <c r="H36" s="54"/>
      <c r="I36" s="67"/>
      <c r="J36" s="57">
        <f t="shared" si="0"/>
        <v>0</v>
      </c>
      <c r="K36" s="57"/>
      <c r="L36" s="57"/>
      <c r="M36" s="57"/>
      <c r="N36" s="57"/>
    </row>
    <row r="37" spans="1:14">
      <c r="A37" s="64">
        <v>43556</v>
      </c>
      <c r="B37" s="70" t="s">
        <v>382</v>
      </c>
      <c r="C37" s="103"/>
      <c r="D37" s="21" t="s">
        <v>56</v>
      </c>
      <c r="E37" s="21" t="s">
        <v>57</v>
      </c>
      <c r="F37" s="33" t="s">
        <v>58</v>
      </c>
      <c r="G37" s="57"/>
      <c r="H37" s="54"/>
      <c r="I37" s="67"/>
      <c r="J37" s="57">
        <f t="shared" si="0"/>
        <v>0</v>
      </c>
      <c r="K37" s="57">
        <f>(J37+J38+J15)*0.05*N2</f>
        <v>0</v>
      </c>
      <c r="L37" s="57">
        <f>K37/0.05*0.25</f>
        <v>0</v>
      </c>
      <c r="M37" s="57">
        <f t="shared" si="1"/>
        <v>0</v>
      </c>
      <c r="N37" s="57"/>
    </row>
    <row r="38" spans="1:14">
      <c r="A38" s="64">
        <v>43556</v>
      </c>
      <c r="B38" s="70" t="s">
        <v>382</v>
      </c>
      <c r="C38" s="103"/>
      <c r="D38" s="21" t="s">
        <v>56</v>
      </c>
      <c r="E38" s="21" t="s">
        <v>57</v>
      </c>
      <c r="F38" s="33" t="s">
        <v>59</v>
      </c>
      <c r="G38" s="57"/>
      <c r="H38" s="54"/>
      <c r="I38" s="67"/>
      <c r="J38" s="57">
        <f t="shared" si="0"/>
        <v>0</v>
      </c>
      <c r="K38" s="57"/>
      <c r="L38" s="57"/>
      <c r="M38" s="57"/>
      <c r="N38" s="57"/>
    </row>
    <row r="39" spans="1:14">
      <c r="A39" s="64">
        <v>43556</v>
      </c>
      <c r="B39" s="70" t="s">
        <v>382</v>
      </c>
      <c r="C39" s="103"/>
      <c r="D39" s="21" t="s">
        <v>60</v>
      </c>
      <c r="E39" s="21" t="s">
        <v>46</v>
      </c>
      <c r="F39" s="33" t="s">
        <v>47</v>
      </c>
      <c r="G39" s="57"/>
      <c r="H39" s="54"/>
      <c r="I39" s="68"/>
      <c r="J39" s="57">
        <f t="shared" si="0"/>
        <v>0</v>
      </c>
      <c r="K39" s="57"/>
      <c r="L39" s="57"/>
      <c r="M39" s="57"/>
      <c r="N39" s="21"/>
    </row>
    <row r="40" spans="1:14">
      <c r="A40" s="64"/>
      <c r="B40" s="70"/>
      <c r="C40" s="103"/>
      <c r="D40" s="21" t="s">
        <v>60</v>
      </c>
      <c r="E40" s="21" t="s">
        <v>46</v>
      </c>
      <c r="F40" s="33" t="s">
        <v>383</v>
      </c>
      <c r="G40" s="57"/>
      <c r="H40" s="54"/>
      <c r="I40" s="86"/>
      <c r="J40" s="57">
        <f t="shared" si="0"/>
        <v>0</v>
      </c>
      <c r="K40" s="57"/>
      <c r="L40" s="57"/>
      <c r="M40" s="57"/>
      <c r="N40" s="21"/>
    </row>
    <row r="41" spans="1:14">
      <c r="A41" s="64">
        <v>43556</v>
      </c>
      <c r="B41" s="70" t="s">
        <v>382</v>
      </c>
      <c r="C41" s="103"/>
      <c r="D41" s="21" t="s">
        <v>60</v>
      </c>
      <c r="E41" s="21" t="s">
        <v>46</v>
      </c>
      <c r="F41" s="33" t="s">
        <v>49</v>
      </c>
      <c r="G41" s="57"/>
      <c r="H41" s="54"/>
      <c r="I41" s="84"/>
      <c r="J41" s="57">
        <f t="shared" si="0"/>
        <v>0</v>
      </c>
      <c r="K41" s="57"/>
      <c r="L41" s="57"/>
      <c r="M41" s="57"/>
      <c r="N41" s="57"/>
    </row>
    <row r="42" spans="1:14">
      <c r="A42" s="64"/>
      <c r="B42" s="70"/>
      <c r="C42" s="103"/>
      <c r="D42" s="21" t="s">
        <v>50</v>
      </c>
      <c r="E42" s="21" t="s">
        <v>46</v>
      </c>
      <c r="F42" s="33" t="s">
        <v>47</v>
      </c>
      <c r="G42" s="57"/>
      <c r="H42" s="54"/>
      <c r="I42" s="84"/>
      <c r="J42" s="57">
        <f t="shared" si="0"/>
        <v>0</v>
      </c>
      <c r="K42" s="57"/>
      <c r="L42" s="57"/>
      <c r="M42" s="57"/>
      <c r="N42" s="57"/>
    </row>
    <row r="43" spans="1:14">
      <c r="A43" s="64">
        <v>43556</v>
      </c>
      <c r="B43" s="70" t="s">
        <v>382</v>
      </c>
      <c r="C43" s="103"/>
      <c r="D43" s="21" t="s">
        <v>50</v>
      </c>
      <c r="E43" s="21" t="s">
        <v>46</v>
      </c>
      <c r="F43" s="33" t="s">
        <v>49</v>
      </c>
      <c r="G43" s="57"/>
      <c r="H43" s="54"/>
      <c r="I43" s="67"/>
      <c r="J43" s="57">
        <f t="shared" si="0"/>
        <v>0</v>
      </c>
      <c r="K43" s="57"/>
      <c r="L43" s="57"/>
      <c r="M43" s="57"/>
      <c r="N43" s="57"/>
    </row>
    <row r="44" spans="1:14">
      <c r="A44" s="64">
        <v>43556</v>
      </c>
      <c r="B44" s="70" t="s">
        <v>382</v>
      </c>
      <c r="C44" s="103"/>
      <c r="D44" s="21" t="s">
        <v>67</v>
      </c>
      <c r="E44" s="21" t="s">
        <v>68</v>
      </c>
      <c r="F44" s="33" t="s">
        <v>384</v>
      </c>
      <c r="G44" s="57"/>
      <c r="H44" s="54"/>
      <c r="I44" s="67"/>
      <c r="J44" s="57">
        <f t="shared" si="0"/>
        <v>0</v>
      </c>
      <c r="K44" s="57">
        <f>(J44)*0.05*N2</f>
        <v>0</v>
      </c>
      <c r="L44" s="57">
        <f t="shared" ref="L44:L48" si="2">K44/0.05*0.25</f>
        <v>0</v>
      </c>
      <c r="M44" s="57">
        <f t="shared" ref="M44:M48" si="3">L44-K44</f>
        <v>0</v>
      </c>
      <c r="N44" s="57"/>
    </row>
    <row r="45" spans="1:14">
      <c r="A45" s="64">
        <v>43556</v>
      </c>
      <c r="B45" s="70" t="s">
        <v>382</v>
      </c>
      <c r="C45" s="103"/>
      <c r="D45" s="21" t="s">
        <v>77</v>
      </c>
      <c r="E45" s="21" t="s">
        <v>12</v>
      </c>
      <c r="F45" s="33" t="s">
        <v>13</v>
      </c>
      <c r="G45" s="57"/>
      <c r="H45" s="54"/>
      <c r="I45" s="67"/>
      <c r="J45" s="57">
        <f t="shared" si="0"/>
        <v>0</v>
      </c>
      <c r="K45" s="57"/>
      <c r="L45" s="57"/>
      <c r="M45" s="57"/>
      <c r="N45" s="57"/>
    </row>
    <row r="46" spans="1:14">
      <c r="A46" s="64">
        <v>43556</v>
      </c>
      <c r="B46" s="70" t="s">
        <v>382</v>
      </c>
      <c r="C46" s="103"/>
      <c r="D46" s="21" t="s">
        <v>77</v>
      </c>
      <c r="E46" s="21" t="s">
        <v>12</v>
      </c>
      <c r="F46" s="33" t="s">
        <v>15</v>
      </c>
      <c r="G46" s="57"/>
      <c r="H46" s="54"/>
      <c r="I46" s="67"/>
      <c r="J46" s="57">
        <f t="shared" si="0"/>
        <v>0</v>
      </c>
      <c r="K46" s="57"/>
      <c r="L46" s="57"/>
      <c r="M46" s="57"/>
      <c r="N46" s="57"/>
    </row>
    <row r="47" spans="1:14">
      <c r="A47" s="64">
        <v>43556</v>
      </c>
      <c r="B47" s="70" t="s">
        <v>382</v>
      </c>
      <c r="C47" s="103"/>
      <c r="D47" s="21" t="s">
        <v>78</v>
      </c>
      <c r="E47" s="21" t="s">
        <v>12</v>
      </c>
      <c r="F47" s="33" t="s">
        <v>14</v>
      </c>
      <c r="G47" s="57"/>
      <c r="H47" s="54"/>
      <c r="I47" s="67"/>
      <c r="J47" s="57">
        <f t="shared" si="0"/>
        <v>0</v>
      </c>
      <c r="K47" s="57">
        <f>(J47+J45+J46)*0.05*N2</f>
        <v>0</v>
      </c>
      <c r="L47" s="57">
        <f t="shared" si="2"/>
        <v>0</v>
      </c>
      <c r="M47" s="57">
        <f t="shared" si="3"/>
        <v>0</v>
      </c>
      <c r="N47" s="57"/>
    </row>
    <row r="48" spans="1:14">
      <c r="A48" s="64">
        <v>43556</v>
      </c>
      <c r="B48" s="70" t="s">
        <v>382</v>
      </c>
      <c r="C48" s="103"/>
      <c r="D48" s="21" t="s">
        <v>30</v>
      </c>
      <c r="E48" s="21" t="s">
        <v>20</v>
      </c>
      <c r="F48" s="33" t="s">
        <v>21</v>
      </c>
      <c r="G48" s="57"/>
      <c r="H48" s="54"/>
      <c r="I48" s="67"/>
      <c r="J48" s="57">
        <f t="shared" si="0"/>
        <v>0</v>
      </c>
      <c r="K48" s="57">
        <f>(J48+J49+J50+J52+J51)*0.05*N2</f>
        <v>0</v>
      </c>
      <c r="L48" s="57">
        <f t="shared" si="2"/>
        <v>0</v>
      </c>
      <c r="M48" s="57">
        <f t="shared" si="3"/>
        <v>0</v>
      </c>
      <c r="N48" s="57">
        <f>M48*0.05</f>
        <v>0</v>
      </c>
    </row>
    <row r="49" spans="1:14" ht="14.1" customHeight="1">
      <c r="A49" s="64">
        <v>43556</v>
      </c>
      <c r="B49" s="70" t="s">
        <v>382</v>
      </c>
      <c r="C49" s="103"/>
      <c r="D49" s="21" t="s">
        <v>30</v>
      </c>
      <c r="E49" s="21" t="s">
        <v>20</v>
      </c>
      <c r="F49" s="33" t="s">
        <v>23</v>
      </c>
      <c r="G49" s="57"/>
      <c r="H49" s="54"/>
      <c r="I49" s="67"/>
      <c r="J49" s="57">
        <f t="shared" si="0"/>
        <v>0</v>
      </c>
      <c r="K49" s="57"/>
      <c r="L49" s="57"/>
      <c r="M49" s="57"/>
      <c r="N49" s="57"/>
    </row>
    <row r="50" spans="1:14">
      <c r="A50" s="64">
        <v>43556</v>
      </c>
      <c r="B50" s="70" t="s">
        <v>382</v>
      </c>
      <c r="C50" s="103"/>
      <c r="D50" s="21" t="s">
        <v>31</v>
      </c>
      <c r="E50" s="21" t="s">
        <v>20</v>
      </c>
      <c r="F50" s="33" t="s">
        <v>21</v>
      </c>
      <c r="G50" s="57"/>
      <c r="H50" s="54"/>
      <c r="I50" s="67"/>
      <c r="J50" s="57">
        <f t="shared" si="0"/>
        <v>0</v>
      </c>
      <c r="K50" s="57"/>
      <c r="L50" s="57"/>
      <c r="M50" s="57"/>
      <c r="N50" s="57"/>
    </row>
    <row r="51" spans="1:14">
      <c r="A51" s="64">
        <v>43556</v>
      </c>
      <c r="B51" s="70" t="s">
        <v>382</v>
      </c>
      <c r="C51" s="103"/>
      <c r="D51" s="21" t="s">
        <v>31</v>
      </c>
      <c r="E51" s="21" t="s">
        <v>20</v>
      </c>
      <c r="F51" s="33" t="s">
        <v>22</v>
      </c>
      <c r="G51" s="57"/>
      <c r="H51" s="54"/>
      <c r="I51" s="67"/>
      <c r="J51" s="57">
        <f t="shared" si="0"/>
        <v>0</v>
      </c>
      <c r="K51" s="57"/>
      <c r="L51" s="57"/>
      <c r="M51" s="57"/>
      <c r="N51" s="57"/>
    </row>
    <row r="52" spans="1:14">
      <c r="A52" s="64">
        <v>43556</v>
      </c>
      <c r="B52" s="70" t="s">
        <v>382</v>
      </c>
      <c r="C52" s="103"/>
      <c r="D52" s="21" t="s">
        <v>31</v>
      </c>
      <c r="E52" s="21" t="s">
        <v>20</v>
      </c>
      <c r="F52" s="33" t="s">
        <v>23</v>
      </c>
      <c r="G52" s="57"/>
      <c r="H52" s="54"/>
      <c r="I52" s="67"/>
      <c r="J52" s="57">
        <f t="shared" si="0"/>
        <v>0</v>
      </c>
      <c r="K52" s="57"/>
      <c r="L52" s="57"/>
      <c r="M52" s="57"/>
      <c r="N52" s="57"/>
    </row>
    <row r="53" spans="1:14">
      <c r="A53" s="64"/>
      <c r="B53" s="70"/>
      <c r="C53" s="103"/>
      <c r="D53" s="75" t="s">
        <v>79</v>
      </c>
      <c r="E53" s="75" t="s">
        <v>80</v>
      </c>
      <c r="F53" s="75" t="s">
        <v>81</v>
      </c>
      <c r="G53" s="76"/>
      <c r="H53" s="77"/>
      <c r="I53" s="67"/>
      <c r="J53" s="57">
        <f t="shared" si="0"/>
        <v>0</v>
      </c>
      <c r="K53" s="57">
        <f>(J53+J54)*0.25*N2</f>
        <v>0</v>
      </c>
      <c r="L53" s="57"/>
      <c r="M53" s="57"/>
      <c r="N53" s="57"/>
    </row>
    <row r="54" spans="1:14">
      <c r="A54" s="64"/>
      <c r="B54" s="70"/>
      <c r="C54" s="104"/>
      <c r="D54" s="75" t="s">
        <v>79</v>
      </c>
      <c r="E54" s="75" t="s">
        <v>80</v>
      </c>
      <c r="F54" s="75" t="s">
        <v>82</v>
      </c>
      <c r="G54" s="76"/>
      <c r="H54" s="77"/>
      <c r="I54" s="67"/>
      <c r="J54" s="57">
        <f t="shared" si="0"/>
        <v>0</v>
      </c>
      <c r="K54" s="57"/>
      <c r="L54" s="57"/>
      <c r="M54" s="57"/>
      <c r="N54" s="57"/>
    </row>
    <row r="55" spans="1:14">
      <c r="A55" s="64">
        <v>43556</v>
      </c>
      <c r="B55" s="70" t="s">
        <v>382</v>
      </c>
      <c r="C55" s="105" t="s">
        <v>83</v>
      </c>
      <c r="D55" s="75" t="s">
        <v>385</v>
      </c>
      <c r="E55" s="75" t="s">
        <v>386</v>
      </c>
      <c r="F55" s="75" t="s">
        <v>387</v>
      </c>
      <c r="G55" s="76"/>
      <c r="H55" s="77"/>
      <c r="I55" s="67"/>
      <c r="J55" s="57">
        <f t="shared" si="0"/>
        <v>0</v>
      </c>
      <c r="K55" s="57"/>
      <c r="L55" s="57"/>
      <c r="M55" s="57"/>
      <c r="N55" s="57"/>
    </row>
    <row r="56" spans="1:14">
      <c r="A56" s="64">
        <v>43556</v>
      </c>
      <c r="B56" s="70" t="s">
        <v>382</v>
      </c>
      <c r="C56" s="105"/>
      <c r="D56" s="21" t="s">
        <v>95</v>
      </c>
      <c r="E56" s="21" t="s">
        <v>85</v>
      </c>
      <c r="F56" s="33" t="s">
        <v>86</v>
      </c>
      <c r="G56" s="57"/>
      <c r="H56" s="54"/>
      <c r="I56" s="67"/>
      <c r="J56" s="57">
        <f t="shared" si="0"/>
        <v>0</v>
      </c>
      <c r="K56" s="57">
        <f>(J56+J57+J70+J66)*0.03*N2</f>
        <v>0</v>
      </c>
      <c r="L56" s="57">
        <f>K56/0.03*0.25</f>
        <v>0</v>
      </c>
      <c r="M56" s="57">
        <f>L56-K56</f>
        <v>0</v>
      </c>
      <c r="N56" s="57"/>
    </row>
    <row r="57" spans="1:14">
      <c r="A57" s="64"/>
      <c r="B57" s="70"/>
      <c r="C57" s="105"/>
      <c r="D57" s="21" t="s">
        <v>95</v>
      </c>
      <c r="E57" s="21" t="s">
        <v>85</v>
      </c>
      <c r="F57" s="33" t="s">
        <v>87</v>
      </c>
      <c r="G57" s="57"/>
      <c r="H57" s="54"/>
      <c r="I57" s="67"/>
      <c r="J57" s="57">
        <f t="shared" si="0"/>
        <v>0</v>
      </c>
      <c r="K57" s="57"/>
      <c r="L57" s="57"/>
      <c r="M57" s="57"/>
      <c r="N57" s="57"/>
    </row>
    <row r="58" spans="1:14">
      <c r="A58" s="64">
        <v>43556</v>
      </c>
      <c r="B58" s="70" t="s">
        <v>382</v>
      </c>
      <c r="C58" s="105"/>
      <c r="D58" s="21" t="s">
        <v>105</v>
      </c>
      <c r="E58" s="21" t="s">
        <v>99</v>
      </c>
      <c r="F58" s="33" t="s">
        <v>100</v>
      </c>
      <c r="G58" s="57"/>
      <c r="H58" s="54"/>
      <c r="I58" s="67"/>
      <c r="J58" s="57">
        <f t="shared" si="0"/>
        <v>0</v>
      </c>
      <c r="K58" s="57">
        <f>(J58+J64+J65)*0.03*N2</f>
        <v>0</v>
      </c>
      <c r="L58" s="57">
        <f>K58/0.03*0.25</f>
        <v>0</v>
      </c>
      <c r="M58" s="57">
        <f>L58-K58</f>
        <v>0</v>
      </c>
      <c r="N58" s="57"/>
    </row>
    <row r="59" spans="1:14">
      <c r="A59" s="64">
        <v>43556</v>
      </c>
      <c r="B59" s="70" t="s">
        <v>382</v>
      </c>
      <c r="C59" s="105"/>
      <c r="D59" s="21" t="s">
        <v>255</v>
      </c>
      <c r="E59" s="21" t="s">
        <v>89</v>
      </c>
      <c r="F59" s="33" t="s">
        <v>90</v>
      </c>
      <c r="G59" s="57"/>
      <c r="H59" s="54"/>
      <c r="I59" s="67"/>
      <c r="J59" s="57">
        <f t="shared" si="0"/>
        <v>0</v>
      </c>
      <c r="K59" s="57"/>
      <c r="L59" s="57"/>
      <c r="M59" s="57"/>
      <c r="N59" s="57"/>
    </row>
    <row r="60" spans="1:14">
      <c r="A60" s="64">
        <v>43556</v>
      </c>
      <c r="B60" s="70" t="s">
        <v>382</v>
      </c>
      <c r="C60" s="105"/>
      <c r="D60" s="21" t="s">
        <v>102</v>
      </c>
      <c r="E60" s="21" t="s">
        <v>93</v>
      </c>
      <c r="F60" s="33" t="s">
        <v>94</v>
      </c>
      <c r="G60" s="57"/>
      <c r="H60" s="54"/>
      <c r="I60" s="79"/>
      <c r="J60" s="57">
        <f t="shared" si="0"/>
        <v>0</v>
      </c>
      <c r="K60" s="57"/>
      <c r="L60" s="57"/>
      <c r="M60" s="57"/>
      <c r="N60" s="57"/>
    </row>
    <row r="61" spans="1:14">
      <c r="A61" s="64"/>
      <c r="B61" s="70"/>
      <c r="C61" s="105"/>
      <c r="D61" s="21" t="s">
        <v>102</v>
      </c>
      <c r="E61" s="21" t="s">
        <v>93</v>
      </c>
      <c r="F61" s="33" t="s">
        <v>97</v>
      </c>
      <c r="G61" s="57"/>
      <c r="H61" s="54"/>
      <c r="I61" s="67"/>
      <c r="J61" s="57">
        <f t="shared" si="0"/>
        <v>0</v>
      </c>
      <c r="K61" s="57"/>
      <c r="L61" s="57"/>
      <c r="M61" s="57"/>
      <c r="N61" s="57"/>
    </row>
    <row r="62" spans="1:14">
      <c r="A62" s="64">
        <v>43556</v>
      </c>
      <c r="B62" s="70" t="s">
        <v>382</v>
      </c>
      <c r="C62" s="105"/>
      <c r="D62" s="21" t="s">
        <v>103</v>
      </c>
      <c r="E62" s="21" t="s">
        <v>93</v>
      </c>
      <c r="F62" s="33" t="s">
        <v>94</v>
      </c>
      <c r="G62" s="57"/>
      <c r="H62" s="54"/>
      <c r="I62" s="67"/>
      <c r="J62" s="57">
        <f t="shared" si="0"/>
        <v>0</v>
      </c>
      <c r="K62" s="57"/>
      <c r="L62" s="57"/>
      <c r="M62" s="57"/>
      <c r="N62" s="57"/>
    </row>
    <row r="63" spans="1:14">
      <c r="A63" s="64"/>
      <c r="B63" s="70"/>
      <c r="C63" s="105"/>
      <c r="D63" s="21" t="s">
        <v>103</v>
      </c>
      <c r="E63" s="21" t="s">
        <v>93</v>
      </c>
      <c r="F63" s="33" t="s">
        <v>97</v>
      </c>
      <c r="G63" s="57"/>
      <c r="H63" s="54"/>
      <c r="I63" s="67"/>
      <c r="J63" s="57">
        <f t="shared" si="0"/>
        <v>0</v>
      </c>
      <c r="K63" s="57"/>
      <c r="L63" s="57"/>
      <c r="M63" s="57"/>
      <c r="N63" s="57"/>
    </row>
    <row r="64" spans="1:14">
      <c r="A64" s="64">
        <v>43556</v>
      </c>
      <c r="B64" s="70" t="s">
        <v>382</v>
      </c>
      <c r="C64" s="105"/>
      <c r="D64" s="21" t="s">
        <v>98</v>
      </c>
      <c r="E64" s="21" t="s">
        <v>99</v>
      </c>
      <c r="F64" s="33" t="s">
        <v>100</v>
      </c>
      <c r="G64" s="74"/>
      <c r="H64" s="54"/>
      <c r="I64" s="79"/>
      <c r="J64" s="57">
        <f t="shared" si="0"/>
        <v>0</v>
      </c>
      <c r="K64" s="57"/>
      <c r="L64" s="57">
        <f>K64/0.04*0.25</f>
        <v>0</v>
      </c>
      <c r="M64" s="57">
        <f>L64-K64</f>
        <v>0</v>
      </c>
      <c r="N64" s="57"/>
    </row>
    <row r="65" spans="1:14">
      <c r="A65" s="64">
        <v>43556</v>
      </c>
      <c r="B65" s="70" t="s">
        <v>382</v>
      </c>
      <c r="C65" s="105"/>
      <c r="D65" s="21" t="s">
        <v>98</v>
      </c>
      <c r="E65" s="21" t="s">
        <v>99</v>
      </c>
      <c r="F65" s="33" t="s">
        <v>101</v>
      </c>
      <c r="G65" s="74"/>
      <c r="H65" s="54"/>
      <c r="I65" s="67"/>
      <c r="J65" s="57">
        <f t="shared" si="0"/>
        <v>0</v>
      </c>
      <c r="K65" s="57"/>
      <c r="L65" s="57"/>
      <c r="M65" s="57"/>
      <c r="N65" s="57"/>
    </row>
    <row r="66" spans="1:14">
      <c r="A66" s="64">
        <v>43556</v>
      </c>
      <c r="B66" s="70" t="s">
        <v>382</v>
      </c>
      <c r="C66" s="105"/>
      <c r="D66" s="21" t="s">
        <v>324</v>
      </c>
      <c r="E66" s="21" t="s">
        <v>85</v>
      </c>
      <c r="F66" s="33" t="s">
        <v>86</v>
      </c>
      <c r="G66" s="57"/>
      <c r="H66" s="54"/>
      <c r="I66" s="68"/>
      <c r="J66" s="57">
        <f t="shared" si="0"/>
        <v>0</v>
      </c>
      <c r="K66" s="57"/>
      <c r="L66" s="57">
        <f>K66/0.03*0.25</f>
        <v>0</v>
      </c>
      <c r="M66" s="57">
        <f>L66-K66</f>
        <v>0</v>
      </c>
      <c r="N66" s="57"/>
    </row>
    <row r="67" spans="1:14">
      <c r="A67" s="64">
        <v>43556</v>
      </c>
      <c r="B67" s="70" t="s">
        <v>382</v>
      </c>
      <c r="C67" s="105"/>
      <c r="D67" s="21" t="s">
        <v>92</v>
      </c>
      <c r="E67" s="21" t="s">
        <v>93</v>
      </c>
      <c r="F67" s="33" t="s">
        <v>94</v>
      </c>
      <c r="G67" s="74"/>
      <c r="H67" s="54"/>
      <c r="I67" s="67"/>
      <c r="J67" s="57">
        <f t="shared" ref="J67:J98" si="4">(G67*H67*1)-I67</f>
        <v>0</v>
      </c>
      <c r="K67" s="57">
        <f>(J67+J68+J69+J60+J61+J62+J63)*0.2*N2</f>
        <v>0</v>
      </c>
      <c r="L67" s="57"/>
      <c r="M67" s="57"/>
      <c r="N67" s="57"/>
    </row>
    <row r="68" spans="1:14">
      <c r="A68" s="64">
        <v>43556</v>
      </c>
      <c r="B68" s="70" t="s">
        <v>382</v>
      </c>
      <c r="C68" s="105"/>
      <c r="D68" s="21" t="s">
        <v>96</v>
      </c>
      <c r="E68" s="21" t="s">
        <v>93</v>
      </c>
      <c r="F68" s="33" t="s">
        <v>94</v>
      </c>
      <c r="G68" s="57"/>
      <c r="H68" s="54"/>
      <c r="I68" s="67"/>
      <c r="J68" s="57">
        <f t="shared" si="4"/>
        <v>0</v>
      </c>
      <c r="K68" s="57"/>
      <c r="L68" s="57"/>
      <c r="M68" s="57"/>
      <c r="N68" s="57"/>
    </row>
    <row r="69" spans="1:14">
      <c r="A69" s="64">
        <v>43556</v>
      </c>
      <c r="B69" s="70" t="s">
        <v>382</v>
      </c>
      <c r="C69" s="105"/>
      <c r="D69" s="21" t="s">
        <v>96</v>
      </c>
      <c r="E69" s="21" t="s">
        <v>93</v>
      </c>
      <c r="F69" s="33" t="s">
        <v>97</v>
      </c>
      <c r="G69" s="57"/>
      <c r="H69" s="54"/>
      <c r="I69" s="67"/>
      <c r="J69" s="57">
        <f t="shared" si="4"/>
        <v>0</v>
      </c>
      <c r="K69" s="57"/>
      <c r="L69" s="57"/>
      <c r="M69" s="57"/>
      <c r="N69" s="57"/>
    </row>
    <row r="70" spans="1:14">
      <c r="A70" s="64">
        <v>43556</v>
      </c>
      <c r="B70" s="70" t="s">
        <v>382</v>
      </c>
      <c r="C70" s="105"/>
      <c r="D70" s="21" t="s">
        <v>84</v>
      </c>
      <c r="E70" s="21" t="s">
        <v>85</v>
      </c>
      <c r="F70" s="33" t="s">
        <v>86</v>
      </c>
      <c r="G70" s="57"/>
      <c r="H70" s="54"/>
      <c r="I70" s="67"/>
      <c r="J70" s="57">
        <f t="shared" si="4"/>
        <v>0</v>
      </c>
      <c r="K70" s="57"/>
      <c r="L70" s="57"/>
      <c r="M70" s="57"/>
      <c r="N70" s="57"/>
    </row>
    <row r="71" spans="1:14">
      <c r="A71" s="64">
        <v>43556</v>
      </c>
      <c r="B71" s="70" t="s">
        <v>382</v>
      </c>
      <c r="C71" s="105" t="s">
        <v>106</v>
      </c>
      <c r="D71" s="21" t="s">
        <v>126</v>
      </c>
      <c r="E71" s="21" t="s">
        <v>246</v>
      </c>
      <c r="F71" s="33" t="s">
        <v>247</v>
      </c>
      <c r="G71" s="57"/>
      <c r="H71" s="54"/>
      <c r="I71" s="67"/>
      <c r="J71" s="57">
        <f t="shared" si="4"/>
        <v>0</v>
      </c>
      <c r="K71" s="57"/>
      <c r="L71" s="57">
        <f>K71/0.05*0.25</f>
        <v>0</v>
      </c>
      <c r="M71" s="57">
        <f>L71-K71</f>
        <v>0</v>
      </c>
      <c r="N71" s="57"/>
    </row>
    <row r="72" spans="1:14">
      <c r="A72" s="64">
        <v>43556</v>
      </c>
      <c r="B72" s="70" t="s">
        <v>382</v>
      </c>
      <c r="C72" s="105"/>
      <c r="D72" s="21" t="s">
        <v>111</v>
      </c>
      <c r="E72" s="21" t="s">
        <v>108</v>
      </c>
      <c r="F72" s="33" t="s">
        <v>109</v>
      </c>
      <c r="G72" s="57"/>
      <c r="H72" s="54"/>
      <c r="I72" s="79"/>
      <c r="J72" s="57">
        <f t="shared" si="4"/>
        <v>0</v>
      </c>
      <c r="K72" s="57">
        <f>(J72+J73+J92+J93+J74+J75+J94)*0.03*N2</f>
        <v>0</v>
      </c>
      <c r="L72" s="57">
        <f>K72/0.03*0.25</f>
        <v>0</v>
      </c>
      <c r="M72" s="57">
        <f>L72-K72</f>
        <v>0</v>
      </c>
      <c r="N72" s="57"/>
    </row>
    <row r="73" spans="1:14">
      <c r="A73" s="64">
        <v>43556</v>
      </c>
      <c r="B73" s="70" t="s">
        <v>382</v>
      </c>
      <c r="C73" s="105"/>
      <c r="D73" s="21" t="s">
        <v>111</v>
      </c>
      <c r="E73" s="21" t="s">
        <v>108</v>
      </c>
      <c r="F73" s="33" t="s">
        <v>110</v>
      </c>
      <c r="G73" s="57"/>
      <c r="H73" s="54"/>
      <c r="I73" s="68"/>
      <c r="J73" s="57">
        <f t="shared" si="4"/>
        <v>0</v>
      </c>
      <c r="K73" s="57"/>
      <c r="L73" s="57"/>
      <c r="M73" s="57"/>
      <c r="N73" s="57"/>
    </row>
    <row r="74" spans="1:14">
      <c r="A74" s="64">
        <v>43556</v>
      </c>
      <c r="B74" s="70" t="s">
        <v>382</v>
      </c>
      <c r="C74" s="105"/>
      <c r="D74" s="21" t="s">
        <v>138</v>
      </c>
      <c r="E74" s="21" t="s">
        <v>108</v>
      </c>
      <c r="F74" s="33" t="s">
        <v>109</v>
      </c>
      <c r="G74" s="57"/>
      <c r="H74" s="54"/>
      <c r="I74" s="79"/>
      <c r="J74" s="57">
        <f t="shared" si="4"/>
        <v>0</v>
      </c>
      <c r="K74" s="57"/>
      <c r="L74" s="57"/>
      <c r="M74" s="57"/>
      <c r="N74" s="57"/>
    </row>
    <row r="75" spans="1:14">
      <c r="A75" s="64"/>
      <c r="B75" s="70"/>
      <c r="C75" s="105"/>
      <c r="D75" s="21" t="s">
        <v>138</v>
      </c>
      <c r="E75" s="21" t="s">
        <v>108</v>
      </c>
      <c r="F75" s="33" t="s">
        <v>110</v>
      </c>
      <c r="G75" s="57"/>
      <c r="H75" s="54"/>
      <c r="I75" s="79"/>
      <c r="J75" s="57">
        <f t="shared" si="4"/>
        <v>0</v>
      </c>
      <c r="K75" s="57"/>
      <c r="L75" s="57"/>
      <c r="M75" s="57"/>
      <c r="N75" s="57"/>
    </row>
    <row r="76" spans="1:14">
      <c r="A76" s="64">
        <v>43556</v>
      </c>
      <c r="B76" s="70" t="s">
        <v>382</v>
      </c>
      <c r="C76" s="105"/>
      <c r="D76" s="21" t="s">
        <v>116</v>
      </c>
      <c r="E76" s="21" t="s">
        <v>117</v>
      </c>
      <c r="F76" s="33" t="s">
        <v>118</v>
      </c>
      <c r="G76" s="57"/>
      <c r="H76" s="54"/>
      <c r="I76" s="67"/>
      <c r="J76" s="57">
        <f t="shared" si="4"/>
        <v>0</v>
      </c>
      <c r="K76" s="57">
        <f>(J76+J77)*0.15*N2</f>
        <v>0</v>
      </c>
      <c r="L76" s="57"/>
      <c r="M76" s="57"/>
      <c r="N76" s="57"/>
    </row>
    <row r="77" spans="1:14">
      <c r="A77" s="64">
        <v>43556</v>
      </c>
      <c r="B77" s="70" t="s">
        <v>382</v>
      </c>
      <c r="C77" s="105"/>
      <c r="D77" s="21" t="s">
        <v>116</v>
      </c>
      <c r="E77" s="21" t="s">
        <v>117</v>
      </c>
      <c r="F77" s="33" t="s">
        <v>119</v>
      </c>
      <c r="G77" s="57"/>
      <c r="H77" s="54"/>
      <c r="I77" s="67"/>
      <c r="J77" s="57">
        <f t="shared" si="4"/>
        <v>0</v>
      </c>
      <c r="K77" s="57"/>
      <c r="L77" s="57"/>
      <c r="M77" s="57"/>
      <c r="N77" s="57"/>
    </row>
    <row r="78" spans="1:14">
      <c r="A78" s="64">
        <v>43556</v>
      </c>
      <c r="B78" s="70" t="s">
        <v>382</v>
      </c>
      <c r="C78" s="105"/>
      <c r="D78" s="21" t="s">
        <v>137</v>
      </c>
      <c r="E78" s="21" t="s">
        <v>113</v>
      </c>
      <c r="F78" s="33" t="s">
        <v>114</v>
      </c>
      <c r="G78" s="57"/>
      <c r="H78" s="54"/>
      <c r="I78" s="79"/>
      <c r="J78" s="57">
        <f t="shared" si="4"/>
        <v>0</v>
      </c>
      <c r="K78" s="57"/>
      <c r="L78" s="57">
        <f>K78/0.03*0.25</f>
        <v>0</v>
      </c>
      <c r="M78" s="57">
        <f>L78-K78</f>
        <v>0</v>
      </c>
      <c r="N78" s="57"/>
    </row>
    <row r="79" spans="1:14">
      <c r="A79" s="64">
        <v>43556</v>
      </c>
      <c r="B79" s="70" t="s">
        <v>382</v>
      </c>
      <c r="C79" s="105"/>
      <c r="D79" s="21" t="s">
        <v>137</v>
      </c>
      <c r="E79" s="21" t="s">
        <v>113</v>
      </c>
      <c r="F79" s="33" t="s">
        <v>115</v>
      </c>
      <c r="G79" s="57"/>
      <c r="H79" s="54"/>
      <c r="I79" s="67"/>
      <c r="J79" s="57">
        <f t="shared" si="4"/>
        <v>0</v>
      </c>
      <c r="K79" s="57"/>
      <c r="L79" s="57"/>
      <c r="M79" s="57"/>
      <c r="N79" s="57"/>
    </row>
    <row r="80" spans="1:14">
      <c r="A80" s="64">
        <v>43556</v>
      </c>
      <c r="B80" s="70" t="s">
        <v>382</v>
      </c>
      <c r="C80" s="105"/>
      <c r="D80" s="21" t="s">
        <v>128</v>
      </c>
      <c r="E80" s="21" t="s">
        <v>129</v>
      </c>
      <c r="F80" s="33" t="s">
        <v>130</v>
      </c>
      <c r="G80" s="57"/>
      <c r="H80" s="54"/>
      <c r="I80" s="68"/>
      <c r="J80" s="57">
        <f t="shared" si="4"/>
        <v>0</v>
      </c>
      <c r="K80" s="57"/>
      <c r="L80" s="57"/>
      <c r="M80" s="57"/>
      <c r="N80" s="57"/>
    </row>
    <row r="81" spans="1:14">
      <c r="A81" s="64">
        <v>43556</v>
      </c>
      <c r="B81" s="70" t="s">
        <v>382</v>
      </c>
      <c r="C81" s="105"/>
      <c r="D81" s="21" t="s">
        <v>128</v>
      </c>
      <c r="E81" s="21" t="s">
        <v>129</v>
      </c>
      <c r="F81" s="33" t="s">
        <v>131</v>
      </c>
      <c r="G81" s="57"/>
      <c r="H81" s="54"/>
      <c r="I81" s="79"/>
      <c r="J81" s="57">
        <f t="shared" si="4"/>
        <v>0</v>
      </c>
      <c r="K81" s="57"/>
      <c r="L81" s="57"/>
      <c r="M81" s="57"/>
      <c r="N81" s="57"/>
    </row>
    <row r="82" spans="1:14">
      <c r="A82" s="64">
        <v>43556</v>
      </c>
      <c r="B82" s="70" t="s">
        <v>382</v>
      </c>
      <c r="C82" s="105"/>
      <c r="D82" s="21" t="s">
        <v>123</v>
      </c>
      <c r="E82" s="21" t="s">
        <v>121</v>
      </c>
      <c r="F82" s="33" t="s">
        <v>122</v>
      </c>
      <c r="G82" s="57"/>
      <c r="H82" s="54"/>
      <c r="I82" s="79"/>
      <c r="J82" s="57">
        <f t="shared" si="4"/>
        <v>0</v>
      </c>
      <c r="K82" s="57">
        <f>(J82+J83+J84+J86+J85+J87)*0.05*N2</f>
        <v>0</v>
      </c>
      <c r="L82" s="57">
        <f>K82/0.05*0.25</f>
        <v>0</v>
      </c>
      <c r="M82" s="57">
        <f>L82-K82</f>
        <v>0</v>
      </c>
      <c r="N82" s="57"/>
    </row>
    <row r="83" spans="1:14">
      <c r="A83" s="64">
        <v>43556</v>
      </c>
      <c r="B83" s="70" t="s">
        <v>382</v>
      </c>
      <c r="C83" s="105"/>
      <c r="D83" s="21" t="s">
        <v>123</v>
      </c>
      <c r="E83" s="21" t="s">
        <v>121</v>
      </c>
      <c r="F83" s="33" t="s">
        <v>124</v>
      </c>
      <c r="G83" s="57"/>
      <c r="H83" s="54"/>
      <c r="I83" s="67"/>
      <c r="J83" s="57">
        <f t="shared" si="4"/>
        <v>0</v>
      </c>
      <c r="K83" s="57"/>
      <c r="L83" s="57"/>
      <c r="M83" s="57"/>
      <c r="N83" s="57"/>
    </row>
    <row r="84" spans="1:14">
      <c r="A84" s="64">
        <v>43556</v>
      </c>
      <c r="B84" s="70" t="s">
        <v>382</v>
      </c>
      <c r="C84" s="105"/>
      <c r="D84" s="21" t="s">
        <v>125</v>
      </c>
      <c r="E84" s="21" t="s">
        <v>121</v>
      </c>
      <c r="F84" s="33" t="s">
        <v>122</v>
      </c>
      <c r="G84" s="57"/>
      <c r="H84" s="54"/>
      <c r="I84" s="79"/>
      <c r="J84" s="57">
        <f t="shared" si="4"/>
        <v>0</v>
      </c>
      <c r="K84" s="57"/>
      <c r="L84" s="57"/>
      <c r="M84" s="57"/>
      <c r="N84" s="57"/>
    </row>
    <row r="85" spans="1:14">
      <c r="A85" s="64">
        <v>43556</v>
      </c>
      <c r="B85" s="70" t="s">
        <v>382</v>
      </c>
      <c r="C85" s="105"/>
      <c r="D85" s="21" t="s">
        <v>125</v>
      </c>
      <c r="E85" s="21" t="s">
        <v>121</v>
      </c>
      <c r="F85" s="33" t="s">
        <v>124</v>
      </c>
      <c r="G85" s="57"/>
      <c r="H85" s="54"/>
      <c r="I85" s="79"/>
      <c r="J85" s="57">
        <f t="shared" si="4"/>
        <v>0</v>
      </c>
      <c r="K85" s="57"/>
      <c r="L85" s="57"/>
      <c r="M85" s="57"/>
      <c r="N85" s="57"/>
    </row>
    <row r="86" spans="1:14">
      <c r="A86" s="64">
        <v>43556</v>
      </c>
      <c r="B86" s="70" t="s">
        <v>382</v>
      </c>
      <c r="C86" s="105"/>
      <c r="D86" s="21" t="s">
        <v>120</v>
      </c>
      <c r="E86" s="21" t="s">
        <v>121</v>
      </c>
      <c r="F86" s="33" t="s">
        <v>122</v>
      </c>
      <c r="G86" s="57"/>
      <c r="H86" s="54"/>
      <c r="I86" s="79"/>
      <c r="J86" s="57">
        <f t="shared" si="4"/>
        <v>0</v>
      </c>
      <c r="K86" s="57"/>
      <c r="L86" s="57"/>
      <c r="M86" s="57"/>
      <c r="N86" s="57"/>
    </row>
    <row r="87" spans="1:14">
      <c r="A87" s="64">
        <v>43556</v>
      </c>
      <c r="B87" s="70" t="s">
        <v>382</v>
      </c>
      <c r="C87" s="105"/>
      <c r="D87" s="21" t="s">
        <v>120</v>
      </c>
      <c r="E87" s="21" t="s">
        <v>121</v>
      </c>
      <c r="F87" s="33" t="s">
        <v>124</v>
      </c>
      <c r="G87" s="57"/>
      <c r="H87" s="54"/>
      <c r="I87" s="68"/>
      <c r="J87" s="57">
        <f t="shared" si="4"/>
        <v>0</v>
      </c>
      <c r="K87" s="57"/>
      <c r="L87" s="57"/>
      <c r="M87" s="57"/>
      <c r="N87" s="57"/>
    </row>
    <row r="88" spans="1:14">
      <c r="A88" s="64">
        <v>43556</v>
      </c>
      <c r="B88" s="70" t="s">
        <v>382</v>
      </c>
      <c r="C88" s="105"/>
      <c r="D88" s="21" t="s">
        <v>133</v>
      </c>
      <c r="E88" s="21" t="s">
        <v>129</v>
      </c>
      <c r="F88" s="33" t="s">
        <v>130</v>
      </c>
      <c r="G88" s="57"/>
      <c r="H88" s="54"/>
      <c r="I88" s="68"/>
      <c r="J88" s="57">
        <f t="shared" si="4"/>
        <v>0</v>
      </c>
      <c r="K88" s="57">
        <f>(J88+J89+J80+J81)*0.05*N2</f>
        <v>0</v>
      </c>
      <c r="L88" s="57">
        <f>K88/0.05*0.25</f>
        <v>0</v>
      </c>
      <c r="M88" s="57">
        <f>L88-K88</f>
        <v>0</v>
      </c>
      <c r="N88" s="57"/>
    </row>
    <row r="89" spans="1:14">
      <c r="A89" s="64">
        <v>43556</v>
      </c>
      <c r="B89" s="70" t="s">
        <v>382</v>
      </c>
      <c r="C89" s="105"/>
      <c r="D89" s="21" t="s">
        <v>133</v>
      </c>
      <c r="E89" s="21" t="s">
        <v>129</v>
      </c>
      <c r="F89" s="33" t="s">
        <v>131</v>
      </c>
      <c r="G89" s="57"/>
      <c r="H89" s="54"/>
      <c r="I89" s="68"/>
      <c r="J89" s="57">
        <f t="shared" si="4"/>
        <v>0</v>
      </c>
      <c r="K89" s="57"/>
      <c r="L89" s="57"/>
      <c r="M89" s="57"/>
      <c r="N89" s="57"/>
    </row>
    <row r="90" spans="1:14">
      <c r="A90" s="64">
        <v>43556</v>
      </c>
      <c r="B90" s="70" t="s">
        <v>382</v>
      </c>
      <c r="C90" s="105"/>
      <c r="D90" s="21" t="s">
        <v>134</v>
      </c>
      <c r="E90" s="21" t="s">
        <v>113</v>
      </c>
      <c r="F90" s="33" t="s">
        <v>136</v>
      </c>
      <c r="G90" s="57"/>
      <c r="H90" s="54"/>
      <c r="I90" s="67"/>
      <c r="J90" s="57">
        <f t="shared" si="4"/>
        <v>0</v>
      </c>
      <c r="K90" s="57"/>
      <c r="L90" s="57"/>
      <c r="M90" s="57"/>
      <c r="N90" s="57"/>
    </row>
    <row r="91" spans="1:14">
      <c r="A91" s="64"/>
      <c r="B91" s="70"/>
      <c r="C91" s="105"/>
      <c r="D91" s="21" t="s">
        <v>280</v>
      </c>
      <c r="E91" s="21" t="s">
        <v>113</v>
      </c>
      <c r="F91" s="33" t="s">
        <v>135</v>
      </c>
      <c r="G91" s="57"/>
      <c r="H91" s="54"/>
      <c r="I91" s="67"/>
      <c r="J91" s="57">
        <f t="shared" si="4"/>
        <v>0</v>
      </c>
      <c r="K91" s="57"/>
      <c r="L91" s="57"/>
      <c r="M91" s="57"/>
      <c r="N91" s="57"/>
    </row>
    <row r="92" spans="1:14">
      <c r="A92" s="64">
        <v>43556</v>
      </c>
      <c r="B92" s="70" t="s">
        <v>382</v>
      </c>
      <c r="C92" s="105"/>
      <c r="D92" s="21" t="s">
        <v>107</v>
      </c>
      <c r="E92" s="21" t="s">
        <v>108</v>
      </c>
      <c r="F92" s="33" t="s">
        <v>109</v>
      </c>
      <c r="G92" s="57"/>
      <c r="H92" s="54"/>
      <c r="I92" s="79"/>
      <c r="J92" s="57">
        <f t="shared" si="4"/>
        <v>0</v>
      </c>
      <c r="K92" s="57"/>
      <c r="L92" s="57"/>
      <c r="M92" s="57"/>
      <c r="N92" s="57"/>
    </row>
    <row r="93" spans="1:14">
      <c r="A93" s="64">
        <v>43556</v>
      </c>
      <c r="B93" s="70" t="s">
        <v>382</v>
      </c>
      <c r="C93" s="105"/>
      <c r="D93" s="21" t="s">
        <v>107</v>
      </c>
      <c r="E93" s="21" t="s">
        <v>108</v>
      </c>
      <c r="F93" s="33" t="s">
        <v>110</v>
      </c>
      <c r="G93" s="57"/>
      <c r="H93" s="54"/>
      <c r="I93" s="79"/>
      <c r="J93" s="57">
        <f t="shared" si="4"/>
        <v>0</v>
      </c>
      <c r="K93" s="57"/>
      <c r="L93" s="57"/>
      <c r="M93" s="57"/>
      <c r="N93" s="57"/>
    </row>
    <row r="94" spans="1:14">
      <c r="A94" s="64"/>
      <c r="B94" s="70"/>
      <c r="C94" s="105"/>
      <c r="D94" s="21" t="s">
        <v>19</v>
      </c>
      <c r="E94" s="21" t="s">
        <v>108</v>
      </c>
      <c r="F94" s="33" t="s">
        <v>109</v>
      </c>
      <c r="G94" s="57"/>
      <c r="H94" s="54"/>
      <c r="I94" s="79"/>
      <c r="J94" s="57">
        <f t="shared" si="4"/>
        <v>0</v>
      </c>
      <c r="K94" s="57"/>
      <c r="L94" s="57"/>
      <c r="M94" s="57"/>
      <c r="N94" s="57"/>
    </row>
    <row r="95" spans="1:14" ht="15.95" customHeight="1">
      <c r="A95" s="64">
        <v>43556</v>
      </c>
      <c r="B95" s="70" t="s">
        <v>382</v>
      </c>
      <c r="C95" s="105"/>
      <c r="D95" s="21" t="s">
        <v>112</v>
      </c>
      <c r="E95" s="21" t="s">
        <v>246</v>
      </c>
      <c r="F95" s="33" t="s">
        <v>247</v>
      </c>
      <c r="G95" s="57"/>
      <c r="H95" s="54"/>
      <c r="I95" s="79"/>
      <c r="J95" s="57">
        <f t="shared" si="4"/>
        <v>0</v>
      </c>
      <c r="K95" s="57"/>
      <c r="L95" s="57"/>
      <c r="M95" s="57"/>
      <c r="N95" s="57"/>
    </row>
    <row r="96" spans="1:14">
      <c r="A96" s="64">
        <v>43556</v>
      </c>
      <c r="B96" s="70" t="s">
        <v>382</v>
      </c>
      <c r="C96" s="105" t="s">
        <v>139</v>
      </c>
      <c r="D96" s="21" t="s">
        <v>166</v>
      </c>
      <c r="E96" s="21" t="s">
        <v>144</v>
      </c>
      <c r="F96" s="33" t="s">
        <v>145</v>
      </c>
      <c r="G96" s="57"/>
      <c r="H96" s="54"/>
      <c r="I96" s="79"/>
      <c r="J96" s="57">
        <f t="shared" si="4"/>
        <v>0</v>
      </c>
      <c r="K96" s="57"/>
      <c r="L96" s="57"/>
      <c r="M96" s="57"/>
      <c r="N96" s="57"/>
    </row>
    <row r="97" spans="1:14">
      <c r="A97" s="64">
        <v>43556</v>
      </c>
      <c r="B97" s="70" t="s">
        <v>382</v>
      </c>
      <c r="C97" s="105"/>
      <c r="D97" s="21" t="s">
        <v>166</v>
      </c>
      <c r="E97" s="21" t="s">
        <v>144</v>
      </c>
      <c r="F97" s="33" t="s">
        <v>147</v>
      </c>
      <c r="G97" s="57"/>
      <c r="H97" s="54"/>
      <c r="I97" s="79"/>
      <c r="J97" s="57">
        <f t="shared" si="4"/>
        <v>0</v>
      </c>
      <c r="K97" s="57"/>
      <c r="L97" s="57"/>
      <c r="M97" s="57"/>
      <c r="N97" s="57"/>
    </row>
    <row r="98" spans="1:14">
      <c r="A98" s="64">
        <v>43556</v>
      </c>
      <c r="B98" s="70" t="s">
        <v>382</v>
      </c>
      <c r="C98" s="105"/>
      <c r="D98" s="21" t="s">
        <v>169</v>
      </c>
      <c r="E98" s="21" t="s">
        <v>170</v>
      </c>
      <c r="F98" s="33" t="s">
        <v>171</v>
      </c>
      <c r="G98" s="57"/>
      <c r="H98" s="54"/>
      <c r="I98" s="79"/>
      <c r="J98" s="57">
        <f t="shared" si="4"/>
        <v>0</v>
      </c>
      <c r="K98" s="57">
        <f>(J98+J99+J100+J102+J103+J101)*0.04*N2</f>
        <v>0</v>
      </c>
      <c r="L98" s="57">
        <f>K98/0.04*0.25</f>
        <v>0</v>
      </c>
      <c r="M98" s="57">
        <f>L98-K98</f>
        <v>0</v>
      </c>
      <c r="N98" s="57"/>
    </row>
    <row r="99" spans="1:14">
      <c r="A99" s="64">
        <v>43556</v>
      </c>
      <c r="B99" s="70" t="s">
        <v>382</v>
      </c>
      <c r="C99" s="105"/>
      <c r="D99" s="21" t="s">
        <v>169</v>
      </c>
      <c r="E99" s="21" t="s">
        <v>170</v>
      </c>
      <c r="F99" s="33" t="s">
        <v>172</v>
      </c>
      <c r="G99" s="57"/>
      <c r="H99" s="54"/>
      <c r="I99" s="67"/>
      <c r="J99" s="57">
        <f t="shared" ref="J99:J143" si="5">(G99*H99*1)-I99</f>
        <v>0</v>
      </c>
      <c r="K99" s="57"/>
      <c r="L99" s="57"/>
      <c r="M99" s="57"/>
      <c r="N99" s="57"/>
    </row>
    <row r="100" spans="1:14">
      <c r="A100" s="64">
        <v>43556</v>
      </c>
      <c r="B100" s="70" t="s">
        <v>382</v>
      </c>
      <c r="C100" s="105"/>
      <c r="D100" s="21" t="s">
        <v>169</v>
      </c>
      <c r="E100" s="21" t="s">
        <v>170</v>
      </c>
      <c r="F100" s="33" t="s">
        <v>173</v>
      </c>
      <c r="G100" s="57"/>
      <c r="H100" s="54"/>
      <c r="I100" s="67"/>
      <c r="J100" s="57">
        <f t="shared" si="5"/>
        <v>0</v>
      </c>
      <c r="K100" s="57"/>
      <c r="L100" s="57"/>
      <c r="M100" s="57"/>
      <c r="N100" s="57"/>
    </row>
    <row r="101" spans="1:14">
      <c r="A101" s="64"/>
      <c r="B101" s="70"/>
      <c r="C101" s="105"/>
      <c r="D101" s="21" t="s">
        <v>174</v>
      </c>
      <c r="E101" s="21" t="s">
        <v>170</v>
      </c>
      <c r="F101" s="33" t="s">
        <v>171</v>
      </c>
      <c r="G101" s="57"/>
      <c r="H101" s="54"/>
      <c r="I101" s="79"/>
      <c r="J101" s="57">
        <f t="shared" si="5"/>
        <v>0</v>
      </c>
      <c r="K101" s="57"/>
      <c r="L101" s="57"/>
      <c r="M101" s="57"/>
      <c r="N101" s="57"/>
    </row>
    <row r="102" spans="1:14">
      <c r="A102" s="64"/>
      <c r="B102" s="70"/>
      <c r="C102" s="105"/>
      <c r="D102" s="21" t="s">
        <v>174</v>
      </c>
      <c r="E102" s="21" t="s">
        <v>170</v>
      </c>
      <c r="F102" s="33" t="s">
        <v>172</v>
      </c>
      <c r="G102" s="57"/>
      <c r="H102" s="54"/>
      <c r="I102" s="68"/>
      <c r="J102" s="57">
        <f t="shared" si="5"/>
        <v>0</v>
      </c>
      <c r="K102" s="57"/>
      <c r="L102" s="57"/>
      <c r="M102" s="57"/>
      <c r="N102" s="57"/>
    </row>
    <row r="103" spans="1:14">
      <c r="A103" s="64"/>
      <c r="B103" s="70"/>
      <c r="C103" s="105"/>
      <c r="D103" s="21" t="s">
        <v>174</v>
      </c>
      <c r="E103" s="21" t="s">
        <v>170</v>
      </c>
      <c r="F103" s="33" t="s">
        <v>173</v>
      </c>
      <c r="G103" s="57"/>
      <c r="H103" s="54"/>
      <c r="I103" s="68"/>
      <c r="J103" s="57">
        <f t="shared" si="5"/>
        <v>0</v>
      </c>
      <c r="K103" s="57"/>
      <c r="L103" s="57"/>
      <c r="M103" s="57"/>
      <c r="N103" s="57"/>
    </row>
    <row r="104" spans="1:14">
      <c r="A104" s="64">
        <v>43556</v>
      </c>
      <c r="B104" s="70" t="s">
        <v>382</v>
      </c>
      <c r="C104" s="105"/>
      <c r="D104" s="21" t="s">
        <v>140</v>
      </c>
      <c r="E104" s="21" t="s">
        <v>141</v>
      </c>
      <c r="F104" s="33" t="s">
        <v>142</v>
      </c>
      <c r="G104" s="57"/>
      <c r="H104" s="54"/>
      <c r="I104" s="79"/>
      <c r="J104" s="57">
        <f t="shared" si="5"/>
        <v>0</v>
      </c>
      <c r="K104" s="57">
        <f>(J104+J105+J122+J123+J124)*0.03*N2</f>
        <v>0</v>
      </c>
      <c r="L104" s="57">
        <f>K104/0.03*0.25</f>
        <v>0</v>
      </c>
      <c r="M104" s="57">
        <f>L104-K104</f>
        <v>0</v>
      </c>
      <c r="N104" s="57"/>
    </row>
    <row r="105" spans="1:14">
      <c r="A105" s="64"/>
      <c r="B105" s="70"/>
      <c r="C105" s="105"/>
      <c r="D105" s="21" t="s">
        <v>140</v>
      </c>
      <c r="E105" s="21" t="s">
        <v>141</v>
      </c>
      <c r="F105" s="33" t="s">
        <v>143</v>
      </c>
      <c r="G105" s="57"/>
      <c r="H105" s="54"/>
      <c r="I105" s="67"/>
      <c r="J105" s="57">
        <f t="shared" si="5"/>
        <v>0</v>
      </c>
      <c r="K105" s="57"/>
      <c r="L105" s="57"/>
      <c r="M105" s="57"/>
      <c r="N105" s="57"/>
    </row>
    <row r="106" spans="1:14">
      <c r="A106" s="64"/>
      <c r="B106" s="70"/>
      <c r="C106" s="105"/>
      <c r="D106" s="21" t="s">
        <v>140</v>
      </c>
      <c r="E106" s="21" t="s">
        <v>144</v>
      </c>
      <c r="F106" s="33" t="s">
        <v>145</v>
      </c>
      <c r="G106" s="57"/>
      <c r="H106" s="54"/>
      <c r="I106" s="67"/>
      <c r="J106" s="57">
        <f t="shared" si="5"/>
        <v>0</v>
      </c>
      <c r="K106" s="57">
        <f>(J106+J107+J108+J96+J97)*0.05*N2</f>
        <v>0</v>
      </c>
      <c r="L106" s="57">
        <f>K106/0.05*0.25</f>
        <v>0</v>
      </c>
      <c r="M106" s="57">
        <f>L106-K106</f>
        <v>0</v>
      </c>
      <c r="N106" s="57"/>
    </row>
    <row r="107" spans="1:14">
      <c r="A107" s="64">
        <v>43556</v>
      </c>
      <c r="B107" s="70" t="s">
        <v>382</v>
      </c>
      <c r="C107" s="105"/>
      <c r="D107" s="21" t="s">
        <v>146</v>
      </c>
      <c r="E107" s="21" t="s">
        <v>144</v>
      </c>
      <c r="F107" s="33" t="s">
        <v>145</v>
      </c>
      <c r="G107" s="57"/>
      <c r="H107" s="54"/>
      <c r="I107" s="67"/>
      <c r="J107" s="57">
        <f t="shared" si="5"/>
        <v>0</v>
      </c>
      <c r="K107" s="57"/>
      <c r="L107" s="57"/>
      <c r="M107" s="57"/>
      <c r="N107" s="57"/>
    </row>
    <row r="108" spans="1:14">
      <c r="A108" s="64">
        <v>43556</v>
      </c>
      <c r="B108" s="70" t="s">
        <v>382</v>
      </c>
      <c r="C108" s="105"/>
      <c r="D108" s="21" t="s">
        <v>146</v>
      </c>
      <c r="E108" s="21" t="s">
        <v>144</v>
      </c>
      <c r="F108" s="33" t="s">
        <v>147</v>
      </c>
      <c r="G108" s="57"/>
      <c r="H108" s="54"/>
      <c r="I108" s="67"/>
      <c r="J108" s="57">
        <f t="shared" si="5"/>
        <v>0</v>
      </c>
      <c r="K108" s="57"/>
      <c r="L108" s="57"/>
      <c r="M108" s="57"/>
      <c r="N108" s="57"/>
    </row>
    <row r="109" spans="1:14">
      <c r="A109" s="64">
        <v>43556</v>
      </c>
      <c r="B109" s="70" t="s">
        <v>382</v>
      </c>
      <c r="C109" s="105"/>
      <c r="D109" s="21" t="s">
        <v>175</v>
      </c>
      <c r="E109" s="21" t="s">
        <v>176</v>
      </c>
      <c r="F109" s="33" t="s">
        <v>177</v>
      </c>
      <c r="G109" s="57"/>
      <c r="H109" s="54"/>
      <c r="I109" s="79"/>
      <c r="J109" s="57">
        <f t="shared" si="5"/>
        <v>0</v>
      </c>
      <c r="K109" s="57"/>
      <c r="L109" s="57"/>
      <c r="M109" s="57"/>
      <c r="N109" s="57"/>
    </row>
    <row r="110" spans="1:14">
      <c r="A110" s="64">
        <v>43556</v>
      </c>
      <c r="B110" s="70" t="s">
        <v>382</v>
      </c>
      <c r="C110" s="105"/>
      <c r="D110" s="21" t="s">
        <v>175</v>
      </c>
      <c r="E110" s="21" t="s">
        <v>176</v>
      </c>
      <c r="F110" s="33" t="s">
        <v>178</v>
      </c>
      <c r="G110" s="57"/>
      <c r="H110" s="54"/>
      <c r="I110" s="67"/>
      <c r="J110" s="57">
        <f t="shared" si="5"/>
        <v>0</v>
      </c>
      <c r="K110" s="57"/>
      <c r="L110" s="57">
        <f>K110/0.05*0.25</f>
        <v>0</v>
      </c>
      <c r="M110" s="57">
        <f t="shared" ref="M110:M115" si="6">L110-K110</f>
        <v>0</v>
      </c>
      <c r="N110" s="57"/>
    </row>
    <row r="111" spans="1:14">
      <c r="A111" s="64">
        <v>43556</v>
      </c>
      <c r="B111" s="70" t="s">
        <v>382</v>
      </c>
      <c r="C111" s="105"/>
      <c r="D111" s="21" t="s">
        <v>175</v>
      </c>
      <c r="E111" s="21" t="s">
        <v>176</v>
      </c>
      <c r="F111" s="33" t="s">
        <v>179</v>
      </c>
      <c r="G111" s="57"/>
      <c r="H111" s="54"/>
      <c r="I111" s="67"/>
      <c r="J111" s="57">
        <f t="shared" si="5"/>
        <v>0</v>
      </c>
      <c r="K111" s="57"/>
      <c r="L111" s="57"/>
      <c r="M111" s="57"/>
      <c r="N111" s="57"/>
    </row>
    <row r="112" spans="1:14">
      <c r="A112" s="64">
        <v>43556</v>
      </c>
      <c r="B112" s="70" t="s">
        <v>382</v>
      </c>
      <c r="C112" s="105"/>
      <c r="D112" s="21" t="s">
        <v>180</v>
      </c>
      <c r="E112" s="21" t="s">
        <v>176</v>
      </c>
      <c r="F112" s="33" t="s">
        <v>177</v>
      </c>
      <c r="G112" s="57"/>
      <c r="H112" s="54"/>
      <c r="I112" s="67"/>
      <c r="J112" s="57">
        <f t="shared" si="5"/>
        <v>0</v>
      </c>
      <c r="K112" s="57">
        <f>(J112+J113+J114+J109+J110+J111)*0.03*N2</f>
        <v>0</v>
      </c>
      <c r="L112" s="57">
        <f>K112/0.03*0.25</f>
        <v>0</v>
      </c>
      <c r="M112" s="57">
        <f t="shared" si="6"/>
        <v>0</v>
      </c>
      <c r="N112" s="57"/>
    </row>
    <row r="113" spans="1:14">
      <c r="A113" s="64">
        <v>43556</v>
      </c>
      <c r="B113" s="70" t="s">
        <v>382</v>
      </c>
      <c r="C113" s="105"/>
      <c r="D113" s="21" t="s">
        <v>180</v>
      </c>
      <c r="E113" s="21" t="s">
        <v>176</v>
      </c>
      <c r="F113" s="33" t="s">
        <v>178</v>
      </c>
      <c r="G113" s="57"/>
      <c r="H113" s="54"/>
      <c r="I113" s="68"/>
      <c r="J113" s="57">
        <f t="shared" si="5"/>
        <v>0</v>
      </c>
      <c r="K113" s="57"/>
      <c r="L113" s="57"/>
      <c r="M113" s="57"/>
      <c r="N113" s="57"/>
    </row>
    <row r="114" spans="1:14">
      <c r="A114" s="64"/>
      <c r="B114" s="70"/>
      <c r="C114" s="105"/>
      <c r="D114" s="21" t="s">
        <v>180</v>
      </c>
      <c r="E114" s="21" t="s">
        <v>176</v>
      </c>
      <c r="F114" s="33" t="s">
        <v>179</v>
      </c>
      <c r="G114" s="57"/>
      <c r="H114" s="54"/>
      <c r="I114" s="67"/>
      <c r="J114" s="57">
        <f t="shared" si="5"/>
        <v>0</v>
      </c>
      <c r="K114" s="57"/>
      <c r="L114" s="57"/>
      <c r="M114" s="57"/>
      <c r="N114" s="57"/>
    </row>
    <row r="115" spans="1:14">
      <c r="A115" s="64">
        <v>43556</v>
      </c>
      <c r="B115" s="70" t="s">
        <v>382</v>
      </c>
      <c r="C115" s="105"/>
      <c r="D115" s="21" t="s">
        <v>88</v>
      </c>
      <c r="E115" s="21" t="s">
        <v>181</v>
      </c>
      <c r="F115" s="33" t="s">
        <v>182</v>
      </c>
      <c r="G115" s="57"/>
      <c r="H115" s="54"/>
      <c r="I115" s="67"/>
      <c r="J115" s="57">
        <f t="shared" si="5"/>
        <v>0</v>
      </c>
      <c r="K115" s="57">
        <f>(J115+J116+J117+J118)*0.05*N2</f>
        <v>0</v>
      </c>
      <c r="L115" s="57">
        <f>K115/0.05*0.25</f>
        <v>0</v>
      </c>
      <c r="M115" s="57">
        <f t="shared" si="6"/>
        <v>0</v>
      </c>
      <c r="N115" s="57"/>
    </row>
    <row r="116" spans="1:14">
      <c r="A116" s="64">
        <v>43556</v>
      </c>
      <c r="B116" s="70" t="s">
        <v>382</v>
      </c>
      <c r="C116" s="105"/>
      <c r="D116" s="21" t="s">
        <v>88</v>
      </c>
      <c r="E116" s="21" t="s">
        <v>181</v>
      </c>
      <c r="F116" s="33" t="s">
        <v>183</v>
      </c>
      <c r="G116" s="57"/>
      <c r="H116" s="54"/>
      <c r="I116" s="67"/>
      <c r="J116" s="57">
        <f t="shared" si="5"/>
        <v>0</v>
      </c>
      <c r="K116" s="57"/>
      <c r="L116" s="57"/>
      <c r="M116" s="57"/>
      <c r="N116" s="57"/>
    </row>
    <row r="117" spans="1:14">
      <c r="A117" s="64">
        <v>43556</v>
      </c>
      <c r="B117" s="70" t="s">
        <v>382</v>
      </c>
      <c r="C117" s="105"/>
      <c r="D117" s="21" t="s">
        <v>88</v>
      </c>
      <c r="E117" s="21" t="s">
        <v>181</v>
      </c>
      <c r="F117" s="33" t="s">
        <v>184</v>
      </c>
      <c r="G117" s="57"/>
      <c r="H117" s="54"/>
      <c r="I117" s="67"/>
      <c r="J117" s="57">
        <f t="shared" si="5"/>
        <v>0</v>
      </c>
      <c r="K117" s="57"/>
      <c r="L117" s="57"/>
      <c r="M117" s="57"/>
      <c r="N117" s="57"/>
    </row>
    <row r="118" spans="1:14">
      <c r="A118" s="64"/>
      <c r="B118" s="70"/>
      <c r="C118" s="105"/>
      <c r="D118" s="21" t="s">
        <v>154</v>
      </c>
      <c r="E118" s="21" t="s">
        <v>181</v>
      </c>
      <c r="F118" s="33" t="s">
        <v>184</v>
      </c>
      <c r="G118" s="57"/>
      <c r="H118" s="54"/>
      <c r="I118" s="67"/>
      <c r="J118" s="57">
        <f t="shared" si="5"/>
        <v>0</v>
      </c>
      <c r="K118" s="57"/>
      <c r="L118" s="57"/>
      <c r="M118" s="57"/>
      <c r="N118" s="57"/>
    </row>
    <row r="119" spans="1:14">
      <c r="A119" s="64"/>
      <c r="B119" s="70"/>
      <c r="C119" s="105"/>
      <c r="D119" s="75" t="s">
        <v>158</v>
      </c>
      <c r="E119" s="75" t="s">
        <v>149</v>
      </c>
      <c r="F119" s="75" t="s">
        <v>159</v>
      </c>
      <c r="G119" s="76"/>
      <c r="H119" s="77"/>
      <c r="I119" s="79"/>
      <c r="J119" s="57">
        <f t="shared" si="5"/>
        <v>0</v>
      </c>
      <c r="K119" s="57"/>
      <c r="L119" s="57"/>
      <c r="M119" s="57"/>
      <c r="N119" s="57"/>
    </row>
    <row r="120" spans="1:14">
      <c r="A120" s="64">
        <v>43556</v>
      </c>
      <c r="B120" s="70" t="s">
        <v>382</v>
      </c>
      <c r="C120" s="105"/>
      <c r="D120" s="75" t="s">
        <v>158</v>
      </c>
      <c r="E120" s="75" t="s">
        <v>149</v>
      </c>
      <c r="F120" s="75" t="s">
        <v>150</v>
      </c>
      <c r="G120" s="76"/>
      <c r="H120" s="77"/>
      <c r="I120" s="79"/>
      <c r="J120" s="57">
        <f t="shared" si="5"/>
        <v>0</v>
      </c>
      <c r="K120" s="57"/>
      <c r="L120" s="57"/>
      <c r="M120" s="57"/>
      <c r="N120" s="57"/>
    </row>
    <row r="121" spans="1:14">
      <c r="A121" s="64">
        <v>43556</v>
      </c>
      <c r="B121" s="70" t="s">
        <v>382</v>
      </c>
      <c r="C121" s="105"/>
      <c r="D121" s="75" t="s">
        <v>158</v>
      </c>
      <c r="E121" s="75" t="s">
        <v>149</v>
      </c>
      <c r="F121" s="75" t="s">
        <v>151</v>
      </c>
      <c r="G121" s="76"/>
      <c r="H121" s="77"/>
      <c r="I121" s="79"/>
      <c r="J121" s="57">
        <f t="shared" si="5"/>
        <v>0</v>
      </c>
      <c r="K121" s="57"/>
      <c r="L121" s="57"/>
      <c r="M121" s="57"/>
      <c r="N121" s="57"/>
    </row>
    <row r="122" spans="1:14">
      <c r="A122" s="64">
        <v>43556</v>
      </c>
      <c r="B122" s="70" t="s">
        <v>382</v>
      </c>
      <c r="C122" s="105"/>
      <c r="D122" s="21" t="s">
        <v>152</v>
      </c>
      <c r="E122" s="21" t="s">
        <v>141</v>
      </c>
      <c r="F122" s="33" t="s">
        <v>153</v>
      </c>
      <c r="G122" s="57"/>
      <c r="H122" s="54"/>
      <c r="I122" s="79"/>
      <c r="J122" s="57">
        <f t="shared" si="5"/>
        <v>0</v>
      </c>
      <c r="K122" s="57"/>
      <c r="L122" s="57">
        <f>K122/0.05*0.25</f>
        <v>0</v>
      </c>
      <c r="M122" s="57">
        <f>L122-K122</f>
        <v>0</v>
      </c>
      <c r="N122" s="57"/>
    </row>
    <row r="123" spans="1:14">
      <c r="A123" s="64">
        <v>43556</v>
      </c>
      <c r="B123" s="70" t="s">
        <v>382</v>
      </c>
      <c r="C123" s="105"/>
      <c r="D123" s="21" t="s">
        <v>152</v>
      </c>
      <c r="E123" s="21" t="s">
        <v>141</v>
      </c>
      <c r="F123" s="33" t="s">
        <v>142</v>
      </c>
      <c r="G123" s="57"/>
      <c r="H123" s="54"/>
      <c r="I123" s="79"/>
      <c r="J123" s="57">
        <f t="shared" si="5"/>
        <v>0</v>
      </c>
      <c r="K123" s="57"/>
      <c r="L123" s="57"/>
      <c r="M123" s="57"/>
      <c r="N123" s="57"/>
    </row>
    <row r="124" spans="1:14">
      <c r="A124" s="64">
        <v>43556</v>
      </c>
      <c r="B124" s="70" t="s">
        <v>382</v>
      </c>
      <c r="C124" s="105"/>
      <c r="D124" s="21" t="s">
        <v>152</v>
      </c>
      <c r="E124" s="21" t="s">
        <v>141</v>
      </c>
      <c r="F124" s="33" t="s">
        <v>143</v>
      </c>
      <c r="G124" s="57"/>
      <c r="H124" s="54"/>
      <c r="I124" s="79"/>
      <c r="J124" s="57">
        <f t="shared" si="5"/>
        <v>0</v>
      </c>
      <c r="K124" s="57"/>
      <c r="L124" s="57"/>
      <c r="M124" s="57"/>
      <c r="N124" s="57"/>
    </row>
    <row r="125" spans="1:14">
      <c r="A125" s="64"/>
      <c r="B125" s="70"/>
      <c r="C125" s="105"/>
      <c r="D125" s="75" t="s">
        <v>148</v>
      </c>
      <c r="E125" s="75" t="s">
        <v>149</v>
      </c>
      <c r="F125" s="75" t="s">
        <v>159</v>
      </c>
      <c r="G125" s="76"/>
      <c r="H125" s="77"/>
      <c r="I125" s="79"/>
      <c r="J125" s="57">
        <f t="shared" si="5"/>
        <v>0</v>
      </c>
      <c r="K125" s="57"/>
      <c r="L125" s="57"/>
      <c r="M125" s="57"/>
      <c r="N125" s="57"/>
    </row>
    <row r="126" spans="1:14">
      <c r="A126" s="64"/>
      <c r="B126" s="70"/>
      <c r="C126" s="105"/>
      <c r="D126" s="75" t="s">
        <v>148</v>
      </c>
      <c r="E126" s="75" t="s">
        <v>149</v>
      </c>
      <c r="F126" s="75" t="s">
        <v>150</v>
      </c>
      <c r="G126" s="76"/>
      <c r="H126" s="77"/>
      <c r="I126" s="67"/>
      <c r="J126" s="57">
        <f t="shared" si="5"/>
        <v>0</v>
      </c>
      <c r="K126" s="57">
        <f>(J126+J127+J131+J132+J133+J125+J119+J120+J121)*0.25*N2</f>
        <v>0</v>
      </c>
      <c r="L126" s="57"/>
      <c r="M126" s="57"/>
      <c r="N126" s="57"/>
    </row>
    <row r="127" spans="1:14">
      <c r="A127" s="64"/>
      <c r="B127" s="70"/>
      <c r="C127" s="105"/>
      <c r="D127" s="75" t="s">
        <v>148</v>
      </c>
      <c r="E127" s="75" t="s">
        <v>149</v>
      </c>
      <c r="F127" s="75" t="s">
        <v>151</v>
      </c>
      <c r="G127" s="76"/>
      <c r="H127" s="77"/>
      <c r="I127" s="67"/>
      <c r="J127" s="57">
        <f t="shared" si="5"/>
        <v>0</v>
      </c>
      <c r="K127" s="57"/>
      <c r="L127" s="57"/>
      <c r="M127" s="57"/>
      <c r="N127" s="57"/>
    </row>
    <row r="128" spans="1:14">
      <c r="A128" s="64"/>
      <c r="B128" s="70"/>
      <c r="C128" s="105"/>
      <c r="D128" s="21" t="s">
        <v>160</v>
      </c>
      <c r="E128" s="21" t="s">
        <v>161</v>
      </c>
      <c r="F128" s="33" t="s">
        <v>290</v>
      </c>
      <c r="G128" s="57"/>
      <c r="H128" s="54"/>
      <c r="I128" s="68"/>
      <c r="J128" s="57">
        <f t="shared" si="5"/>
        <v>0</v>
      </c>
      <c r="K128" s="57"/>
      <c r="L128" s="57"/>
      <c r="M128" s="57"/>
      <c r="N128" s="57"/>
    </row>
    <row r="129" spans="1:15">
      <c r="A129" s="64">
        <v>43556</v>
      </c>
      <c r="B129" s="70" t="s">
        <v>382</v>
      </c>
      <c r="C129" s="105"/>
      <c r="D129" s="21" t="s">
        <v>160</v>
      </c>
      <c r="E129" s="21" t="s">
        <v>161</v>
      </c>
      <c r="F129" s="33" t="s">
        <v>162</v>
      </c>
      <c r="G129" s="57"/>
      <c r="H129" s="54"/>
      <c r="I129" s="79"/>
      <c r="J129" s="57">
        <f t="shared" si="5"/>
        <v>0</v>
      </c>
      <c r="K129" s="57">
        <f>(J129+J128+J130)*0.04*N2</f>
        <v>0</v>
      </c>
      <c r="L129" s="57">
        <f>K129/0.04*0.25</f>
        <v>0</v>
      </c>
      <c r="M129" s="57">
        <f>L129-K129</f>
        <v>0</v>
      </c>
      <c r="N129" s="57"/>
    </row>
    <row r="130" spans="1:15">
      <c r="A130" s="64"/>
      <c r="B130" s="70"/>
      <c r="C130" s="105"/>
      <c r="D130" s="21" t="s">
        <v>160</v>
      </c>
      <c r="E130" s="21" t="s">
        <v>161</v>
      </c>
      <c r="F130" s="33" t="s">
        <v>163</v>
      </c>
      <c r="G130" s="57"/>
      <c r="H130" s="54"/>
      <c r="I130" s="79"/>
      <c r="J130" s="57">
        <f t="shared" si="5"/>
        <v>0</v>
      </c>
      <c r="K130" s="57"/>
      <c r="L130" s="57"/>
      <c r="M130" s="57"/>
      <c r="N130" s="57"/>
    </row>
    <row r="131" spans="1:15">
      <c r="A131" s="64">
        <v>43556</v>
      </c>
      <c r="B131" s="70" t="s">
        <v>382</v>
      </c>
      <c r="C131" s="105"/>
      <c r="D131" s="75" t="s">
        <v>164</v>
      </c>
      <c r="E131" s="75" t="s">
        <v>149</v>
      </c>
      <c r="F131" s="75" t="s">
        <v>159</v>
      </c>
      <c r="G131" s="76"/>
      <c r="H131" s="77"/>
      <c r="I131" s="67"/>
      <c r="J131" s="57">
        <f t="shared" si="5"/>
        <v>0</v>
      </c>
      <c r="K131" s="57"/>
      <c r="L131" s="57"/>
      <c r="M131" s="57"/>
      <c r="N131" s="57"/>
    </row>
    <row r="132" spans="1:15">
      <c r="A132" s="64">
        <v>43556</v>
      </c>
      <c r="B132" s="70" t="s">
        <v>382</v>
      </c>
      <c r="C132" s="105"/>
      <c r="D132" s="75" t="s">
        <v>164</v>
      </c>
      <c r="E132" s="75" t="s">
        <v>149</v>
      </c>
      <c r="F132" s="75" t="s">
        <v>150</v>
      </c>
      <c r="G132" s="76"/>
      <c r="H132" s="77"/>
      <c r="I132" s="67"/>
      <c r="J132" s="57">
        <f t="shared" si="5"/>
        <v>0</v>
      </c>
      <c r="K132" s="57"/>
      <c r="L132" s="57">
        <f>K132/0.03*0.25</f>
        <v>0</v>
      </c>
      <c r="M132" s="57">
        <f>L132-K132</f>
        <v>0</v>
      </c>
      <c r="N132" s="57"/>
    </row>
    <row r="133" spans="1:15">
      <c r="A133" s="64">
        <v>43556</v>
      </c>
      <c r="B133" s="70" t="s">
        <v>382</v>
      </c>
      <c r="C133" s="105"/>
      <c r="D133" s="75" t="s">
        <v>164</v>
      </c>
      <c r="E133" s="75" t="s">
        <v>149</v>
      </c>
      <c r="F133" s="75" t="s">
        <v>151</v>
      </c>
      <c r="G133" s="76"/>
      <c r="H133" s="77"/>
      <c r="I133" s="67"/>
      <c r="J133" s="57">
        <f t="shared" si="5"/>
        <v>0</v>
      </c>
      <c r="K133" s="57"/>
      <c r="L133" s="57"/>
      <c r="M133" s="57"/>
      <c r="N133" s="57"/>
    </row>
    <row r="134" spans="1:15">
      <c r="A134" s="64"/>
      <c r="B134" s="70"/>
      <c r="C134" s="102" t="s">
        <v>199</v>
      </c>
      <c r="D134" s="21" t="s">
        <v>201</v>
      </c>
      <c r="E134" s="21" t="s">
        <v>93</v>
      </c>
      <c r="F134" s="33" t="s">
        <v>94</v>
      </c>
      <c r="G134" s="57"/>
      <c r="H134" s="54"/>
      <c r="I134" s="67"/>
      <c r="J134" s="57">
        <f t="shared" si="5"/>
        <v>0</v>
      </c>
      <c r="K134" s="57"/>
      <c r="L134" s="57"/>
      <c r="M134" s="57"/>
      <c r="N134" s="57"/>
    </row>
    <row r="135" spans="1:15">
      <c r="A135" s="64">
        <v>43556</v>
      </c>
      <c r="B135" s="70" t="s">
        <v>382</v>
      </c>
      <c r="C135" s="103"/>
      <c r="D135" s="21" t="s">
        <v>202</v>
      </c>
      <c r="E135" s="21" t="s">
        <v>93</v>
      </c>
      <c r="F135" s="33" t="s">
        <v>94</v>
      </c>
      <c r="G135" s="57"/>
      <c r="H135" s="54"/>
      <c r="I135" s="67"/>
      <c r="J135" s="57">
        <f t="shared" si="5"/>
        <v>0</v>
      </c>
      <c r="K135" s="57"/>
      <c r="L135" s="57"/>
      <c r="M135" s="57"/>
      <c r="N135" s="57"/>
    </row>
    <row r="136" spans="1:15">
      <c r="A136" s="64">
        <v>43556</v>
      </c>
      <c r="B136" s="70" t="s">
        <v>382</v>
      </c>
      <c r="C136" s="104"/>
      <c r="D136" s="21" t="s">
        <v>202</v>
      </c>
      <c r="E136" s="21" t="s">
        <v>93</v>
      </c>
      <c r="F136" s="33" t="s">
        <v>94</v>
      </c>
      <c r="G136" s="57"/>
      <c r="H136" s="54"/>
      <c r="I136" s="67"/>
      <c r="J136" s="57">
        <f t="shared" si="5"/>
        <v>0</v>
      </c>
      <c r="K136" s="57">
        <f>(J136+J135+J134)*0.25*N2</f>
        <v>0</v>
      </c>
      <c r="L136" s="57"/>
      <c r="M136" s="57"/>
      <c r="N136" s="57"/>
    </row>
    <row r="137" spans="1:15">
      <c r="A137" s="64"/>
      <c r="B137" s="70"/>
      <c r="C137" s="103" t="s">
        <v>259</v>
      </c>
      <c r="D137" s="21" t="s">
        <v>388</v>
      </c>
      <c r="E137" s="21" t="s">
        <v>187</v>
      </c>
      <c r="F137" s="87" t="s">
        <v>190</v>
      </c>
      <c r="G137" s="57"/>
      <c r="H137" s="54"/>
      <c r="I137" s="67"/>
      <c r="J137" s="57">
        <f t="shared" si="5"/>
        <v>0</v>
      </c>
      <c r="K137" s="57"/>
      <c r="L137" s="57"/>
      <c r="M137" s="57"/>
      <c r="N137" s="57"/>
    </row>
    <row r="138" spans="1:15" ht="15" customHeight="1">
      <c r="A138" s="64">
        <v>43556</v>
      </c>
      <c r="B138" s="70" t="s">
        <v>382</v>
      </c>
      <c r="C138" s="103"/>
      <c r="D138" s="21" t="s">
        <v>388</v>
      </c>
      <c r="E138" s="21" t="s">
        <v>187</v>
      </c>
      <c r="F138" s="33" t="s">
        <v>389</v>
      </c>
      <c r="G138" s="74"/>
      <c r="H138" s="54"/>
      <c r="I138" s="67"/>
      <c r="J138" s="57">
        <f t="shared" si="5"/>
        <v>0</v>
      </c>
      <c r="K138" s="57">
        <f>(J138+J140+J143+J137+J139)*0.05*N2</f>
        <v>0</v>
      </c>
      <c r="L138" s="57">
        <f>K138/0.05*0.25</f>
        <v>0</v>
      </c>
      <c r="M138" s="57">
        <f>L138-K138</f>
        <v>0</v>
      </c>
      <c r="N138" s="57"/>
    </row>
    <row r="139" spans="1:15" ht="14.1" customHeight="1">
      <c r="A139" s="64"/>
      <c r="B139" s="70"/>
      <c r="C139" s="103"/>
      <c r="D139" s="21" t="s">
        <v>189</v>
      </c>
      <c r="E139" s="21" t="s">
        <v>187</v>
      </c>
      <c r="F139" s="87" t="s">
        <v>190</v>
      </c>
      <c r="G139" s="74"/>
      <c r="H139" s="54"/>
      <c r="I139" s="67"/>
      <c r="J139" s="57">
        <f t="shared" si="5"/>
        <v>0</v>
      </c>
      <c r="K139" s="57"/>
      <c r="L139" s="57"/>
      <c r="M139" s="57"/>
      <c r="N139" s="57"/>
    </row>
    <row r="140" spans="1:15">
      <c r="A140" s="64">
        <v>43556</v>
      </c>
      <c r="B140" s="70" t="s">
        <v>382</v>
      </c>
      <c r="C140" s="103"/>
      <c r="D140" s="21" t="s">
        <v>189</v>
      </c>
      <c r="E140" s="21" t="s">
        <v>187</v>
      </c>
      <c r="F140" s="33" t="s">
        <v>389</v>
      </c>
      <c r="G140" s="74"/>
      <c r="H140" s="54"/>
      <c r="I140" s="67"/>
      <c r="J140" s="57">
        <f t="shared" si="5"/>
        <v>0</v>
      </c>
      <c r="K140" s="57"/>
      <c r="L140" s="57"/>
      <c r="M140" s="57"/>
      <c r="N140" s="57"/>
    </row>
    <row r="141" spans="1:15">
      <c r="A141" s="64"/>
      <c r="B141" s="70"/>
      <c r="C141" s="103"/>
      <c r="D141" s="21" t="s">
        <v>194</v>
      </c>
      <c r="E141" s="75" t="s">
        <v>195</v>
      </c>
      <c r="F141" s="75" t="s">
        <v>196</v>
      </c>
      <c r="G141" s="78"/>
      <c r="H141" s="77"/>
      <c r="I141" s="67"/>
      <c r="J141" s="57">
        <f t="shared" si="5"/>
        <v>0</v>
      </c>
      <c r="K141" s="57">
        <f>(J141)*0.25*N2</f>
        <v>0</v>
      </c>
      <c r="L141" s="57"/>
      <c r="M141" s="57"/>
      <c r="N141" s="57"/>
    </row>
    <row r="142" spans="1:15">
      <c r="A142" s="64"/>
      <c r="B142" s="70"/>
      <c r="C142" s="103"/>
      <c r="D142" s="58" t="s">
        <v>362</v>
      </c>
      <c r="E142" s="21" t="s">
        <v>191</v>
      </c>
      <c r="F142" s="33" t="s">
        <v>193</v>
      </c>
      <c r="G142" s="74"/>
      <c r="H142" s="54"/>
      <c r="I142" s="68"/>
      <c r="J142" s="57">
        <f t="shared" si="5"/>
        <v>0</v>
      </c>
      <c r="K142" s="57">
        <f>(J142)*0.05*N2</f>
        <v>0</v>
      </c>
      <c r="L142" s="57">
        <f>K142/0.05*0.25</f>
        <v>0</v>
      </c>
      <c r="M142" s="57">
        <f>L142-K142</f>
        <v>0</v>
      </c>
      <c r="N142" s="57"/>
    </row>
    <row r="143" spans="1:15">
      <c r="A143" s="64">
        <v>43556</v>
      </c>
      <c r="B143" s="70" t="s">
        <v>382</v>
      </c>
      <c r="C143" s="21" t="s">
        <v>198</v>
      </c>
      <c r="D143" s="21" t="s">
        <v>189</v>
      </c>
      <c r="E143" s="21" t="s">
        <v>187</v>
      </c>
      <c r="F143" s="33" t="s">
        <v>188</v>
      </c>
      <c r="G143" s="57"/>
      <c r="H143" s="54"/>
      <c r="I143" s="68"/>
      <c r="J143" s="57">
        <f t="shared" si="5"/>
        <v>0</v>
      </c>
      <c r="K143" s="57"/>
      <c r="L143" s="57"/>
      <c r="M143" s="57"/>
      <c r="N143" s="57"/>
    </row>
    <row r="144" spans="1:15">
      <c r="A144" s="64">
        <v>43556</v>
      </c>
      <c r="B144" s="70" t="s">
        <v>382</v>
      </c>
      <c r="C144" s="103" t="s">
        <v>204</v>
      </c>
      <c r="D144" s="21" t="s">
        <v>214</v>
      </c>
      <c r="E144" s="21" t="s">
        <v>161</v>
      </c>
      <c r="F144" s="33" t="s">
        <v>215</v>
      </c>
      <c r="G144" s="57"/>
      <c r="H144" s="54"/>
      <c r="I144" s="68"/>
      <c r="J144" s="57">
        <f t="shared" ref="J144:J146" si="7">G144*H144*0.98-I144</f>
        <v>0</v>
      </c>
      <c r="K144" s="57">
        <f>(J144+J145)*0.25*N2</f>
        <v>0</v>
      </c>
      <c r="L144" s="83"/>
      <c r="M144" s="83"/>
      <c r="N144" s="83"/>
      <c r="O144" s="21"/>
    </row>
    <row r="145" spans="1:15">
      <c r="A145" s="64"/>
      <c r="B145" s="70"/>
      <c r="C145" s="103"/>
      <c r="D145" s="21" t="s">
        <v>214</v>
      </c>
      <c r="E145" s="21" t="s">
        <v>161</v>
      </c>
      <c r="F145" s="33" t="s">
        <v>216</v>
      </c>
      <c r="G145" s="57"/>
      <c r="H145" s="54"/>
      <c r="I145" s="68"/>
      <c r="J145" s="57">
        <f t="shared" si="7"/>
        <v>0</v>
      </c>
      <c r="K145" s="57"/>
      <c r="L145" s="83"/>
      <c r="M145" s="83"/>
      <c r="N145" s="83"/>
      <c r="O145" s="21"/>
    </row>
    <row r="146" spans="1:15">
      <c r="A146" s="64">
        <v>43556</v>
      </c>
      <c r="B146" s="70" t="s">
        <v>382</v>
      </c>
      <c r="C146" s="104"/>
      <c r="D146" s="21" t="s">
        <v>217</v>
      </c>
      <c r="E146" s="21" t="s">
        <v>161</v>
      </c>
      <c r="F146" s="33" t="s">
        <v>215</v>
      </c>
      <c r="G146" s="57"/>
      <c r="H146" s="54"/>
      <c r="I146" s="68"/>
      <c r="J146" s="57">
        <f t="shared" si="7"/>
        <v>0</v>
      </c>
      <c r="K146" s="57">
        <f>(J146)*0.25*N2</f>
        <v>0</v>
      </c>
      <c r="L146" s="83"/>
      <c r="M146" s="83"/>
      <c r="N146" s="83"/>
      <c r="O146" s="21"/>
    </row>
    <row r="147" spans="1:15">
      <c r="C147" s="105" t="s">
        <v>218</v>
      </c>
      <c r="D147" s="105"/>
      <c r="E147" s="21" t="s">
        <v>219</v>
      </c>
      <c r="F147" s="33" t="s">
        <v>219</v>
      </c>
      <c r="G147" s="57"/>
      <c r="H147" s="54"/>
      <c r="I147" s="68"/>
      <c r="J147" s="57">
        <f t="shared" ref="J147:J150" si="8">(G147*H147*0.98)-I147</f>
        <v>0</v>
      </c>
      <c r="K147" s="57">
        <f>(J3+J4+J5+J14+J15+J20+J21+J22+J24+J26+J30+J31+J37+J38+J39+J41+J42+J43+J48+J49+J50+J51+J52+J17+J40)*0.07*N2+(J74+J75+J94)*0.04*N2+(J6+J7+J8+J9+J11+J12+J13+J27+J28+J29+J32+J34+J35+J36+J45+J46+J47+J58+J60+J64+J65+J68+J69+J70+J72+J73+J78+J79+J82+J91+J92+J93+J96+J97+J98+J99+J100+J104+J109+J110+J111+J116+J117+J120+J121+J129+J132+J133+J138+J140+J143+J76+J83+J86+J108+J112+J84+J85+J81+J10+J16+J18+J19+J44+J56+J80+J87+J95+J107+J113+J131+J53+J54+J57+J71+J90+J102+J105+J106+J114+J115+J119+J126+J128+J130+J23+J61+J103+J118+J127+J142+J66+J77+J88+J89+J137+J139+J141+J62+J63+J125)*0.01*N2+(J67+J122+J123+J124)*0.08*N2</f>
        <v>0</v>
      </c>
      <c r="L147" s="57"/>
      <c r="M147" s="57"/>
      <c r="N147" s="57"/>
    </row>
    <row r="148" spans="1:15">
      <c r="C148" s="105"/>
      <c r="D148" s="105"/>
      <c r="E148" s="21" t="s">
        <v>220</v>
      </c>
      <c r="F148" s="33" t="s">
        <v>220</v>
      </c>
      <c r="G148" s="57"/>
      <c r="H148" s="54"/>
      <c r="I148" s="68"/>
      <c r="J148" s="57">
        <f t="shared" si="8"/>
        <v>0</v>
      </c>
      <c r="K148" s="57">
        <f>(J6+J11+J12+J13+J35+J36+J7)*0.06*N2+(J55+J70+J96+J97+J98+J99+J100+J56+J57)*0.07*N2+(J78+J79+J76+J77)*0.03*N2</f>
        <v>0</v>
      </c>
      <c r="L148" s="57"/>
      <c r="M148" s="57"/>
      <c r="N148" s="57"/>
    </row>
    <row r="149" spans="1:15">
      <c r="C149" s="105"/>
      <c r="D149" s="105"/>
      <c r="E149" s="21" t="s">
        <v>221</v>
      </c>
      <c r="F149" s="33" t="s">
        <v>221</v>
      </c>
      <c r="G149" s="57"/>
      <c r="H149" s="54"/>
      <c r="I149" s="68"/>
      <c r="J149" s="57">
        <f t="shared" si="8"/>
        <v>0</v>
      </c>
      <c r="K149" s="57">
        <f>(J8+J9+J27+J28+J47+J29+J10)*0.06*N2+(J120+J121+J132+J133+J58+J68+J69+J108+J107+J131+J119+J126+J127+J125)*0.07*N2+(J140+J143+J139+J141)*0.03*N2</f>
        <v>0</v>
      </c>
      <c r="L149" s="57"/>
      <c r="M149" s="57"/>
      <c r="N149" s="57"/>
    </row>
    <row r="150" spans="1:15">
      <c r="C150" s="105"/>
      <c r="D150" s="105"/>
      <c r="E150" s="21" t="s">
        <v>222</v>
      </c>
      <c r="F150" s="33" t="s">
        <v>222</v>
      </c>
      <c r="G150" s="57"/>
      <c r="H150" s="54"/>
      <c r="I150" s="68"/>
      <c r="J150" s="57">
        <f t="shared" si="8"/>
        <v>0</v>
      </c>
      <c r="K150" s="57">
        <f>(J80+J81+J72+J73+J86+J87+J71+J90)*0.03*N2+(J129+J128+J130+J62+J63)*0.07*N2+J23*0.06*N2+J60*0.08*N2</f>
        <v>0</v>
      </c>
      <c r="L150" s="57"/>
      <c r="M150" s="57"/>
      <c r="N150" s="57"/>
    </row>
    <row r="151" spans="1:15">
      <c r="C151" s="105"/>
      <c r="D151" s="105"/>
      <c r="E151" s="21" t="s">
        <v>223</v>
      </c>
      <c r="F151" s="33" t="s">
        <v>223</v>
      </c>
      <c r="G151" s="57"/>
      <c r="H151" s="54"/>
      <c r="I151" s="68"/>
      <c r="J151" s="57">
        <v>0</v>
      </c>
      <c r="K151" s="57">
        <f>(J16+J18+J19+J44+J54+J53+J17)*0.06*N2</f>
        <v>0</v>
      </c>
      <c r="L151" s="57"/>
      <c r="M151" s="57"/>
      <c r="N151" s="57"/>
    </row>
    <row r="152" spans="1:15">
      <c r="C152" s="105"/>
      <c r="D152" s="105"/>
      <c r="E152" s="21" t="s">
        <v>224</v>
      </c>
      <c r="F152" s="33" t="s">
        <v>224</v>
      </c>
      <c r="G152" s="57"/>
      <c r="H152" s="54"/>
      <c r="I152" s="68"/>
      <c r="J152" s="57">
        <v>0</v>
      </c>
      <c r="K152" s="57">
        <f>(J82+J83+J137+J138+J142)*0.03*N2+(J64+J65+J115+J116+J117+J112+J103+J113+J114+J101+J102)*0.07*N2+(0)*0.06*N2</f>
        <v>0</v>
      </c>
      <c r="L152" s="57"/>
      <c r="M152" s="57"/>
      <c r="N152" s="57"/>
    </row>
    <row r="153" spans="1:15">
      <c r="C153" s="105"/>
      <c r="D153" s="105"/>
      <c r="E153" s="21" t="s">
        <v>225</v>
      </c>
      <c r="F153" s="33" t="s">
        <v>225</v>
      </c>
      <c r="G153" s="57"/>
      <c r="H153" s="54"/>
      <c r="I153" s="68"/>
      <c r="J153" s="57">
        <v>0</v>
      </c>
      <c r="K153" s="57">
        <f>(J109+J110+J111+J118)*0.07*N2+(J32+J34)*0.06*N2+(J84+J85+J88+J89+J95)*0.03*N2</f>
        <v>0</v>
      </c>
      <c r="L153" s="57"/>
      <c r="M153" s="57"/>
      <c r="N153" s="57"/>
    </row>
    <row r="154" spans="1:15">
      <c r="E154" s="21" t="s">
        <v>226</v>
      </c>
      <c r="F154" s="33" t="s">
        <v>226</v>
      </c>
      <c r="G154" s="57"/>
      <c r="H154" s="54"/>
      <c r="I154" s="68"/>
      <c r="J154" s="57">
        <v>0</v>
      </c>
      <c r="K154" s="57">
        <f>(J122+J123+J124+J104+J105+J66)*0.07*N2+(J92+J93)*0.03*N2+(J45+J46)*0.06*N2</f>
        <v>0</v>
      </c>
      <c r="L154" s="57"/>
      <c r="M154" s="57"/>
      <c r="N154" s="57"/>
    </row>
    <row r="155" spans="1:15">
      <c r="F155" s="58" t="s">
        <v>227</v>
      </c>
      <c r="G155" s="65">
        <f>SUM(G3:G151)</f>
        <v>0</v>
      </c>
      <c r="H155" s="66"/>
      <c r="I155" s="69">
        <f>SUM(I3:I151)</f>
        <v>0</v>
      </c>
      <c r="J155" s="65">
        <f>SUM(J3:J150)</f>
        <v>0</v>
      </c>
      <c r="K155" s="65">
        <f>J155*N2</f>
        <v>0</v>
      </c>
      <c r="L155" s="57"/>
      <c r="M155" s="57"/>
      <c r="N155" s="57"/>
    </row>
    <row r="156" spans="1:15">
      <c r="F156" s="58" t="s">
        <v>228</v>
      </c>
      <c r="G156" s="65"/>
      <c r="H156" s="66"/>
      <c r="I156" s="69"/>
      <c r="J156" s="65"/>
      <c r="K156" s="65">
        <f>K155*0.4</f>
        <v>0</v>
      </c>
      <c r="L156" s="57"/>
      <c r="M156" s="57"/>
      <c r="N156" s="57"/>
    </row>
    <row r="157" spans="1:15">
      <c r="F157" s="58" t="s">
        <v>261</v>
      </c>
      <c r="G157" s="65"/>
      <c r="H157" s="66"/>
      <c r="I157" s="69"/>
      <c r="J157" s="65"/>
      <c r="K157" s="65">
        <f>K155*0.6</f>
        <v>0</v>
      </c>
      <c r="L157" s="57"/>
      <c r="M157" s="57"/>
      <c r="N157" s="57"/>
    </row>
    <row r="158" spans="1:15">
      <c r="C158" s="21" t="s">
        <v>229</v>
      </c>
      <c r="E158" s="21" t="s">
        <v>230</v>
      </c>
      <c r="F158" s="33"/>
      <c r="G158" s="57"/>
      <c r="H158" s="54"/>
      <c r="I158" s="68"/>
      <c r="J158" s="57"/>
      <c r="K158" s="57">
        <f>(J6+J8+J9+J14+J7+J10)*0.05*N2+M18+M28+M35+M44+M47+M48+M3+M11-N18-N28-N35+M32+M20-N48+M37+M22</f>
        <v>0</v>
      </c>
      <c r="L158" s="57"/>
      <c r="M158" s="57"/>
      <c r="N158" s="57"/>
    </row>
    <row r="159" spans="1:15">
      <c r="C159" s="21" t="s">
        <v>231</v>
      </c>
      <c r="E159" s="21" t="s">
        <v>230</v>
      </c>
      <c r="F159" s="33"/>
      <c r="G159" s="57"/>
      <c r="H159" s="54"/>
      <c r="I159" s="68"/>
      <c r="J159" s="57"/>
      <c r="K159" s="57">
        <f>(0)*0.05*N2+M98+M110+M132+M104+M122+M129+M106+M115+M112</f>
        <v>0</v>
      </c>
      <c r="L159" s="57"/>
      <c r="M159" s="57"/>
      <c r="N159" s="57"/>
    </row>
    <row r="160" spans="1:15">
      <c r="C160" s="21" t="s">
        <v>232</v>
      </c>
      <c r="E160" s="21" t="s">
        <v>233</v>
      </c>
      <c r="F160" s="33"/>
      <c r="G160" s="57"/>
      <c r="H160" s="54"/>
      <c r="I160" s="68"/>
      <c r="J160" s="57"/>
      <c r="K160" s="57">
        <f>(J67+J68+J69+J60+J62+J63)*0.05*N2+M64+M66+M56+M58</f>
        <v>0</v>
      </c>
      <c r="L160" s="57"/>
      <c r="M160" s="57"/>
      <c r="N160" s="57"/>
    </row>
    <row r="161" spans="3:14">
      <c r="C161" s="21" t="s">
        <v>234</v>
      </c>
      <c r="E161" s="21" t="s">
        <v>230</v>
      </c>
      <c r="F161" s="33"/>
      <c r="G161" s="57"/>
      <c r="H161" s="54"/>
      <c r="I161" s="68"/>
      <c r="J161" s="57"/>
      <c r="K161" s="57">
        <f>(0)*0.03*N2+M72+M71+M82+M88+M78</f>
        <v>0</v>
      </c>
      <c r="L161" s="57"/>
      <c r="M161" s="57"/>
      <c r="N161" s="57"/>
    </row>
    <row r="162" spans="3:14">
      <c r="C162" s="21" t="s">
        <v>235</v>
      </c>
      <c r="E162" s="21" t="s">
        <v>230</v>
      </c>
      <c r="F162" s="33"/>
      <c r="G162" s="57"/>
      <c r="H162" s="54"/>
      <c r="I162" s="68"/>
      <c r="J162" s="57"/>
      <c r="K162" s="57">
        <f>M138+M142</f>
        <v>0</v>
      </c>
      <c r="L162" s="57"/>
      <c r="M162" s="57"/>
      <c r="N162" s="57"/>
    </row>
    <row r="163" spans="3:14">
      <c r="C163" s="21" t="s">
        <v>262</v>
      </c>
      <c r="D163" s="21" t="s">
        <v>230</v>
      </c>
      <c r="E163" s="21" t="s">
        <v>390</v>
      </c>
      <c r="F163" s="33"/>
      <c r="G163" s="57"/>
      <c r="H163" s="54"/>
      <c r="I163" s="68"/>
      <c r="J163" s="57"/>
      <c r="K163" s="57">
        <f>J155*0.07*N2</f>
        <v>0</v>
      </c>
      <c r="L163" s="57"/>
      <c r="M163" s="57"/>
      <c r="N163" s="57"/>
    </row>
    <row r="164" spans="3:14">
      <c r="F164" s="33"/>
      <c r="G164" s="57"/>
      <c r="H164" s="54"/>
      <c r="I164" s="68"/>
      <c r="J164" s="57"/>
      <c r="K164" s="57">
        <f>K163/7*3</f>
        <v>0</v>
      </c>
      <c r="L164" s="57"/>
      <c r="M164" s="57"/>
      <c r="N164" s="57"/>
    </row>
    <row r="165" spans="3:14">
      <c r="F165" s="33"/>
      <c r="G165" s="57"/>
      <c r="H165" s="54"/>
      <c r="I165" s="68"/>
      <c r="J165" s="57"/>
      <c r="K165" s="57">
        <f>K163/7*4</f>
        <v>0</v>
      </c>
      <c r="L165" s="57"/>
      <c r="M165" s="57"/>
      <c r="N165" s="57"/>
    </row>
    <row r="166" spans="3:14">
      <c r="K166" s="59">
        <f>K158+K159+K160+K161+K164+K165</f>
        <v>0</v>
      </c>
    </row>
    <row r="167" spans="3:14">
      <c r="K167" s="65">
        <f>K158+K159+K160+K161+K162</f>
        <v>0</v>
      </c>
    </row>
  </sheetData>
  <mergeCells count="8">
    <mergeCell ref="C144:C146"/>
    <mergeCell ref="C147:D153"/>
    <mergeCell ref="C3:C54"/>
    <mergeCell ref="C55:C70"/>
    <mergeCell ref="C71:C95"/>
    <mergeCell ref="C96:C133"/>
    <mergeCell ref="C134:C136"/>
    <mergeCell ref="C137:C142"/>
  </mergeCells>
  <phoneticPr fontId="37" type="noConversion"/>
  <conditionalFormatting sqref="E144">
    <cfRule type="containsText" dxfId="26" priority="3" operator="containsText" text="方泽斯">
      <formula>NOT(ISERROR(SEARCH("方泽斯",E144)))</formula>
    </cfRule>
  </conditionalFormatting>
  <conditionalFormatting sqref="E145">
    <cfRule type="containsText" dxfId="25" priority="2" operator="containsText" text="方泽斯">
      <formula>NOT(ISERROR(SEARCH("方泽斯",E145)))</formula>
    </cfRule>
  </conditionalFormatting>
  <conditionalFormatting sqref="E153">
    <cfRule type="containsText" dxfId="24" priority="4" operator="containsText" text="方泽斯">
      <formula>NOT(ISERROR(SEARCH("方泽斯",E153)))</formula>
    </cfRule>
  </conditionalFormatting>
  <conditionalFormatting sqref="E160">
    <cfRule type="containsText" dxfId="23" priority="1" operator="containsText" text="方泽斯">
      <formula>NOT(ISERROR(SEARCH("方泽斯",E160)))</formula>
    </cfRule>
  </conditionalFormatting>
  <pageMargins left="0.7" right="0.7" top="0" bottom="0" header="0.3" footer="0.3"/>
  <pageSetup paperSize="9" scale="48" orientation="portrait" verticalDpi="0"/>
</worksheet>
</file>

<file path=xl/worksheets/sheet9.xml><?xml version="1.0" encoding="utf-8"?>
<worksheet xmlns="http://schemas.openxmlformats.org/spreadsheetml/2006/main" xmlns:r="http://schemas.openxmlformats.org/officeDocument/2006/relationships">
  <sheetPr enableFormatConditionsCalculation="0">
    <tabColor rgb="FF92D050"/>
    <pageSetUpPr fitToPage="1"/>
  </sheetPr>
  <dimension ref="A1:Y118"/>
  <sheetViews>
    <sheetView topLeftCell="C1" zoomScaleSheetLayoutView="100" workbookViewId="0">
      <selection activeCell="J6" sqref="J6"/>
    </sheetView>
  </sheetViews>
  <sheetFormatPr defaultRowHeight="13.5"/>
  <cols>
    <col min="1" max="2" width="9" style="21" hidden="1" customWidth="1"/>
    <col min="3" max="3" width="10.5" style="21" customWidth="1"/>
    <col min="4" max="4" width="9" style="21"/>
    <col min="5" max="5" width="9" style="21" customWidth="1"/>
    <col min="6" max="6" width="18" style="21" customWidth="1"/>
    <col min="7" max="7" width="14.125" style="59" customWidth="1"/>
    <col min="8" max="8" width="14.125" style="60" customWidth="1"/>
    <col min="9" max="9" width="13.25" style="61" customWidth="1"/>
    <col min="10" max="10" width="16.75" style="59" customWidth="1"/>
    <col min="11" max="11" width="14" style="59" customWidth="1"/>
    <col min="12" max="12" width="11.75" style="59" customWidth="1"/>
    <col min="13" max="13" width="12.25" style="59" customWidth="1"/>
    <col min="14" max="14" width="14.125" style="59" bestFit="1" customWidth="1"/>
    <col min="15" max="15" width="15.75" style="21" customWidth="1"/>
    <col min="16" max="16384" width="9" style="21"/>
  </cols>
  <sheetData>
    <row r="1" spans="1:25">
      <c r="C1" s="21" t="s">
        <v>391</v>
      </c>
    </row>
    <row r="2" spans="1:25" s="22" customFormat="1" ht="21" customHeight="1">
      <c r="A2" s="24"/>
      <c r="B2" s="24"/>
      <c r="C2" s="25" t="s">
        <v>1</v>
      </c>
      <c r="D2" s="25" t="s">
        <v>2</v>
      </c>
      <c r="E2" s="25"/>
      <c r="F2" s="26" t="s">
        <v>3</v>
      </c>
      <c r="G2" s="27" t="s">
        <v>4</v>
      </c>
      <c r="H2" s="28" t="s">
        <v>5</v>
      </c>
      <c r="I2" s="29" t="s">
        <v>6</v>
      </c>
      <c r="J2" s="29" t="s">
        <v>7</v>
      </c>
      <c r="K2" s="38" t="s">
        <v>8</v>
      </c>
      <c r="L2" s="39"/>
      <c r="M2" s="40" t="s">
        <v>9</v>
      </c>
      <c r="N2" s="41">
        <v>7.01</v>
      </c>
      <c r="O2" s="42"/>
      <c r="P2" s="43"/>
      <c r="Q2" s="44"/>
      <c r="R2" s="45"/>
      <c r="S2" s="45"/>
      <c r="W2" s="46"/>
      <c r="X2" s="46"/>
      <c r="Y2" s="46"/>
    </row>
    <row r="3" spans="1:25">
      <c r="A3" s="64">
        <v>43556</v>
      </c>
      <c r="B3" s="21" t="s">
        <v>391</v>
      </c>
      <c r="C3" s="102" t="s">
        <v>10</v>
      </c>
      <c r="D3" s="21" t="s">
        <v>11</v>
      </c>
      <c r="E3" s="21" t="s">
        <v>264</v>
      </c>
      <c r="F3" s="33" t="s">
        <v>265</v>
      </c>
      <c r="G3" s="57"/>
      <c r="H3" s="54"/>
      <c r="I3" s="67"/>
      <c r="J3" s="57">
        <f t="shared" ref="J3:J49" si="0">G3*H3*0.98-I3</f>
        <v>0</v>
      </c>
      <c r="K3" s="57">
        <f>(J3+J4+J5+J8+J9+J26+J27+J28)*N2*0.2</f>
        <v>0</v>
      </c>
      <c r="L3" s="57"/>
      <c r="M3" s="57"/>
      <c r="N3" s="59" t="s">
        <v>37</v>
      </c>
    </row>
    <row r="4" spans="1:25">
      <c r="A4" s="64">
        <v>43556</v>
      </c>
      <c r="B4" s="21" t="s">
        <v>391</v>
      </c>
      <c r="C4" s="103"/>
      <c r="D4" s="21" t="s">
        <v>11</v>
      </c>
      <c r="E4" s="21" t="s">
        <v>264</v>
      </c>
      <c r="F4" s="33" t="s">
        <v>266</v>
      </c>
      <c r="G4" s="57"/>
      <c r="H4" s="54"/>
      <c r="I4" s="67"/>
      <c r="J4" s="57">
        <f t="shared" si="0"/>
        <v>0</v>
      </c>
      <c r="K4" s="57"/>
      <c r="L4" s="57"/>
      <c r="M4" s="57"/>
    </row>
    <row r="5" spans="1:25">
      <c r="A5" s="64">
        <v>43556</v>
      </c>
      <c r="B5" s="21" t="s">
        <v>391</v>
      </c>
      <c r="C5" s="103"/>
      <c r="D5" s="21" t="s">
        <v>11</v>
      </c>
      <c r="E5" s="21" t="s">
        <v>264</v>
      </c>
      <c r="F5" s="33" t="s">
        <v>267</v>
      </c>
      <c r="G5" s="57"/>
      <c r="H5" s="54"/>
      <c r="I5" s="67"/>
      <c r="J5" s="57">
        <f t="shared" si="0"/>
        <v>0</v>
      </c>
      <c r="K5" s="57"/>
      <c r="L5" s="57"/>
      <c r="M5" s="57"/>
    </row>
    <row r="6" spans="1:25">
      <c r="A6" s="64">
        <v>43556</v>
      </c>
      <c r="B6" s="21" t="s">
        <v>391</v>
      </c>
      <c r="C6" s="103"/>
      <c r="D6" s="21" t="s">
        <v>56</v>
      </c>
      <c r="E6" s="21" t="s">
        <v>52</v>
      </c>
      <c r="F6" s="33" t="s">
        <v>53</v>
      </c>
      <c r="G6" s="57"/>
      <c r="H6" s="54"/>
      <c r="I6" s="67"/>
      <c r="J6" s="57">
        <f t="shared" si="0"/>
        <v>0</v>
      </c>
      <c r="K6" s="57"/>
      <c r="L6" s="57"/>
      <c r="M6" s="57"/>
    </row>
    <row r="7" spans="1:25">
      <c r="A7" s="64">
        <v>43556</v>
      </c>
      <c r="B7" s="21" t="s">
        <v>391</v>
      </c>
      <c r="C7" s="103"/>
      <c r="D7" s="21" t="s">
        <v>29</v>
      </c>
      <c r="E7" s="21" t="s">
        <v>52</v>
      </c>
      <c r="F7" s="33" t="s">
        <v>53</v>
      </c>
      <c r="G7" s="57"/>
      <c r="H7" s="54"/>
      <c r="I7" s="67"/>
      <c r="J7" s="57">
        <f t="shared" si="0"/>
        <v>0</v>
      </c>
      <c r="K7" s="57"/>
      <c r="L7" s="57"/>
      <c r="M7" s="57"/>
    </row>
    <row r="8" spans="1:25">
      <c r="A8" s="64">
        <v>43556</v>
      </c>
      <c r="B8" s="21" t="s">
        <v>391</v>
      </c>
      <c r="C8" s="103"/>
      <c r="D8" s="21" t="s">
        <v>60</v>
      </c>
      <c r="E8" s="21" t="s">
        <v>264</v>
      </c>
      <c r="F8" s="33" t="s">
        <v>265</v>
      </c>
      <c r="G8" s="57"/>
      <c r="H8" s="54"/>
      <c r="I8" s="68"/>
      <c r="J8" s="57">
        <f t="shared" si="0"/>
        <v>0</v>
      </c>
      <c r="K8" s="57"/>
      <c r="L8" s="57"/>
      <c r="M8" s="57"/>
    </row>
    <row r="9" spans="1:25">
      <c r="A9" s="64">
        <v>43556</v>
      </c>
      <c r="B9" s="21" t="s">
        <v>391</v>
      </c>
      <c r="C9" s="103"/>
      <c r="D9" s="21" t="s">
        <v>60</v>
      </c>
      <c r="E9" s="21" t="s">
        <v>264</v>
      </c>
      <c r="F9" s="33" t="s">
        <v>267</v>
      </c>
      <c r="G9" s="57"/>
      <c r="H9" s="54"/>
      <c r="I9" s="67"/>
      <c r="J9" s="57">
        <f t="shared" si="0"/>
        <v>0</v>
      </c>
      <c r="K9" s="57"/>
      <c r="L9" s="57"/>
      <c r="M9" s="57"/>
    </row>
    <row r="10" spans="1:25">
      <c r="A10" s="64">
        <v>43556</v>
      </c>
      <c r="B10" s="21" t="s">
        <v>391</v>
      </c>
      <c r="C10" s="103"/>
      <c r="D10" s="21" t="s">
        <v>32</v>
      </c>
      <c r="E10" s="21" t="s">
        <v>268</v>
      </c>
      <c r="F10" s="33" t="s">
        <v>269</v>
      </c>
      <c r="G10" s="57"/>
      <c r="H10" s="54"/>
      <c r="I10" s="67"/>
      <c r="J10" s="57">
        <f t="shared" si="0"/>
        <v>0</v>
      </c>
      <c r="K10" s="57"/>
      <c r="L10" s="57"/>
      <c r="M10" s="57"/>
    </row>
    <row r="11" spans="1:25">
      <c r="A11" s="64">
        <v>43556</v>
      </c>
      <c r="B11" s="21" t="s">
        <v>391</v>
      </c>
      <c r="C11" s="103"/>
      <c r="D11" s="21" t="s">
        <v>32</v>
      </c>
      <c r="E11" s="21" t="s">
        <v>268</v>
      </c>
      <c r="F11" s="33" t="s">
        <v>270</v>
      </c>
      <c r="G11" s="57"/>
      <c r="H11" s="54"/>
      <c r="I11" s="67"/>
      <c r="J11" s="57">
        <f t="shared" si="0"/>
        <v>0</v>
      </c>
      <c r="K11" s="57"/>
      <c r="L11" s="57"/>
      <c r="M11" s="57"/>
    </row>
    <row r="12" spans="1:25">
      <c r="A12" s="64">
        <v>43556</v>
      </c>
      <c r="B12" s="21" t="s">
        <v>391</v>
      </c>
      <c r="C12" s="103"/>
      <c r="D12" s="21" t="s">
        <v>32</v>
      </c>
      <c r="E12" s="21" t="s">
        <v>268</v>
      </c>
      <c r="F12" s="33" t="s">
        <v>271</v>
      </c>
      <c r="G12" s="57"/>
      <c r="H12" s="54"/>
      <c r="I12" s="67"/>
      <c r="J12" s="57">
        <f t="shared" si="0"/>
        <v>0</v>
      </c>
      <c r="K12" s="57"/>
      <c r="L12" s="57"/>
      <c r="M12" s="57"/>
    </row>
    <row r="13" spans="1:25">
      <c r="A13" s="64">
        <v>43556</v>
      </c>
      <c r="B13" s="21" t="s">
        <v>391</v>
      </c>
      <c r="C13" s="103"/>
      <c r="D13" s="21" t="s">
        <v>73</v>
      </c>
      <c r="E13" s="21" t="s">
        <v>52</v>
      </c>
      <c r="F13" s="33" t="s">
        <v>53</v>
      </c>
      <c r="G13" s="57"/>
      <c r="H13" s="54"/>
      <c r="I13" s="67"/>
      <c r="J13" s="57">
        <f t="shared" si="0"/>
        <v>0</v>
      </c>
      <c r="K13" s="57"/>
      <c r="L13" s="57"/>
      <c r="M13" s="57"/>
    </row>
    <row r="14" spans="1:25">
      <c r="A14" s="64"/>
      <c r="C14" s="103"/>
      <c r="D14" s="21" t="s">
        <v>73</v>
      </c>
      <c r="E14" s="21" t="s">
        <v>52</v>
      </c>
      <c r="F14" s="33" t="s">
        <v>54</v>
      </c>
      <c r="G14" s="57"/>
      <c r="H14" s="54"/>
      <c r="I14" s="67"/>
      <c r="J14" s="57">
        <f t="shared" si="0"/>
        <v>0</v>
      </c>
      <c r="K14" s="57"/>
      <c r="L14" s="57"/>
      <c r="M14" s="57"/>
    </row>
    <row r="15" spans="1:25">
      <c r="A15" s="64">
        <v>43556</v>
      </c>
      <c r="B15" s="21" t="s">
        <v>391</v>
      </c>
      <c r="C15" s="103"/>
      <c r="D15" s="21" t="s">
        <v>272</v>
      </c>
      <c r="E15" s="21" t="s">
        <v>240</v>
      </c>
      <c r="F15" s="33" t="s">
        <v>241</v>
      </c>
      <c r="G15" s="57"/>
      <c r="H15" s="54"/>
      <c r="I15" s="67"/>
      <c r="J15" s="57">
        <f t="shared" si="0"/>
        <v>0</v>
      </c>
      <c r="K15" s="57"/>
      <c r="L15" s="57">
        <f>K15/0.03*0.25</f>
        <v>0</v>
      </c>
      <c r="M15" s="57">
        <f>L15-K15</f>
        <v>0</v>
      </c>
    </row>
    <row r="16" spans="1:25">
      <c r="A16" s="64">
        <v>43556</v>
      </c>
      <c r="B16" s="21" t="s">
        <v>391</v>
      </c>
      <c r="C16" s="103"/>
      <c r="D16" s="21" t="s">
        <v>272</v>
      </c>
      <c r="E16" s="21" t="s">
        <v>240</v>
      </c>
      <c r="F16" s="33" t="s">
        <v>274</v>
      </c>
      <c r="G16" s="57"/>
      <c r="H16" s="54"/>
      <c r="I16" s="67"/>
      <c r="J16" s="57">
        <f t="shared" si="0"/>
        <v>0</v>
      </c>
      <c r="K16" s="57"/>
      <c r="L16" s="57"/>
      <c r="M16" s="57"/>
    </row>
    <row r="17" spans="1:13">
      <c r="A17" s="64">
        <v>43556</v>
      </c>
      <c r="B17" s="21" t="s">
        <v>391</v>
      </c>
      <c r="C17" s="103"/>
      <c r="D17" s="21" t="s">
        <v>38</v>
      </c>
      <c r="E17" s="21" t="s">
        <v>268</v>
      </c>
      <c r="F17" s="33" t="s">
        <v>269</v>
      </c>
      <c r="G17" s="57"/>
      <c r="H17" s="54"/>
      <c r="I17" s="67"/>
      <c r="J17" s="57">
        <f t="shared" si="0"/>
        <v>0</v>
      </c>
      <c r="K17" s="57"/>
      <c r="L17" s="57"/>
      <c r="M17" s="57"/>
    </row>
    <row r="18" spans="1:13">
      <c r="A18" s="64">
        <v>43556</v>
      </c>
      <c r="B18" s="21" t="s">
        <v>391</v>
      </c>
      <c r="C18" s="103"/>
      <c r="D18" s="21" t="s">
        <v>38</v>
      </c>
      <c r="E18" s="21" t="s">
        <v>268</v>
      </c>
      <c r="F18" s="33" t="s">
        <v>270</v>
      </c>
      <c r="G18" s="57"/>
      <c r="H18" s="54"/>
      <c r="I18" s="67"/>
      <c r="J18" s="57">
        <f t="shared" si="0"/>
        <v>0</v>
      </c>
      <c r="K18" s="57"/>
      <c r="L18" s="57"/>
      <c r="M18" s="57"/>
    </row>
    <row r="19" spans="1:13">
      <c r="A19" s="64">
        <v>43556</v>
      </c>
      <c r="B19" s="21" t="s">
        <v>391</v>
      </c>
      <c r="C19" s="103"/>
      <c r="D19" s="21" t="s">
        <v>38</v>
      </c>
      <c r="E19" s="21" t="s">
        <v>268</v>
      </c>
      <c r="F19" s="33" t="s">
        <v>271</v>
      </c>
      <c r="G19" s="57"/>
      <c r="H19" s="54"/>
      <c r="I19" s="68"/>
      <c r="J19" s="57">
        <f t="shared" si="0"/>
        <v>0</v>
      </c>
      <c r="K19" s="57"/>
      <c r="L19" s="57"/>
      <c r="M19" s="57"/>
    </row>
    <row r="20" spans="1:13">
      <c r="A20" s="64">
        <v>43556</v>
      </c>
      <c r="B20" s="21" t="s">
        <v>391</v>
      </c>
      <c r="C20" s="103"/>
      <c r="D20" s="21" t="s">
        <v>78</v>
      </c>
      <c r="E20" s="21" t="s">
        <v>240</v>
      </c>
      <c r="F20" s="33" t="s">
        <v>273</v>
      </c>
      <c r="G20" s="57"/>
      <c r="H20" s="54"/>
      <c r="I20" s="67"/>
      <c r="J20" s="57">
        <f t="shared" si="0"/>
        <v>0</v>
      </c>
      <c r="K20" s="57"/>
      <c r="L20" s="57"/>
      <c r="M20" s="57"/>
    </row>
    <row r="21" spans="1:13">
      <c r="A21" s="64">
        <v>43556</v>
      </c>
      <c r="B21" s="21" t="s">
        <v>391</v>
      </c>
      <c r="C21" s="103"/>
      <c r="D21" s="21" t="s">
        <v>78</v>
      </c>
      <c r="E21" s="21" t="s">
        <v>240</v>
      </c>
      <c r="F21" s="33" t="s">
        <v>274</v>
      </c>
      <c r="G21" s="57"/>
      <c r="H21" s="54"/>
      <c r="I21" s="68"/>
      <c r="J21" s="57">
        <f t="shared" si="0"/>
        <v>0</v>
      </c>
      <c r="K21" s="57"/>
      <c r="L21" s="57"/>
      <c r="M21" s="57"/>
    </row>
    <row r="22" spans="1:13">
      <c r="A22" s="64">
        <v>43556</v>
      </c>
      <c r="B22" s="21" t="s">
        <v>391</v>
      </c>
      <c r="C22" s="103"/>
      <c r="D22" s="21" t="s">
        <v>31</v>
      </c>
      <c r="E22" s="21" t="s">
        <v>240</v>
      </c>
      <c r="F22" s="33" t="s">
        <v>241</v>
      </c>
      <c r="G22" s="57"/>
      <c r="H22" s="54"/>
      <c r="I22" s="67"/>
      <c r="J22" s="57">
        <f t="shared" si="0"/>
        <v>0</v>
      </c>
      <c r="K22" s="57">
        <f>(J22+J23+J24+J20+J21+J15+J16)*0.04*N2</f>
        <v>0</v>
      </c>
      <c r="L22" s="57">
        <f>K22/0.04*0.25</f>
        <v>0</v>
      </c>
      <c r="M22" s="57">
        <f>L22-K22</f>
        <v>0</v>
      </c>
    </row>
    <row r="23" spans="1:13">
      <c r="A23" s="64">
        <v>43556</v>
      </c>
      <c r="B23" s="21" t="s">
        <v>391</v>
      </c>
      <c r="C23" s="103"/>
      <c r="D23" s="21" t="s">
        <v>31</v>
      </c>
      <c r="E23" s="21" t="s">
        <v>240</v>
      </c>
      <c r="F23" s="33" t="s">
        <v>273</v>
      </c>
      <c r="G23" s="57"/>
      <c r="H23" s="54"/>
      <c r="I23" s="67"/>
      <c r="J23" s="57">
        <f t="shared" si="0"/>
        <v>0</v>
      </c>
      <c r="K23" s="57"/>
      <c r="L23" s="57"/>
      <c r="M23" s="57"/>
    </row>
    <row r="24" spans="1:13">
      <c r="A24" s="64">
        <v>43556</v>
      </c>
      <c r="B24" s="21" t="s">
        <v>391</v>
      </c>
      <c r="C24" s="103"/>
      <c r="D24" s="21" t="s">
        <v>31</v>
      </c>
      <c r="E24" s="21" t="s">
        <v>240</v>
      </c>
      <c r="F24" s="33" t="s">
        <v>274</v>
      </c>
      <c r="G24" s="57"/>
      <c r="H24" s="54"/>
      <c r="I24" s="67"/>
      <c r="J24" s="57">
        <f t="shared" si="0"/>
        <v>0</v>
      </c>
      <c r="K24" s="57"/>
      <c r="L24" s="57"/>
      <c r="M24" s="57"/>
    </row>
    <row r="25" spans="1:13">
      <c r="A25" s="64">
        <v>43556</v>
      </c>
      <c r="B25" s="21" t="s">
        <v>391</v>
      </c>
      <c r="C25" s="103"/>
      <c r="D25" s="21" t="s">
        <v>72</v>
      </c>
      <c r="E25" s="21" t="s">
        <v>268</v>
      </c>
      <c r="F25" s="33" t="s">
        <v>269</v>
      </c>
      <c r="G25" s="57"/>
      <c r="H25" s="54"/>
      <c r="I25" s="67"/>
      <c r="J25" s="57">
        <f t="shared" si="0"/>
        <v>0</v>
      </c>
      <c r="K25" s="57">
        <f>(J25+J31+J32+J10+J11+J12+J17+J18+J19)*0.03*N2</f>
        <v>0</v>
      </c>
      <c r="L25" s="57">
        <f>K25/0.03*0.25</f>
        <v>0</v>
      </c>
      <c r="M25" s="57">
        <f>L25-K25</f>
        <v>0</v>
      </c>
    </row>
    <row r="26" spans="1:13">
      <c r="A26" s="64">
        <v>43556</v>
      </c>
      <c r="B26" s="21" t="s">
        <v>391</v>
      </c>
      <c r="C26" s="103"/>
      <c r="D26" s="21" t="s">
        <v>39</v>
      </c>
      <c r="E26" s="21" t="s">
        <v>264</v>
      </c>
      <c r="F26" s="33" t="s">
        <v>265</v>
      </c>
      <c r="G26" s="57"/>
      <c r="H26" s="54"/>
      <c r="I26" s="67"/>
      <c r="J26" s="57">
        <f t="shared" si="0"/>
        <v>0</v>
      </c>
      <c r="K26" s="57"/>
      <c r="L26" s="57"/>
      <c r="M26" s="57"/>
    </row>
    <row r="27" spans="1:13">
      <c r="A27" s="64">
        <v>43556</v>
      </c>
      <c r="B27" s="21" t="s">
        <v>391</v>
      </c>
      <c r="C27" s="103"/>
      <c r="D27" s="21" t="s">
        <v>39</v>
      </c>
      <c r="E27" s="21" t="s">
        <v>264</v>
      </c>
      <c r="F27" s="33" t="s">
        <v>266</v>
      </c>
      <c r="G27" s="57"/>
      <c r="H27" s="54"/>
      <c r="I27" s="67"/>
      <c r="J27" s="57">
        <f t="shared" si="0"/>
        <v>0</v>
      </c>
      <c r="K27" s="57"/>
      <c r="L27" s="57"/>
      <c r="M27" s="57"/>
    </row>
    <row r="28" spans="1:13">
      <c r="A28" s="64">
        <v>43556</v>
      </c>
      <c r="B28" s="21" t="s">
        <v>391</v>
      </c>
      <c r="C28" s="103"/>
      <c r="D28" s="21" t="s">
        <v>39</v>
      </c>
      <c r="E28" s="21" t="s">
        <v>264</v>
      </c>
      <c r="F28" s="33" t="s">
        <v>267</v>
      </c>
      <c r="G28" s="57"/>
      <c r="H28" s="54"/>
      <c r="I28" s="67"/>
      <c r="J28" s="57">
        <f t="shared" si="0"/>
        <v>0</v>
      </c>
      <c r="K28" s="57"/>
      <c r="L28" s="57"/>
      <c r="M28" s="57"/>
    </row>
    <row r="29" spans="1:13">
      <c r="A29" s="64">
        <v>43556</v>
      </c>
      <c r="B29" s="21" t="s">
        <v>391</v>
      </c>
      <c r="C29" s="103"/>
      <c r="D29" s="21" t="s">
        <v>51</v>
      </c>
      <c r="E29" s="21" t="s">
        <v>52</v>
      </c>
      <c r="F29" s="33" t="s">
        <v>53</v>
      </c>
      <c r="G29" s="57"/>
      <c r="H29" s="54"/>
      <c r="I29" s="68"/>
      <c r="J29" s="57">
        <f t="shared" si="0"/>
        <v>0</v>
      </c>
      <c r="K29" s="57">
        <f>(J29+J30+J33+J34+J35+J6+J13+J14+J7)*0.05*N2</f>
        <v>0</v>
      </c>
      <c r="L29" s="57">
        <f>K29/0.05*0.25</f>
        <v>0</v>
      </c>
      <c r="M29" s="57">
        <f>L29-K29</f>
        <v>0</v>
      </c>
    </row>
    <row r="30" spans="1:13">
      <c r="A30" s="64">
        <v>43556</v>
      </c>
      <c r="B30" s="21" t="s">
        <v>391</v>
      </c>
      <c r="C30" s="103"/>
      <c r="D30" s="21" t="s">
        <v>51</v>
      </c>
      <c r="E30" s="21" t="s">
        <v>52</v>
      </c>
      <c r="F30" s="33" t="s">
        <v>54</v>
      </c>
      <c r="G30" s="57"/>
      <c r="H30" s="54"/>
      <c r="I30" s="67"/>
      <c r="J30" s="57">
        <f t="shared" si="0"/>
        <v>0</v>
      </c>
      <c r="K30" s="57"/>
      <c r="L30" s="57"/>
      <c r="M30" s="57"/>
    </row>
    <row r="31" spans="1:13">
      <c r="A31" s="64">
        <v>43556</v>
      </c>
      <c r="B31" s="21" t="s">
        <v>391</v>
      </c>
      <c r="C31" s="103"/>
      <c r="D31" s="21" t="s">
        <v>70</v>
      </c>
      <c r="E31" s="21" t="s">
        <v>268</v>
      </c>
      <c r="F31" s="33" t="s">
        <v>269</v>
      </c>
      <c r="G31" s="57"/>
      <c r="H31" s="54"/>
      <c r="I31" s="67"/>
      <c r="J31" s="57">
        <f t="shared" si="0"/>
        <v>0</v>
      </c>
      <c r="K31" s="57"/>
      <c r="L31" s="57"/>
      <c r="M31" s="57"/>
    </row>
    <row r="32" spans="1:13">
      <c r="A32" s="64">
        <v>43556</v>
      </c>
      <c r="B32" s="21" t="s">
        <v>391</v>
      </c>
      <c r="C32" s="103"/>
      <c r="D32" s="21" t="s">
        <v>70</v>
      </c>
      <c r="E32" s="21" t="s">
        <v>268</v>
      </c>
      <c r="F32" s="33" t="s">
        <v>271</v>
      </c>
      <c r="G32" s="57"/>
      <c r="H32" s="54"/>
      <c r="I32" s="67"/>
      <c r="J32" s="57">
        <f t="shared" si="0"/>
        <v>0</v>
      </c>
      <c r="K32" s="57"/>
      <c r="L32" s="57"/>
      <c r="M32" s="57"/>
    </row>
    <row r="33" spans="1:13">
      <c r="A33" s="64">
        <v>43556</v>
      </c>
      <c r="B33" s="21" t="s">
        <v>391</v>
      </c>
      <c r="C33" s="103"/>
      <c r="D33" s="21" t="s">
        <v>276</v>
      </c>
      <c r="E33" s="21" t="s">
        <v>52</v>
      </c>
      <c r="F33" s="33" t="s">
        <v>53</v>
      </c>
      <c r="G33" s="57"/>
      <c r="H33" s="54"/>
      <c r="I33" s="67"/>
      <c r="J33" s="57">
        <f t="shared" si="0"/>
        <v>0</v>
      </c>
      <c r="K33" s="57"/>
      <c r="L33" s="57"/>
      <c r="M33" s="57"/>
    </row>
    <row r="34" spans="1:13">
      <c r="A34" s="64">
        <v>43556</v>
      </c>
      <c r="B34" s="21" t="s">
        <v>391</v>
      </c>
      <c r="C34" s="103"/>
      <c r="D34" s="21" t="s">
        <v>276</v>
      </c>
      <c r="E34" s="21" t="s">
        <v>52</v>
      </c>
      <c r="F34" s="33" t="s">
        <v>277</v>
      </c>
      <c r="G34" s="57"/>
      <c r="H34" s="54"/>
      <c r="I34" s="67"/>
      <c r="J34" s="57">
        <f t="shared" si="0"/>
        <v>0</v>
      </c>
      <c r="K34" s="57"/>
      <c r="L34" s="57"/>
      <c r="M34" s="57"/>
    </row>
    <row r="35" spans="1:13">
      <c r="A35" s="64">
        <v>43556</v>
      </c>
      <c r="B35" s="21" t="s">
        <v>391</v>
      </c>
      <c r="C35" s="104"/>
      <c r="D35" s="21" t="s">
        <v>276</v>
      </c>
      <c r="E35" s="21" t="s">
        <v>52</v>
      </c>
      <c r="F35" s="33" t="s">
        <v>54</v>
      </c>
      <c r="G35" s="57"/>
      <c r="H35" s="54"/>
      <c r="I35" s="67"/>
      <c r="J35" s="57">
        <f t="shared" si="0"/>
        <v>0</v>
      </c>
      <c r="K35" s="57"/>
      <c r="L35" s="57"/>
      <c r="M35" s="57"/>
    </row>
    <row r="36" spans="1:13">
      <c r="A36" s="64">
        <v>43556</v>
      </c>
      <c r="B36" s="21" t="s">
        <v>391</v>
      </c>
      <c r="C36" s="105" t="s">
        <v>106</v>
      </c>
      <c r="D36" s="21" t="s">
        <v>127</v>
      </c>
      <c r="E36" s="21" t="s">
        <v>117</v>
      </c>
      <c r="F36" s="33" t="s">
        <v>118</v>
      </c>
      <c r="G36" s="57"/>
      <c r="H36" s="54"/>
      <c r="I36" s="79"/>
      <c r="J36" s="57">
        <f t="shared" si="0"/>
        <v>0</v>
      </c>
      <c r="K36" s="57">
        <f>(J36+J37+J38+J39)*0.15*N2</f>
        <v>0</v>
      </c>
      <c r="L36" s="57"/>
      <c r="M36" s="57"/>
    </row>
    <row r="37" spans="1:13">
      <c r="A37" s="64">
        <v>43556</v>
      </c>
      <c r="B37" s="21" t="s">
        <v>391</v>
      </c>
      <c r="C37" s="105"/>
      <c r="D37" s="21" t="s">
        <v>127</v>
      </c>
      <c r="E37" s="21" t="s">
        <v>117</v>
      </c>
      <c r="F37" s="33" t="s">
        <v>119</v>
      </c>
      <c r="G37" s="57"/>
      <c r="H37" s="54"/>
      <c r="I37" s="67"/>
      <c r="J37" s="57">
        <f t="shared" si="0"/>
        <v>0</v>
      </c>
      <c r="K37" s="57"/>
      <c r="L37" s="57"/>
      <c r="M37" s="57"/>
    </row>
    <row r="38" spans="1:13">
      <c r="A38" s="64">
        <v>43556</v>
      </c>
      <c r="B38" s="21" t="s">
        <v>391</v>
      </c>
      <c r="C38" s="105"/>
      <c r="D38" s="21" t="s">
        <v>116</v>
      </c>
      <c r="E38" s="21" t="s">
        <v>117</v>
      </c>
      <c r="F38" s="33" t="s">
        <v>118</v>
      </c>
      <c r="G38" s="57"/>
      <c r="H38" s="54"/>
      <c r="I38" s="67"/>
      <c r="J38" s="57">
        <f t="shared" si="0"/>
        <v>0</v>
      </c>
      <c r="K38" s="57"/>
      <c r="L38" s="57"/>
      <c r="M38" s="57"/>
    </row>
    <row r="39" spans="1:13">
      <c r="A39" s="64">
        <v>43556</v>
      </c>
      <c r="B39" s="21" t="s">
        <v>391</v>
      </c>
      <c r="C39" s="105"/>
      <c r="D39" s="21" t="s">
        <v>116</v>
      </c>
      <c r="E39" s="21" t="s">
        <v>117</v>
      </c>
      <c r="F39" s="33" t="s">
        <v>119</v>
      </c>
      <c r="G39" s="57"/>
      <c r="H39" s="54"/>
      <c r="I39" s="67"/>
      <c r="J39" s="57">
        <f t="shared" si="0"/>
        <v>0</v>
      </c>
      <c r="K39" s="57"/>
      <c r="L39" s="57"/>
      <c r="M39" s="57"/>
    </row>
    <row r="40" spans="1:13">
      <c r="A40" s="64">
        <v>43556</v>
      </c>
      <c r="B40" s="21" t="s">
        <v>391</v>
      </c>
      <c r="C40" s="105"/>
      <c r="D40" s="21" t="s">
        <v>137</v>
      </c>
      <c r="E40" s="21" t="s">
        <v>113</v>
      </c>
      <c r="F40" s="33" t="s">
        <v>114</v>
      </c>
      <c r="G40" s="57"/>
      <c r="H40" s="54"/>
      <c r="I40" s="67"/>
      <c r="J40" s="57">
        <f t="shared" si="0"/>
        <v>0</v>
      </c>
      <c r="K40" s="57"/>
      <c r="L40" s="57"/>
      <c r="M40" s="57"/>
    </row>
    <row r="41" spans="1:13">
      <c r="A41" s="64">
        <v>43556</v>
      </c>
      <c r="B41" s="21" t="s">
        <v>391</v>
      </c>
      <c r="C41" s="105"/>
      <c r="D41" s="21" t="s">
        <v>137</v>
      </c>
      <c r="E41" s="21" t="s">
        <v>113</v>
      </c>
      <c r="F41" s="33" t="s">
        <v>115</v>
      </c>
      <c r="G41" s="57"/>
      <c r="H41" s="54"/>
      <c r="I41" s="67"/>
      <c r="J41" s="57">
        <f t="shared" si="0"/>
        <v>0</v>
      </c>
      <c r="K41" s="57"/>
      <c r="L41" s="57"/>
      <c r="M41" s="57"/>
    </row>
    <row r="42" spans="1:13">
      <c r="A42" s="64">
        <v>43556</v>
      </c>
      <c r="B42" s="21" t="s">
        <v>391</v>
      </c>
      <c r="C42" s="105"/>
      <c r="D42" s="21" t="s">
        <v>138</v>
      </c>
      <c r="E42" s="21" t="s">
        <v>108</v>
      </c>
      <c r="F42" s="33" t="s">
        <v>109</v>
      </c>
      <c r="G42" s="57"/>
      <c r="H42" s="54"/>
      <c r="I42" s="79"/>
      <c r="J42" s="57">
        <f t="shared" si="0"/>
        <v>0</v>
      </c>
      <c r="K42" s="57">
        <f>(J42+J43+J49+J50+J54+J53+J44)*0.03*N2</f>
        <v>0</v>
      </c>
      <c r="L42" s="57">
        <f>K42/0.03*0.25</f>
        <v>0</v>
      </c>
      <c r="M42" s="57">
        <f t="shared" ref="M42:M47" si="1">L42-K42</f>
        <v>0</v>
      </c>
    </row>
    <row r="43" spans="1:13">
      <c r="A43" s="64">
        <v>43556</v>
      </c>
      <c r="B43" s="21" t="s">
        <v>391</v>
      </c>
      <c r="C43" s="105"/>
      <c r="D43" s="21" t="s">
        <v>138</v>
      </c>
      <c r="E43" s="21" t="s">
        <v>108</v>
      </c>
      <c r="F43" s="33" t="s">
        <v>110</v>
      </c>
      <c r="G43" s="57"/>
      <c r="H43" s="54"/>
      <c r="I43" s="67"/>
      <c r="J43" s="57">
        <f t="shared" si="0"/>
        <v>0</v>
      </c>
      <c r="K43" s="57"/>
      <c r="L43" s="57"/>
      <c r="M43" s="57"/>
    </row>
    <row r="44" spans="1:13">
      <c r="A44" s="64"/>
      <c r="C44" s="105"/>
      <c r="D44" s="21" t="s">
        <v>285</v>
      </c>
      <c r="E44" s="21" t="s">
        <v>108</v>
      </c>
      <c r="F44" s="33" t="s">
        <v>109</v>
      </c>
      <c r="G44" s="57"/>
      <c r="H44" s="54"/>
      <c r="I44" s="67"/>
      <c r="J44" s="57">
        <f t="shared" si="0"/>
        <v>0</v>
      </c>
      <c r="K44" s="57"/>
      <c r="L44" s="57"/>
      <c r="M44" s="57"/>
    </row>
    <row r="45" spans="1:13">
      <c r="A45" s="64">
        <v>43556</v>
      </c>
      <c r="B45" s="21" t="s">
        <v>391</v>
      </c>
      <c r="C45" s="105"/>
      <c r="D45" s="21" t="s">
        <v>120</v>
      </c>
      <c r="E45" s="21" t="s">
        <v>121</v>
      </c>
      <c r="F45" s="33" t="s">
        <v>122</v>
      </c>
      <c r="G45" s="57"/>
      <c r="H45" s="54"/>
      <c r="I45" s="79"/>
      <c r="J45" s="57">
        <f t="shared" si="0"/>
        <v>0</v>
      </c>
      <c r="K45" s="57">
        <f>(J45+J46+J59+J60+J61+J62)*0.05*N2</f>
        <v>0</v>
      </c>
      <c r="L45" s="57">
        <f>K45/0.05*0.25</f>
        <v>0</v>
      </c>
      <c r="M45" s="57">
        <f t="shared" si="1"/>
        <v>0</v>
      </c>
    </row>
    <row r="46" spans="1:13">
      <c r="A46" s="64">
        <v>43556</v>
      </c>
      <c r="B46" s="21" t="s">
        <v>391</v>
      </c>
      <c r="C46" s="105"/>
      <c r="D46" s="21" t="s">
        <v>120</v>
      </c>
      <c r="E46" s="21" t="s">
        <v>121</v>
      </c>
      <c r="F46" s="33" t="s">
        <v>124</v>
      </c>
      <c r="G46" s="57"/>
      <c r="H46" s="54"/>
      <c r="I46" s="79"/>
      <c r="J46" s="57">
        <f t="shared" si="0"/>
        <v>0</v>
      </c>
      <c r="K46" s="57"/>
      <c r="L46" s="57"/>
      <c r="M46" s="57"/>
    </row>
    <row r="47" spans="1:13">
      <c r="A47" s="64">
        <v>43556</v>
      </c>
      <c r="B47" s="21" t="s">
        <v>391</v>
      </c>
      <c r="C47" s="105"/>
      <c r="D47" s="21" t="s">
        <v>126</v>
      </c>
      <c r="E47" s="21" t="s">
        <v>113</v>
      </c>
      <c r="F47" s="33" t="s">
        <v>114</v>
      </c>
      <c r="G47" s="57"/>
      <c r="H47" s="54"/>
      <c r="I47" s="79"/>
      <c r="J47" s="57">
        <f t="shared" si="0"/>
        <v>0</v>
      </c>
      <c r="K47" s="57"/>
      <c r="L47" s="57">
        <f>K47/0.03*0.25</f>
        <v>0</v>
      </c>
      <c r="M47" s="57">
        <f t="shared" si="1"/>
        <v>0</v>
      </c>
    </row>
    <row r="48" spans="1:13">
      <c r="A48" s="64">
        <v>43556</v>
      </c>
      <c r="B48" s="21" t="s">
        <v>391</v>
      </c>
      <c r="C48" s="105"/>
      <c r="D48" s="21" t="s">
        <v>126</v>
      </c>
      <c r="E48" s="21" t="s">
        <v>113</v>
      </c>
      <c r="F48" s="33" t="s">
        <v>115</v>
      </c>
      <c r="G48" s="57"/>
      <c r="H48" s="54"/>
      <c r="I48" s="79"/>
      <c r="J48" s="57">
        <f t="shared" si="0"/>
        <v>0</v>
      </c>
      <c r="K48" s="57"/>
      <c r="L48" s="57"/>
      <c r="M48" s="57"/>
    </row>
    <row r="49" spans="1:13">
      <c r="A49" s="64">
        <v>43556</v>
      </c>
      <c r="B49" s="21" t="s">
        <v>391</v>
      </c>
      <c r="C49" s="105"/>
      <c r="D49" s="21" t="s">
        <v>107</v>
      </c>
      <c r="E49" s="21" t="s">
        <v>108</v>
      </c>
      <c r="F49" s="33" t="s">
        <v>109</v>
      </c>
      <c r="G49" s="57"/>
      <c r="H49" s="54"/>
      <c r="I49" s="79"/>
      <c r="J49" s="57">
        <f t="shared" si="0"/>
        <v>0</v>
      </c>
      <c r="K49" s="57"/>
      <c r="L49" s="57">
        <f>K49/0.05*0.25</f>
        <v>0</v>
      </c>
      <c r="M49" s="57">
        <f>L49-K49</f>
        <v>0</v>
      </c>
    </row>
    <row r="50" spans="1:13">
      <c r="A50" s="64">
        <v>43556</v>
      </c>
      <c r="B50" s="21" t="s">
        <v>391</v>
      </c>
      <c r="C50" s="105"/>
      <c r="D50" s="21" t="s">
        <v>107</v>
      </c>
      <c r="E50" s="21" t="s">
        <v>108</v>
      </c>
      <c r="F50" s="33" t="s">
        <v>110</v>
      </c>
      <c r="G50" s="57"/>
      <c r="H50" s="54"/>
      <c r="I50" s="67"/>
      <c r="J50" s="57">
        <f t="shared" ref="J50:J98" si="2">G50*H50*0.98-I50</f>
        <v>0</v>
      </c>
      <c r="K50" s="57"/>
      <c r="L50" s="57"/>
      <c r="M50" s="57"/>
    </row>
    <row r="51" spans="1:13">
      <c r="A51" s="64">
        <v>43556</v>
      </c>
      <c r="B51" s="21" t="s">
        <v>391</v>
      </c>
      <c r="C51" s="105"/>
      <c r="D51" s="21" t="s">
        <v>280</v>
      </c>
      <c r="E51" s="21" t="s">
        <v>113</v>
      </c>
      <c r="F51" s="33" t="s">
        <v>135</v>
      </c>
      <c r="G51" s="57"/>
      <c r="H51" s="54"/>
      <c r="I51" s="79"/>
      <c r="J51" s="57">
        <f t="shared" si="2"/>
        <v>0</v>
      </c>
      <c r="K51" s="57"/>
      <c r="L51" s="57"/>
      <c r="M51" s="57"/>
    </row>
    <row r="52" spans="1:13">
      <c r="A52" s="64"/>
      <c r="C52" s="105"/>
      <c r="D52" s="21" t="s">
        <v>134</v>
      </c>
      <c r="E52" s="21" t="s">
        <v>113</v>
      </c>
      <c r="F52" s="33" t="s">
        <v>135</v>
      </c>
      <c r="G52" s="57"/>
      <c r="H52" s="54"/>
      <c r="I52" s="79"/>
      <c r="J52" s="57">
        <f t="shared" si="2"/>
        <v>0</v>
      </c>
      <c r="K52" s="57"/>
      <c r="L52" s="57"/>
      <c r="M52" s="57"/>
    </row>
    <row r="53" spans="1:13">
      <c r="A53" s="64">
        <v>43556</v>
      </c>
      <c r="B53" s="21" t="s">
        <v>391</v>
      </c>
      <c r="C53" s="105"/>
      <c r="D53" s="21" t="s">
        <v>111</v>
      </c>
      <c r="E53" s="21" t="s">
        <v>108</v>
      </c>
      <c r="F53" s="33" t="s">
        <v>109</v>
      </c>
      <c r="G53" s="57"/>
      <c r="H53" s="54"/>
      <c r="I53" s="68"/>
      <c r="J53" s="57">
        <f t="shared" si="2"/>
        <v>0</v>
      </c>
      <c r="K53" s="57"/>
      <c r="L53" s="57"/>
      <c r="M53" s="57"/>
    </row>
    <row r="54" spans="1:13">
      <c r="A54" s="64"/>
      <c r="C54" s="105"/>
      <c r="D54" s="21" t="s">
        <v>111</v>
      </c>
      <c r="E54" s="21" t="s">
        <v>108</v>
      </c>
      <c r="F54" s="33" t="s">
        <v>110</v>
      </c>
      <c r="G54" s="57"/>
      <c r="H54" s="54"/>
      <c r="I54" s="79"/>
      <c r="J54" s="57">
        <f t="shared" si="2"/>
        <v>0</v>
      </c>
      <c r="K54" s="57"/>
      <c r="L54" s="57"/>
      <c r="M54" s="57"/>
    </row>
    <row r="55" spans="1:13">
      <c r="A55" s="64">
        <v>43556</v>
      </c>
      <c r="B55" s="21" t="s">
        <v>391</v>
      </c>
      <c r="C55" s="105"/>
      <c r="D55" s="21" t="s">
        <v>128</v>
      </c>
      <c r="E55" s="21" t="s">
        <v>129</v>
      </c>
      <c r="F55" s="33" t="s">
        <v>130</v>
      </c>
      <c r="G55" s="57"/>
      <c r="H55" s="54"/>
      <c r="I55" s="68"/>
      <c r="J55" s="57">
        <f t="shared" si="2"/>
        <v>0</v>
      </c>
      <c r="K55" s="57">
        <f>(J55+J56+J57+J58)*0.05*N2</f>
        <v>0</v>
      </c>
      <c r="L55" s="57">
        <f>K55/0.05*0.25</f>
        <v>0</v>
      </c>
      <c r="M55" s="57">
        <f>L55-K55</f>
        <v>0</v>
      </c>
    </row>
    <row r="56" spans="1:13">
      <c r="A56" s="64">
        <v>43556</v>
      </c>
      <c r="B56" s="21" t="s">
        <v>391</v>
      </c>
      <c r="C56" s="105"/>
      <c r="D56" s="21" t="s">
        <v>128</v>
      </c>
      <c r="E56" s="21" t="s">
        <v>129</v>
      </c>
      <c r="F56" s="33" t="s">
        <v>131</v>
      </c>
      <c r="G56" s="57"/>
      <c r="H56" s="54"/>
      <c r="I56" s="79"/>
      <c r="J56" s="57">
        <f t="shared" si="2"/>
        <v>0</v>
      </c>
      <c r="K56" s="57"/>
      <c r="L56" s="57"/>
      <c r="M56" s="57"/>
    </row>
    <row r="57" spans="1:13" ht="14.25" customHeight="1">
      <c r="A57" s="64">
        <v>43556</v>
      </c>
      <c r="B57" s="21" t="s">
        <v>391</v>
      </c>
      <c r="C57" s="105"/>
      <c r="D57" s="21" t="s">
        <v>133</v>
      </c>
      <c r="E57" s="21" t="s">
        <v>129</v>
      </c>
      <c r="F57" s="33" t="s">
        <v>130</v>
      </c>
      <c r="G57" s="57"/>
      <c r="H57" s="54"/>
      <c r="I57" s="79"/>
      <c r="J57" s="57">
        <f t="shared" si="2"/>
        <v>0</v>
      </c>
      <c r="K57" s="57"/>
      <c r="L57" s="57">
        <f>K57/0.03*0.25</f>
        <v>0</v>
      </c>
      <c r="M57" s="57">
        <f>L57-K57</f>
        <v>0</v>
      </c>
    </row>
    <row r="58" spans="1:13" ht="14.25" customHeight="1">
      <c r="A58" s="64">
        <v>43556</v>
      </c>
      <c r="B58" s="21" t="s">
        <v>391</v>
      </c>
      <c r="C58" s="105"/>
      <c r="D58" s="21" t="s">
        <v>133</v>
      </c>
      <c r="E58" s="21" t="s">
        <v>129</v>
      </c>
      <c r="F58" s="33" t="s">
        <v>131</v>
      </c>
      <c r="G58" s="57"/>
      <c r="H58" s="54"/>
      <c r="I58" s="79"/>
      <c r="J58" s="57">
        <f t="shared" si="2"/>
        <v>0</v>
      </c>
      <c r="K58" s="57"/>
      <c r="L58" s="57"/>
      <c r="M58" s="57"/>
    </row>
    <row r="59" spans="1:13" ht="14.25" customHeight="1">
      <c r="A59" s="64">
        <v>43556</v>
      </c>
      <c r="B59" s="21" t="s">
        <v>391</v>
      </c>
      <c r="C59" s="105"/>
      <c r="D59" s="21" t="s">
        <v>123</v>
      </c>
      <c r="E59" s="21" t="s">
        <v>121</v>
      </c>
      <c r="F59" s="33" t="s">
        <v>122</v>
      </c>
      <c r="G59" s="57"/>
      <c r="H59" s="54"/>
      <c r="I59" s="79"/>
      <c r="J59" s="57">
        <f t="shared" si="2"/>
        <v>0</v>
      </c>
      <c r="K59" s="57"/>
      <c r="L59" s="57"/>
      <c r="M59" s="57"/>
    </row>
    <row r="60" spans="1:13" ht="14.25" customHeight="1">
      <c r="A60" s="64">
        <v>43556</v>
      </c>
      <c r="B60" s="21" t="s">
        <v>391</v>
      </c>
      <c r="C60" s="105"/>
      <c r="D60" s="21" t="s">
        <v>123</v>
      </c>
      <c r="E60" s="21" t="s">
        <v>121</v>
      </c>
      <c r="F60" s="33" t="s">
        <v>124</v>
      </c>
      <c r="G60" s="57"/>
      <c r="H60" s="54"/>
      <c r="I60" s="67"/>
      <c r="J60" s="57">
        <f t="shared" si="2"/>
        <v>0</v>
      </c>
      <c r="K60" s="57"/>
      <c r="L60" s="57"/>
      <c r="M60" s="57"/>
    </row>
    <row r="61" spans="1:13" ht="14.25" customHeight="1">
      <c r="A61" s="64">
        <v>43556</v>
      </c>
      <c r="B61" s="21" t="s">
        <v>391</v>
      </c>
      <c r="C61" s="105"/>
      <c r="D61" s="21" t="s">
        <v>125</v>
      </c>
      <c r="E61" s="21" t="s">
        <v>121</v>
      </c>
      <c r="F61" s="33" t="s">
        <v>122</v>
      </c>
      <c r="G61" s="57"/>
      <c r="H61" s="54"/>
      <c r="I61" s="79"/>
      <c r="J61" s="57">
        <f t="shared" si="2"/>
        <v>0</v>
      </c>
      <c r="K61" s="57"/>
      <c r="L61" s="57"/>
      <c r="M61" s="57"/>
    </row>
    <row r="62" spans="1:13" ht="14.25" customHeight="1">
      <c r="A62" s="64">
        <v>43556</v>
      </c>
      <c r="B62" s="21" t="s">
        <v>391</v>
      </c>
      <c r="C62" s="105"/>
      <c r="D62" s="21" t="s">
        <v>125</v>
      </c>
      <c r="E62" s="21" t="s">
        <v>121</v>
      </c>
      <c r="F62" s="33" t="s">
        <v>124</v>
      </c>
      <c r="G62" s="57"/>
      <c r="H62" s="54"/>
      <c r="I62" s="67"/>
      <c r="J62" s="57">
        <f t="shared" si="2"/>
        <v>0</v>
      </c>
      <c r="K62" s="57"/>
      <c r="L62" s="57"/>
      <c r="M62" s="57"/>
    </row>
    <row r="63" spans="1:13" ht="14.25" customHeight="1">
      <c r="A63" s="64">
        <v>43556</v>
      </c>
      <c r="B63" s="21" t="s">
        <v>391</v>
      </c>
      <c r="C63" s="105"/>
      <c r="D63" s="21" t="s">
        <v>304</v>
      </c>
      <c r="E63" s="21" t="s">
        <v>244</v>
      </c>
      <c r="F63" s="33" t="s">
        <v>392</v>
      </c>
      <c r="G63" s="57"/>
      <c r="H63" s="54"/>
      <c r="I63" s="67"/>
      <c r="J63" s="57">
        <f t="shared" si="2"/>
        <v>0</v>
      </c>
      <c r="K63" s="57"/>
      <c r="L63" s="57"/>
      <c r="M63" s="57"/>
    </row>
    <row r="64" spans="1:13" ht="14.25" customHeight="1">
      <c r="A64" s="64">
        <v>43556</v>
      </c>
      <c r="B64" s="21" t="s">
        <v>391</v>
      </c>
      <c r="C64" s="105"/>
      <c r="D64" s="21" t="s">
        <v>304</v>
      </c>
      <c r="E64" s="21" t="s">
        <v>244</v>
      </c>
      <c r="F64" s="33" t="s">
        <v>245</v>
      </c>
      <c r="G64" s="57"/>
      <c r="H64" s="54"/>
      <c r="I64" s="67"/>
      <c r="J64" s="57">
        <f t="shared" si="2"/>
        <v>0</v>
      </c>
      <c r="K64" s="57"/>
      <c r="L64" s="57"/>
      <c r="M64" s="57"/>
    </row>
    <row r="65" spans="1:13" ht="14.25" customHeight="1">
      <c r="A65" s="64">
        <v>43556</v>
      </c>
      <c r="B65" s="21" t="s">
        <v>391</v>
      </c>
      <c r="C65" s="105"/>
      <c r="D65" s="21" t="s">
        <v>112</v>
      </c>
      <c r="E65" s="21" t="s">
        <v>113</v>
      </c>
      <c r="F65" s="33" t="s">
        <v>114</v>
      </c>
      <c r="G65" s="57"/>
      <c r="H65" s="54"/>
      <c r="I65" s="79"/>
      <c r="J65" s="57">
        <f t="shared" si="2"/>
        <v>0</v>
      </c>
      <c r="K65" s="57"/>
      <c r="L65" s="57">
        <f>K65/0.03*0.25</f>
        <v>0</v>
      </c>
      <c r="M65" s="57">
        <f t="shared" ref="M65:M69" si="3">L65-K65</f>
        <v>0</v>
      </c>
    </row>
    <row r="66" spans="1:13" ht="14.25" customHeight="1">
      <c r="A66" s="64">
        <v>43556</v>
      </c>
      <c r="B66" s="21" t="s">
        <v>391</v>
      </c>
      <c r="C66" s="105"/>
      <c r="D66" s="21" t="s">
        <v>112</v>
      </c>
      <c r="E66" s="21" t="s">
        <v>113</v>
      </c>
      <c r="F66" s="33" t="s">
        <v>115</v>
      </c>
      <c r="G66" s="57"/>
      <c r="H66" s="54"/>
      <c r="I66" s="79"/>
      <c r="J66" s="57">
        <f t="shared" si="2"/>
        <v>0</v>
      </c>
      <c r="K66" s="57"/>
      <c r="L66" s="57"/>
      <c r="M66" s="57"/>
    </row>
    <row r="67" spans="1:13">
      <c r="A67" s="64">
        <v>43556</v>
      </c>
      <c r="B67" s="21" t="s">
        <v>391</v>
      </c>
      <c r="C67" s="102" t="s">
        <v>139</v>
      </c>
      <c r="D67" s="21" t="s">
        <v>166</v>
      </c>
      <c r="E67" s="21" t="s">
        <v>331</v>
      </c>
      <c r="F67" s="33" t="s">
        <v>393</v>
      </c>
      <c r="G67" s="57"/>
      <c r="H67" s="54"/>
      <c r="I67" s="67"/>
      <c r="J67" s="57">
        <f t="shared" si="2"/>
        <v>0</v>
      </c>
      <c r="K67" s="57">
        <f>(J67+J68)*0.05*N2</f>
        <v>0</v>
      </c>
      <c r="L67" s="57">
        <f t="shared" ref="L67:L71" si="4">K67/0.05*0.25</f>
        <v>0</v>
      </c>
      <c r="M67" s="57">
        <f t="shared" si="3"/>
        <v>0</v>
      </c>
    </row>
    <row r="68" spans="1:13">
      <c r="A68" s="64">
        <v>43556</v>
      </c>
      <c r="B68" s="21" t="s">
        <v>391</v>
      </c>
      <c r="C68" s="103"/>
      <c r="D68" s="21" t="s">
        <v>166</v>
      </c>
      <c r="E68" s="21" t="s">
        <v>331</v>
      </c>
      <c r="F68" s="33" t="s">
        <v>394</v>
      </c>
      <c r="G68" s="57"/>
      <c r="H68" s="54"/>
      <c r="I68" s="67"/>
      <c r="J68" s="57">
        <f t="shared" si="2"/>
        <v>0</v>
      </c>
      <c r="K68" s="57"/>
      <c r="L68" s="57"/>
      <c r="M68" s="57"/>
    </row>
    <row r="69" spans="1:13" ht="12.95" customHeight="1">
      <c r="A69" s="64">
        <v>43556</v>
      </c>
      <c r="B69" s="21" t="s">
        <v>391</v>
      </c>
      <c r="C69" s="103"/>
      <c r="D69" s="21" t="s">
        <v>175</v>
      </c>
      <c r="E69" s="21" t="s">
        <v>176</v>
      </c>
      <c r="F69" s="33" t="s">
        <v>179</v>
      </c>
      <c r="G69" s="57"/>
      <c r="H69" s="54"/>
      <c r="I69" s="67"/>
      <c r="J69" s="57">
        <f t="shared" si="2"/>
        <v>0</v>
      </c>
      <c r="K69" s="57"/>
      <c r="L69" s="57">
        <f t="shared" si="4"/>
        <v>0</v>
      </c>
      <c r="M69" s="57">
        <f t="shared" si="3"/>
        <v>0</v>
      </c>
    </row>
    <row r="70" spans="1:13" ht="12.95" customHeight="1">
      <c r="A70" s="64">
        <v>43556</v>
      </c>
      <c r="B70" s="21" t="s">
        <v>391</v>
      </c>
      <c r="C70" s="103"/>
      <c r="D70" s="21" t="s">
        <v>88</v>
      </c>
      <c r="E70" s="21" t="s">
        <v>287</v>
      </c>
      <c r="F70" s="33" t="s">
        <v>288</v>
      </c>
      <c r="G70" s="57"/>
      <c r="H70" s="54"/>
      <c r="I70" s="67"/>
      <c r="J70" s="57">
        <f t="shared" si="2"/>
        <v>0</v>
      </c>
      <c r="K70" s="57"/>
      <c r="L70" s="57"/>
      <c r="M70" s="57"/>
    </row>
    <row r="71" spans="1:13" ht="12.95" customHeight="1">
      <c r="A71" s="64">
        <v>43556</v>
      </c>
      <c r="B71" s="21" t="s">
        <v>391</v>
      </c>
      <c r="C71" s="103"/>
      <c r="D71" s="21" t="s">
        <v>154</v>
      </c>
      <c r="E71" s="21" t="s">
        <v>181</v>
      </c>
      <c r="F71" s="33" t="s">
        <v>182</v>
      </c>
      <c r="G71" s="57"/>
      <c r="H71" s="54"/>
      <c r="I71" s="68"/>
      <c r="J71" s="57">
        <f t="shared" si="2"/>
        <v>0</v>
      </c>
      <c r="K71" s="57">
        <f>(J71+J72+J73)*0.05*N2</f>
        <v>0</v>
      </c>
      <c r="L71" s="57">
        <f t="shared" si="4"/>
        <v>0</v>
      </c>
      <c r="M71" s="57">
        <f>L71-K71</f>
        <v>0</v>
      </c>
    </row>
    <row r="72" spans="1:13" ht="12.95" customHeight="1">
      <c r="A72" s="64">
        <v>43556</v>
      </c>
      <c r="B72" s="21" t="s">
        <v>391</v>
      </c>
      <c r="C72" s="103"/>
      <c r="D72" s="21" t="s">
        <v>154</v>
      </c>
      <c r="E72" s="21" t="s">
        <v>181</v>
      </c>
      <c r="F72" s="33" t="s">
        <v>183</v>
      </c>
      <c r="G72" s="57"/>
      <c r="H72" s="54"/>
      <c r="I72" s="68"/>
      <c r="J72" s="57">
        <f t="shared" si="2"/>
        <v>0</v>
      </c>
      <c r="K72" s="57"/>
      <c r="L72" s="57"/>
      <c r="M72" s="57"/>
    </row>
    <row r="73" spans="1:13" ht="12.95" customHeight="1">
      <c r="A73" s="64">
        <v>43556</v>
      </c>
      <c r="B73" s="21" t="s">
        <v>391</v>
      </c>
      <c r="C73" s="103"/>
      <c r="D73" s="21" t="s">
        <v>154</v>
      </c>
      <c r="E73" s="21" t="s">
        <v>181</v>
      </c>
      <c r="F73" s="33" t="s">
        <v>184</v>
      </c>
      <c r="G73" s="57"/>
      <c r="H73" s="54"/>
      <c r="I73" s="67"/>
      <c r="J73" s="57">
        <f t="shared" si="2"/>
        <v>0</v>
      </c>
      <c r="K73" s="57"/>
      <c r="L73" s="57"/>
      <c r="M73" s="57"/>
    </row>
    <row r="74" spans="1:13" ht="12.95" customHeight="1">
      <c r="A74" s="64">
        <v>43556</v>
      </c>
      <c r="B74" s="21" t="s">
        <v>391</v>
      </c>
      <c r="C74" s="103"/>
      <c r="D74" s="21" t="s">
        <v>146</v>
      </c>
      <c r="E74" s="21" t="s">
        <v>287</v>
      </c>
      <c r="F74" s="33" t="s">
        <v>288</v>
      </c>
      <c r="G74" s="57"/>
      <c r="H74" s="54"/>
      <c r="I74" s="67"/>
      <c r="J74" s="57">
        <f t="shared" si="2"/>
        <v>0</v>
      </c>
      <c r="K74" s="57"/>
      <c r="L74" s="57">
        <f>K74/0.04*0.25</f>
        <v>0</v>
      </c>
      <c r="M74" s="57">
        <f>L74-K74</f>
        <v>0</v>
      </c>
    </row>
    <row r="75" spans="1:13" ht="12.95" customHeight="1">
      <c r="A75" s="64">
        <v>43556</v>
      </c>
      <c r="B75" s="21" t="s">
        <v>391</v>
      </c>
      <c r="C75" s="103"/>
      <c r="D75" s="21" t="s">
        <v>140</v>
      </c>
      <c r="E75" s="21" t="s">
        <v>141</v>
      </c>
      <c r="F75" s="33" t="s">
        <v>153</v>
      </c>
      <c r="G75" s="57"/>
      <c r="H75" s="54"/>
      <c r="I75" s="67"/>
      <c r="J75" s="57">
        <f t="shared" si="2"/>
        <v>0</v>
      </c>
      <c r="K75" s="57"/>
      <c r="L75" s="57"/>
      <c r="M75" s="57"/>
    </row>
    <row r="76" spans="1:13" ht="12.95" customHeight="1">
      <c r="A76" s="64"/>
      <c r="C76" s="103"/>
      <c r="D76" s="21" t="s">
        <v>140</v>
      </c>
      <c r="E76" s="21" t="s">
        <v>141</v>
      </c>
      <c r="F76" s="33" t="s">
        <v>143</v>
      </c>
      <c r="G76" s="57"/>
      <c r="H76" s="54"/>
      <c r="I76" s="67"/>
      <c r="J76" s="57">
        <f t="shared" si="2"/>
        <v>0</v>
      </c>
      <c r="K76" s="57"/>
      <c r="L76" s="57"/>
      <c r="M76" s="57"/>
    </row>
    <row r="77" spans="1:13" ht="12.95" customHeight="1">
      <c r="A77" s="64">
        <v>43556</v>
      </c>
      <c r="B77" s="21" t="s">
        <v>391</v>
      </c>
      <c r="C77" s="103"/>
      <c r="D77" s="21" t="s">
        <v>148</v>
      </c>
      <c r="E77" s="21" t="s">
        <v>287</v>
      </c>
      <c r="F77" s="33" t="s">
        <v>288</v>
      </c>
      <c r="G77" s="57"/>
      <c r="H77" s="54"/>
      <c r="I77" s="67"/>
      <c r="J77" s="57">
        <f t="shared" si="2"/>
        <v>0</v>
      </c>
      <c r="K77" s="57"/>
      <c r="L77" s="57"/>
      <c r="M77" s="57"/>
    </row>
    <row r="78" spans="1:13" ht="12.95" customHeight="1">
      <c r="A78" s="64">
        <v>43556</v>
      </c>
      <c r="B78" s="21" t="s">
        <v>391</v>
      </c>
      <c r="C78" s="103"/>
      <c r="D78" s="21" t="s">
        <v>160</v>
      </c>
      <c r="E78" s="21" t="s">
        <v>161</v>
      </c>
      <c r="F78" s="33" t="s">
        <v>290</v>
      </c>
      <c r="G78" s="57"/>
      <c r="H78" s="54"/>
      <c r="I78" s="67"/>
      <c r="J78" s="57">
        <f t="shared" si="2"/>
        <v>0</v>
      </c>
      <c r="K78" s="57">
        <f>(J78+J79)*0.04*N2</f>
        <v>0</v>
      </c>
      <c r="L78" s="57">
        <f>K78/0.04*0.25</f>
        <v>0</v>
      </c>
      <c r="M78" s="57">
        <f>L78-K78</f>
        <v>0</v>
      </c>
    </row>
    <row r="79" spans="1:13" ht="12.95" customHeight="1">
      <c r="A79" s="64"/>
      <c r="C79" s="103"/>
      <c r="D79" s="21" t="s">
        <v>160</v>
      </c>
      <c r="E79" s="21" t="s">
        <v>161</v>
      </c>
      <c r="F79" s="33" t="s">
        <v>162</v>
      </c>
      <c r="G79" s="57"/>
      <c r="H79" s="54"/>
      <c r="I79" s="67"/>
      <c r="J79" s="57">
        <f t="shared" si="2"/>
        <v>0</v>
      </c>
      <c r="K79" s="57"/>
      <c r="L79" s="57"/>
      <c r="M79" s="57"/>
    </row>
    <row r="80" spans="1:13" ht="12.95" customHeight="1">
      <c r="A80" s="64">
        <v>43556</v>
      </c>
      <c r="B80" s="21" t="s">
        <v>391</v>
      </c>
      <c r="C80" s="103"/>
      <c r="D80" s="21" t="s">
        <v>152</v>
      </c>
      <c r="E80" s="21" t="s">
        <v>141</v>
      </c>
      <c r="F80" s="33" t="s">
        <v>153</v>
      </c>
      <c r="G80" s="57"/>
      <c r="H80" s="54"/>
      <c r="I80" s="79"/>
      <c r="J80" s="57">
        <f t="shared" si="2"/>
        <v>0</v>
      </c>
      <c r="K80" s="57"/>
      <c r="L80" s="57"/>
      <c r="M80" s="57"/>
    </row>
    <row r="81" spans="1:13">
      <c r="A81" s="64">
        <v>43556</v>
      </c>
      <c r="B81" s="21" t="s">
        <v>391</v>
      </c>
      <c r="C81" s="103"/>
      <c r="D81" s="21" t="s">
        <v>152</v>
      </c>
      <c r="E81" s="21" t="s">
        <v>141</v>
      </c>
      <c r="F81" s="33" t="s">
        <v>142</v>
      </c>
      <c r="G81" s="57"/>
      <c r="H81" s="54"/>
      <c r="I81" s="67"/>
      <c r="J81" s="57">
        <f t="shared" si="2"/>
        <v>0</v>
      </c>
      <c r="K81" s="57">
        <f>(J81+J80+J75+J76)*0.03*N2</f>
        <v>0</v>
      </c>
      <c r="L81" s="57">
        <f>K81/0.03*0.25</f>
        <v>0</v>
      </c>
      <c r="M81" s="57">
        <f>L81-K81</f>
        <v>0</v>
      </c>
    </row>
    <row r="82" spans="1:13">
      <c r="A82" s="64">
        <v>43556</v>
      </c>
      <c r="B82" s="21" t="s">
        <v>391</v>
      </c>
      <c r="C82" s="103"/>
      <c r="D82" s="21" t="s">
        <v>158</v>
      </c>
      <c r="E82" s="21" t="s">
        <v>144</v>
      </c>
      <c r="F82" s="33" t="s">
        <v>145</v>
      </c>
      <c r="G82" s="57"/>
      <c r="H82" s="54"/>
      <c r="I82" s="67"/>
      <c r="J82" s="57">
        <f t="shared" si="2"/>
        <v>0</v>
      </c>
      <c r="K82" s="57">
        <f>(J82+J83+J84)*0.05*N2</f>
        <v>0</v>
      </c>
      <c r="L82" s="57">
        <f>K82/0.05*0.25</f>
        <v>0</v>
      </c>
      <c r="M82" s="57">
        <f>L82-K82</f>
        <v>0</v>
      </c>
    </row>
    <row r="83" spans="1:13">
      <c r="A83" s="64">
        <v>43556</v>
      </c>
      <c r="B83" s="21" t="s">
        <v>391</v>
      </c>
      <c r="C83" s="103"/>
      <c r="D83" s="21" t="s">
        <v>158</v>
      </c>
      <c r="E83" s="21" t="s">
        <v>144</v>
      </c>
      <c r="F83" s="33" t="s">
        <v>147</v>
      </c>
      <c r="G83" s="57"/>
      <c r="H83" s="54"/>
      <c r="I83" s="67"/>
      <c r="J83" s="57">
        <f t="shared" si="2"/>
        <v>0</v>
      </c>
      <c r="K83" s="57"/>
      <c r="L83" s="57"/>
      <c r="M83" s="57"/>
    </row>
    <row r="84" spans="1:13">
      <c r="A84" s="64"/>
      <c r="C84" s="103"/>
      <c r="D84" s="21" t="s">
        <v>165</v>
      </c>
      <c r="E84" s="21" t="s">
        <v>144</v>
      </c>
      <c r="F84" s="33" t="s">
        <v>147</v>
      </c>
      <c r="G84" s="57"/>
      <c r="H84" s="54"/>
      <c r="I84" s="67"/>
      <c r="J84" s="57">
        <f t="shared" si="2"/>
        <v>0</v>
      </c>
      <c r="K84" s="57"/>
      <c r="L84" s="57"/>
      <c r="M84" s="57"/>
    </row>
    <row r="85" spans="1:13">
      <c r="A85" s="64">
        <v>43556</v>
      </c>
      <c r="B85" s="21" t="s">
        <v>391</v>
      </c>
      <c r="C85" s="103"/>
      <c r="D85" s="75" t="s">
        <v>164</v>
      </c>
      <c r="E85" s="75" t="s">
        <v>149</v>
      </c>
      <c r="F85" s="75" t="s">
        <v>151</v>
      </c>
      <c r="G85" s="76"/>
      <c r="H85" s="77"/>
      <c r="I85" s="67"/>
      <c r="J85" s="57">
        <f t="shared" si="2"/>
        <v>0</v>
      </c>
      <c r="K85" s="57">
        <f>(J85)*0.25*N2</f>
        <v>0</v>
      </c>
      <c r="L85" s="57"/>
      <c r="M85" s="57"/>
    </row>
    <row r="86" spans="1:13">
      <c r="A86" s="64">
        <v>43556</v>
      </c>
      <c r="B86" s="21" t="s">
        <v>391</v>
      </c>
      <c r="C86" s="103"/>
      <c r="D86" s="21" t="s">
        <v>174</v>
      </c>
      <c r="E86" s="21" t="s">
        <v>170</v>
      </c>
      <c r="F86" s="33" t="s">
        <v>171</v>
      </c>
      <c r="G86" s="57"/>
      <c r="H86" s="54"/>
      <c r="I86" s="67"/>
      <c r="J86" s="57">
        <f t="shared" si="2"/>
        <v>0</v>
      </c>
      <c r="K86" s="57">
        <f>(J86+J88+J89+J90+J91+J87)*0.04*N2</f>
        <v>0</v>
      </c>
      <c r="L86" s="57">
        <f>K86/0.04*0.25</f>
        <v>0</v>
      </c>
      <c r="M86" s="57">
        <f>L86-K86</f>
        <v>0</v>
      </c>
    </row>
    <row r="87" spans="1:13">
      <c r="A87" s="64"/>
      <c r="C87" s="103"/>
      <c r="D87" s="21" t="s">
        <v>174</v>
      </c>
      <c r="E87" s="21" t="s">
        <v>170</v>
      </c>
      <c r="F87" s="33" t="s">
        <v>171</v>
      </c>
      <c r="G87" s="57"/>
      <c r="H87" s="54"/>
      <c r="I87" s="79"/>
      <c r="J87" s="57">
        <f t="shared" si="2"/>
        <v>0</v>
      </c>
      <c r="K87" s="57"/>
      <c r="L87" s="57"/>
      <c r="M87" s="57"/>
    </row>
    <row r="88" spans="1:13">
      <c r="A88" s="64"/>
      <c r="C88" s="103"/>
      <c r="D88" s="21" t="s">
        <v>174</v>
      </c>
      <c r="E88" s="21" t="s">
        <v>170</v>
      </c>
      <c r="F88" s="33" t="s">
        <v>173</v>
      </c>
      <c r="G88" s="57"/>
      <c r="H88" s="54"/>
      <c r="I88" s="68"/>
      <c r="J88" s="57">
        <f t="shared" si="2"/>
        <v>0</v>
      </c>
      <c r="K88" s="57"/>
      <c r="L88" s="57"/>
      <c r="M88" s="57"/>
    </row>
    <row r="89" spans="1:13">
      <c r="A89" s="64">
        <v>43556</v>
      </c>
      <c r="B89" s="21" t="s">
        <v>391</v>
      </c>
      <c r="C89" s="103"/>
      <c r="D89" s="21" t="s">
        <v>169</v>
      </c>
      <c r="E89" s="21" t="s">
        <v>170</v>
      </c>
      <c r="F89" s="33" t="s">
        <v>171</v>
      </c>
      <c r="G89" s="57"/>
      <c r="H89" s="54"/>
      <c r="I89" s="79"/>
      <c r="J89" s="57">
        <f t="shared" si="2"/>
        <v>0</v>
      </c>
      <c r="K89" s="57"/>
      <c r="L89" s="57"/>
      <c r="M89" s="57"/>
    </row>
    <row r="90" spans="1:13">
      <c r="A90" s="64">
        <v>43556</v>
      </c>
      <c r="B90" s="21" t="s">
        <v>391</v>
      </c>
      <c r="C90" s="103"/>
      <c r="D90" s="21" t="s">
        <v>169</v>
      </c>
      <c r="E90" s="21" t="s">
        <v>170</v>
      </c>
      <c r="F90" s="33" t="s">
        <v>172</v>
      </c>
      <c r="G90" s="57"/>
      <c r="H90" s="54"/>
      <c r="I90" s="79"/>
      <c r="J90" s="57">
        <f t="shared" si="2"/>
        <v>0</v>
      </c>
      <c r="K90" s="57"/>
      <c r="L90" s="57"/>
      <c r="M90" s="57"/>
    </row>
    <row r="91" spans="1:13">
      <c r="A91" s="64">
        <v>43556</v>
      </c>
      <c r="B91" s="21" t="s">
        <v>391</v>
      </c>
      <c r="C91" s="103"/>
      <c r="D91" s="21" t="s">
        <v>169</v>
      </c>
      <c r="E91" s="21" t="s">
        <v>170</v>
      </c>
      <c r="F91" s="33" t="s">
        <v>173</v>
      </c>
      <c r="G91" s="57"/>
      <c r="H91" s="54"/>
      <c r="I91" s="67"/>
      <c r="J91" s="57">
        <f t="shared" si="2"/>
        <v>0</v>
      </c>
      <c r="K91" s="57"/>
      <c r="L91" s="57"/>
      <c r="M91" s="57"/>
    </row>
    <row r="92" spans="1:13">
      <c r="A92" s="64"/>
      <c r="C92" s="103"/>
      <c r="D92" s="21" t="s">
        <v>180</v>
      </c>
      <c r="E92" s="21" t="s">
        <v>176</v>
      </c>
      <c r="F92" s="33" t="s">
        <v>177</v>
      </c>
      <c r="G92" s="57"/>
      <c r="H92" s="54"/>
      <c r="I92" s="67"/>
      <c r="J92" s="57">
        <f t="shared" si="2"/>
        <v>0</v>
      </c>
      <c r="K92" s="57">
        <f>(J92+J93+J69)*0.03*N2</f>
        <v>0</v>
      </c>
      <c r="L92" s="57">
        <f>K92/0.03*0.25</f>
        <v>0</v>
      </c>
      <c r="M92" s="57">
        <f>L92-K92</f>
        <v>0</v>
      </c>
    </row>
    <row r="93" spans="1:13">
      <c r="A93" s="64"/>
      <c r="C93" s="104"/>
      <c r="D93" s="21" t="s">
        <v>180</v>
      </c>
      <c r="E93" s="21" t="s">
        <v>176</v>
      </c>
      <c r="F93" s="33" t="s">
        <v>179</v>
      </c>
      <c r="G93" s="57"/>
      <c r="H93" s="54"/>
      <c r="I93" s="67"/>
      <c r="J93" s="57">
        <f t="shared" si="2"/>
        <v>0</v>
      </c>
      <c r="K93" s="57"/>
      <c r="L93" s="57"/>
      <c r="M93" s="57"/>
    </row>
    <row r="94" spans="1:13">
      <c r="A94" s="64"/>
      <c r="C94" s="103" t="s">
        <v>259</v>
      </c>
      <c r="D94" s="21" t="s">
        <v>186</v>
      </c>
      <c r="E94" s="21" t="s">
        <v>191</v>
      </c>
      <c r="F94" s="33" t="s">
        <v>192</v>
      </c>
      <c r="G94" s="57"/>
      <c r="H94" s="54"/>
      <c r="I94" s="67"/>
      <c r="J94" s="57">
        <f t="shared" si="2"/>
        <v>0</v>
      </c>
      <c r="K94" s="57"/>
      <c r="L94" s="57"/>
      <c r="M94" s="57"/>
    </row>
    <row r="95" spans="1:13">
      <c r="A95" s="64">
        <v>43556</v>
      </c>
      <c r="B95" s="21" t="s">
        <v>391</v>
      </c>
      <c r="C95" s="103"/>
      <c r="D95" s="21" t="s">
        <v>186</v>
      </c>
      <c r="E95" s="21" t="s">
        <v>191</v>
      </c>
      <c r="F95" s="33" t="s">
        <v>193</v>
      </c>
      <c r="G95" s="57"/>
      <c r="H95" s="54"/>
      <c r="I95" s="67"/>
      <c r="J95" s="57">
        <f t="shared" si="2"/>
        <v>0</v>
      </c>
      <c r="K95" s="57"/>
      <c r="L95" s="57"/>
      <c r="M95" s="57"/>
    </row>
    <row r="96" spans="1:13">
      <c r="A96" s="64"/>
      <c r="C96" s="103"/>
      <c r="D96" s="21" t="s">
        <v>189</v>
      </c>
      <c r="E96" s="21" t="s">
        <v>191</v>
      </c>
      <c r="F96" s="33" t="s">
        <v>192</v>
      </c>
      <c r="G96" s="57"/>
      <c r="H96" s="54"/>
      <c r="I96" s="67"/>
      <c r="J96" s="57">
        <f t="shared" si="2"/>
        <v>0</v>
      </c>
      <c r="K96" s="57"/>
      <c r="L96" s="57"/>
      <c r="M96" s="57"/>
    </row>
    <row r="97" spans="1:13">
      <c r="A97" s="64">
        <v>43556</v>
      </c>
      <c r="B97" s="21" t="s">
        <v>391</v>
      </c>
      <c r="C97" s="104"/>
      <c r="D97" s="21" t="s">
        <v>189</v>
      </c>
      <c r="E97" s="21" t="s">
        <v>191</v>
      </c>
      <c r="F97" s="33" t="s">
        <v>193</v>
      </c>
      <c r="G97" s="57"/>
      <c r="H97" s="54"/>
      <c r="I97" s="68"/>
      <c r="J97" s="57">
        <f t="shared" si="2"/>
        <v>0</v>
      </c>
      <c r="K97" s="57">
        <f>(J95+J97+J96+J94)*0.05*N2</f>
        <v>0</v>
      </c>
      <c r="L97" s="57">
        <f>K97/0.05*0.25</f>
        <v>0</v>
      </c>
      <c r="M97" s="57">
        <f>L97-K97</f>
        <v>0</v>
      </c>
    </row>
    <row r="98" spans="1:13">
      <c r="A98" s="64">
        <v>43556</v>
      </c>
      <c r="B98" s="21" t="s">
        <v>391</v>
      </c>
      <c r="C98" s="21" t="s">
        <v>198</v>
      </c>
      <c r="D98" s="21" t="s">
        <v>189</v>
      </c>
      <c r="E98" s="21" t="s">
        <v>187</v>
      </c>
      <c r="F98" s="33" t="s">
        <v>188</v>
      </c>
      <c r="G98" s="57"/>
      <c r="H98" s="54"/>
      <c r="I98" s="68"/>
      <c r="J98" s="57">
        <f t="shared" si="2"/>
        <v>0</v>
      </c>
      <c r="K98" s="57">
        <f>(J98)*0.05*N2</f>
        <v>0</v>
      </c>
      <c r="L98" s="57">
        <f>K98/0.05*0.25</f>
        <v>0</v>
      </c>
      <c r="M98" s="57">
        <f>L98-K98</f>
        <v>0</v>
      </c>
    </row>
    <row r="99" spans="1:13">
      <c r="C99" s="105" t="s">
        <v>218</v>
      </c>
      <c r="E99" s="21" t="s">
        <v>219</v>
      </c>
      <c r="F99" s="33" t="s">
        <v>219</v>
      </c>
      <c r="G99" s="57"/>
      <c r="H99" s="54"/>
      <c r="I99" s="68"/>
      <c r="J99" s="57">
        <f t="shared" ref="J99:J102" si="5">(G99*H99*0.98)-I99</f>
        <v>0</v>
      </c>
      <c r="K99" s="57">
        <f>(J6+J8+J9+J13+J14+J22+J23+J24+J25+J31+J32)*0.07*N2+(J42+J43+J44)*0.04*N2+(J3+J4+J5+J10+J11+J12+J15+J16+J17+J18+J19+J20+J21+J26+J27+J28+J29+J30+J36+J37+J38+J45+J46+J47+J49+J50+J55+J59+J60+J65+J66+J68+J69+J71+J72+J73+J77+J78+J85+J86+J89+J90+J95+J97+J98+J56+J48+J75+J51+J53+J82+J83+J91+J40+J61+J62+J52+J54+J88+J7+J39+J76++J79+J93+J92+J58+J57+J96+J35+J84+J87+J94)*0.01*N2+(J80+J81)*0.08*N2</f>
        <v>0</v>
      </c>
      <c r="L99" s="57"/>
      <c r="M99" s="57"/>
    </row>
    <row r="100" spans="1:13">
      <c r="C100" s="105"/>
      <c r="E100" s="21" t="s">
        <v>220</v>
      </c>
      <c r="F100" s="33" t="s">
        <v>220</v>
      </c>
      <c r="G100" s="57"/>
      <c r="H100" s="54"/>
      <c r="I100" s="68"/>
      <c r="J100" s="57">
        <f t="shared" si="5"/>
        <v>0</v>
      </c>
      <c r="K100" s="57">
        <f>(J3+J4+J5+J11+J29+J30+J10+J12)*0.06*N2+(J67+J68+J89+J90+J91)*0.07*N2+(J38+J39+J41+J40)*0.03*N2</f>
        <v>0</v>
      </c>
      <c r="L100" s="57"/>
      <c r="M100" s="57"/>
    </row>
    <row r="101" spans="1:13">
      <c r="C101" s="105"/>
      <c r="E101" s="21" t="s">
        <v>221</v>
      </c>
      <c r="F101" s="33" t="s">
        <v>221</v>
      </c>
      <c r="G101" s="57"/>
      <c r="H101" s="54"/>
      <c r="I101" s="68"/>
      <c r="J101" s="57">
        <f t="shared" si="5"/>
        <v>0</v>
      </c>
      <c r="K101" s="57">
        <f>(J17+J18+J19+J21+J26+J27+J20+J28)*0.06*N2+(J97+J98+J96)*0.03*N2+(J74+J77+J85+J82+J83+J84)*0.07*N2</f>
        <v>0</v>
      </c>
      <c r="L101" s="57"/>
      <c r="M101" s="57"/>
    </row>
    <row r="102" spans="1:13">
      <c r="C102" s="105"/>
      <c r="E102" s="21" t="s">
        <v>225</v>
      </c>
      <c r="F102" s="33" t="s">
        <v>225</v>
      </c>
      <c r="G102" s="57"/>
      <c r="H102" s="54"/>
      <c r="I102" s="68"/>
      <c r="J102" s="57">
        <f t="shared" si="5"/>
        <v>0</v>
      </c>
      <c r="K102" s="57">
        <f>(J69+J73+J72+J71)*0.07*N2+(J61+J62+J57+J58+J65+J66)*0.03*N2</f>
        <v>0</v>
      </c>
      <c r="L102" s="57"/>
      <c r="M102" s="57"/>
    </row>
    <row r="103" spans="1:13">
      <c r="C103" s="105"/>
      <c r="E103" s="21" t="s">
        <v>224</v>
      </c>
      <c r="F103" s="33" t="s">
        <v>224</v>
      </c>
      <c r="G103" s="57"/>
      <c r="H103" s="54"/>
      <c r="I103" s="68"/>
      <c r="J103" s="57">
        <v>0</v>
      </c>
      <c r="K103" s="57">
        <f>(J33+J34+J35)*0.06*N2+(J59+J60+J94+J95)*0.03*N2+(J86+J70+J88+J92+J93)*0.07*N2</f>
        <v>0</v>
      </c>
      <c r="L103" s="57"/>
      <c r="M103" s="57"/>
    </row>
    <row r="104" spans="1:13">
      <c r="C104" s="105"/>
      <c r="E104" s="21" t="s">
        <v>223</v>
      </c>
      <c r="F104" s="33" t="s">
        <v>223</v>
      </c>
      <c r="G104" s="57"/>
      <c r="H104" s="54"/>
      <c r="I104" s="68"/>
      <c r="J104" s="57">
        <v>0</v>
      </c>
      <c r="K104" s="57">
        <f>0</f>
        <v>0</v>
      </c>
      <c r="L104" s="57"/>
      <c r="M104" s="57"/>
    </row>
    <row r="105" spans="1:13">
      <c r="E105" s="21" t="s">
        <v>222</v>
      </c>
      <c r="F105" s="21" t="s">
        <v>222</v>
      </c>
      <c r="G105" s="33"/>
      <c r="H105" s="57"/>
      <c r="I105" s="54"/>
      <c r="J105" s="57">
        <v>0</v>
      </c>
      <c r="K105" s="57">
        <f>(J45+J46+J47+J48+J55+J56+J54+J53+J52)*0.03*N2+(J15+J16+J7)*0.06*N2+(J78+J79)*0.07*N2</f>
        <v>0</v>
      </c>
      <c r="L105" s="57"/>
      <c r="M105" s="57"/>
    </row>
    <row r="106" spans="1:13">
      <c r="E106" s="21" t="s">
        <v>226</v>
      </c>
      <c r="F106" s="21" t="s">
        <v>226</v>
      </c>
      <c r="G106" s="33"/>
      <c r="H106" s="57"/>
      <c r="I106" s="54"/>
      <c r="J106" s="57">
        <v>0</v>
      </c>
      <c r="K106" s="57">
        <f>(J75+J76+J80+J81)*0.07*N2+(J51+J49+J36+J37+J50)*0.03*N2</f>
        <v>0</v>
      </c>
      <c r="L106" s="57"/>
      <c r="M106" s="57"/>
    </row>
    <row r="107" spans="1:13">
      <c r="F107" s="58" t="s">
        <v>227</v>
      </c>
      <c r="G107" s="65">
        <f>SUM(G3:G106)</f>
        <v>0</v>
      </c>
      <c r="H107" s="66"/>
      <c r="I107" s="69">
        <f>SUM(I3:I106)</f>
        <v>0</v>
      </c>
      <c r="J107" s="65">
        <f>SUM(J3:J104)</f>
        <v>0</v>
      </c>
      <c r="K107" s="65">
        <f>J107*N2</f>
        <v>0</v>
      </c>
      <c r="L107" s="57"/>
      <c r="M107" s="57"/>
    </row>
    <row r="108" spans="1:13">
      <c r="F108" s="58" t="s">
        <v>228</v>
      </c>
      <c r="G108" s="65"/>
      <c r="H108" s="66"/>
      <c r="I108" s="69"/>
      <c r="J108" s="65"/>
      <c r="K108" s="65">
        <f>K107*0.4</f>
        <v>0</v>
      </c>
      <c r="L108" s="57"/>
      <c r="M108" s="57"/>
    </row>
    <row r="109" spans="1:13">
      <c r="F109" s="58" t="s">
        <v>261</v>
      </c>
      <c r="G109" s="65"/>
      <c r="H109" s="66"/>
      <c r="I109" s="69"/>
      <c r="J109" s="65"/>
      <c r="K109" s="65">
        <f>K107*0.6</f>
        <v>0</v>
      </c>
      <c r="L109" s="57"/>
      <c r="M109" s="57"/>
    </row>
    <row r="110" spans="1:13">
      <c r="F110" s="33"/>
      <c r="G110" s="57"/>
      <c r="H110" s="54"/>
      <c r="I110" s="68"/>
      <c r="J110" s="57"/>
      <c r="K110" s="57"/>
      <c r="L110" s="57"/>
      <c r="M110" s="57"/>
    </row>
    <row r="111" spans="1:13">
      <c r="C111" s="21" t="s">
        <v>293</v>
      </c>
      <c r="E111" s="21" t="s">
        <v>230</v>
      </c>
      <c r="F111" s="33"/>
      <c r="G111" s="57"/>
      <c r="H111" s="54"/>
      <c r="I111" s="68"/>
      <c r="J111" s="57"/>
      <c r="K111" s="57">
        <f>(J3+J4+J5+J8+J9+J26+J27+J28)*0.05*N2+M25+M20+M3+M29+M15+M22</f>
        <v>0</v>
      </c>
      <c r="L111" s="57"/>
      <c r="M111" s="57"/>
    </row>
    <row r="112" spans="1:13">
      <c r="C112" s="21" t="s">
        <v>294</v>
      </c>
      <c r="E112" s="21" t="s">
        <v>230</v>
      </c>
      <c r="F112" s="33"/>
      <c r="G112" s="57"/>
      <c r="H112" s="54"/>
      <c r="I112" s="68"/>
      <c r="J112" s="57"/>
      <c r="K112" s="57">
        <f>M81+M67+M69+M71+M74+M78+M85+M86+M92+M82</f>
        <v>0</v>
      </c>
      <c r="L112" s="57"/>
      <c r="M112" s="57"/>
    </row>
    <row r="113" spans="3:13">
      <c r="C113" s="21" t="s">
        <v>295</v>
      </c>
      <c r="E113" s="21" t="s">
        <v>233</v>
      </c>
      <c r="F113" s="33"/>
      <c r="G113" s="57"/>
      <c r="H113" s="54"/>
      <c r="I113" s="68"/>
      <c r="J113" s="57"/>
      <c r="K113" s="57"/>
      <c r="L113" s="57"/>
      <c r="M113" s="57"/>
    </row>
    <row r="114" spans="3:13">
      <c r="C114" s="21" t="s">
        <v>296</v>
      </c>
      <c r="E114" s="21" t="s">
        <v>230</v>
      </c>
      <c r="F114" s="33"/>
      <c r="G114" s="57"/>
      <c r="H114" s="54"/>
      <c r="I114" s="68"/>
      <c r="J114" s="57"/>
      <c r="K114" s="57">
        <f>(J36+J37+J38+J39)*0.05*N2+M47+M49+M59+M42+M45+M65+M55+M57</f>
        <v>0</v>
      </c>
      <c r="L114" s="57"/>
      <c r="M114" s="57"/>
    </row>
    <row r="115" spans="3:13">
      <c r="C115" s="21" t="s">
        <v>235</v>
      </c>
      <c r="E115" s="21" t="s">
        <v>230</v>
      </c>
      <c r="F115" s="33"/>
      <c r="G115" s="57"/>
      <c r="H115" s="54"/>
      <c r="I115" s="68"/>
      <c r="J115" s="57"/>
      <c r="K115" s="57">
        <f>M97+M98</f>
        <v>0</v>
      </c>
      <c r="L115" s="57"/>
      <c r="M115" s="57"/>
    </row>
    <row r="116" spans="3:13">
      <c r="C116" s="21" t="s">
        <v>262</v>
      </c>
      <c r="E116" s="21" t="s">
        <v>230</v>
      </c>
      <c r="F116" s="33"/>
      <c r="G116" s="57"/>
      <c r="H116" s="54"/>
      <c r="I116" s="68"/>
      <c r="J116" s="57"/>
      <c r="K116" s="57">
        <f>SUM(J3:J98)*0.07*N2</f>
        <v>0</v>
      </c>
      <c r="L116" s="57">
        <v>1</v>
      </c>
      <c r="M116" s="57"/>
    </row>
    <row r="117" spans="3:13">
      <c r="F117" s="33"/>
      <c r="G117" s="57"/>
      <c r="H117" s="54"/>
      <c r="I117" s="68"/>
      <c r="J117" s="57"/>
      <c r="K117" s="57">
        <f>K111+K112+K114</f>
        <v>0</v>
      </c>
      <c r="L117" s="57"/>
      <c r="M117" s="57"/>
    </row>
    <row r="118" spans="3:13">
      <c r="K118" s="65">
        <f>K111+K112+K113+K114+K115</f>
        <v>0</v>
      </c>
    </row>
  </sheetData>
  <mergeCells count="5">
    <mergeCell ref="C3:C35"/>
    <mergeCell ref="C36:C66"/>
    <mergeCell ref="C67:C93"/>
    <mergeCell ref="C94:C97"/>
    <mergeCell ref="C99:C104"/>
  </mergeCells>
  <phoneticPr fontId="37" type="noConversion"/>
  <conditionalFormatting sqref="E102">
    <cfRule type="containsText" dxfId="22" priority="2" operator="containsText" text="方泽斯">
      <formula>NOT(ISERROR(SEARCH("方泽斯",E102)))</formula>
    </cfRule>
  </conditionalFormatting>
  <conditionalFormatting sqref="E113">
    <cfRule type="containsText" dxfId="21" priority="1" operator="containsText" text="方泽斯">
      <formula>NOT(ISERROR(SEARCH("方泽斯",E113)))</formula>
    </cfRule>
  </conditionalFormatting>
  <pageMargins left="0.7" right="0.7" top="0.75" bottom="0.75" header="0.3" footer="0.3"/>
  <pageSetup paperSize="9" scale="4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命名范围</vt:lpstr>
      </vt:variant>
      <vt:variant>
        <vt:i4>16</vt:i4>
      </vt:variant>
    </vt:vector>
  </HeadingPairs>
  <TitlesOfParts>
    <vt:vector size="40" baseType="lpstr">
      <vt:lpstr>Y类</vt:lpstr>
      <vt:lpstr>A类</vt:lpstr>
      <vt:lpstr>T类</vt:lpstr>
      <vt:lpstr>M类</vt:lpstr>
      <vt:lpstr>Z类</vt:lpstr>
      <vt:lpstr>H类</vt:lpstr>
      <vt:lpstr>V类</vt:lpstr>
      <vt:lpstr>B类</vt:lpstr>
      <vt:lpstr>K类</vt:lpstr>
      <vt:lpstr>D类</vt:lpstr>
      <vt:lpstr>C类打底裤</vt:lpstr>
      <vt:lpstr>Q类</vt:lpstr>
      <vt:lpstr>L类</vt:lpstr>
      <vt:lpstr>E类</vt:lpstr>
      <vt:lpstr>F类</vt:lpstr>
      <vt:lpstr>G类</vt:lpstr>
      <vt:lpstr>N类</vt:lpstr>
      <vt:lpstr>J类</vt:lpstr>
      <vt:lpstr>W类</vt:lpstr>
      <vt:lpstr>MS类</vt:lpstr>
      <vt:lpstr>C类刷头</vt:lpstr>
      <vt:lpstr>S类</vt:lpstr>
      <vt:lpstr>头花</vt:lpstr>
      <vt:lpstr>提成汇总1</vt:lpstr>
      <vt:lpstr>A类!Print_Area</vt:lpstr>
      <vt:lpstr>B类!Print_Area</vt:lpstr>
      <vt:lpstr>C类打底裤!Print_Area</vt:lpstr>
      <vt:lpstr>C类刷头!Print_Area</vt:lpstr>
      <vt:lpstr>D类!Print_Area</vt:lpstr>
      <vt:lpstr>H类!Print_Area</vt:lpstr>
      <vt:lpstr>K类!Print_Area</vt:lpstr>
      <vt:lpstr>MS类!Print_Area</vt:lpstr>
      <vt:lpstr>M类!Print_Area</vt:lpstr>
      <vt:lpstr>Q类!Print_Area</vt:lpstr>
      <vt:lpstr>S类!Print_Area</vt:lpstr>
      <vt:lpstr>T类!Print_Area</vt:lpstr>
      <vt:lpstr>V类!Print_Area</vt:lpstr>
      <vt:lpstr>Y类!Print_Area</vt:lpstr>
      <vt:lpstr>Z类!Print_Area</vt:lpstr>
      <vt:lpstr>提成汇总1!Print_Area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huangshaoming</cp:lastModifiedBy>
  <cp:lastPrinted>2016-10-04T09:41:00Z</cp:lastPrinted>
  <dcterms:created xsi:type="dcterms:W3CDTF">2013-08-10T17:06:00Z</dcterms:created>
  <dcterms:modified xsi:type="dcterms:W3CDTF">2019-10-29T08:40:17Z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  <property fmtid="{D5CDD505-2E9C-101B-9397-08002B2CF9AE}" pid="3" name="KSOReadingLayout">
    <vt:bool>true</vt:bool>
  </property>
</Properties>
</file>