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200" windowHeight="11640" tabRatio="771"/>
  </bookViews>
  <sheets>
    <sheet name="A类" sheetId="19" r:id="rId1"/>
    <sheet name="B类" sheetId="2" r:id="rId2"/>
    <sheet name="C类打底裤" sheetId="3" r:id="rId3"/>
    <sheet name="D类" sheetId="4" r:id="rId4"/>
    <sheet name="E类" sheetId="5" r:id="rId5"/>
    <sheet name="F类" sheetId="6" r:id="rId6"/>
    <sheet name="G类" sheetId="7" r:id="rId7"/>
    <sheet name="H类" sheetId="8" r:id="rId8"/>
    <sheet name="J类" sheetId="9" r:id="rId9"/>
    <sheet name="K类" sheetId="10" r:id="rId10"/>
    <sheet name="L类" sheetId="11" r:id="rId11"/>
    <sheet name="M类" sheetId="12" r:id="rId12"/>
    <sheet name="N类" sheetId="13" r:id="rId13"/>
    <sheet name="Q类" sheetId="14" r:id="rId14"/>
    <sheet name="T类" sheetId="15" r:id="rId15"/>
    <sheet name="V类" sheetId="16" r:id="rId16"/>
    <sheet name="Y类" sheetId="17" r:id="rId17"/>
    <sheet name="Z类" sheetId="18" r:id="rId18"/>
    <sheet name="提成汇总" sheetId="20" r:id="rId19"/>
  </sheets>
  <externalReferences>
    <externalReference r:id="rId20"/>
  </externalReferences>
  <calcPr calcId="125725" concurrentCalc="0"/>
</workbook>
</file>

<file path=xl/calcChain.xml><?xml version="1.0" encoding="utf-8"?>
<calcChain xmlns="http://schemas.openxmlformats.org/spreadsheetml/2006/main">
  <c r="J13" i="19"/>
  <c r="J15"/>
  <c r="J16"/>
  <c r="J14"/>
  <c r="J9"/>
  <c r="J10"/>
  <c r="J12"/>
  <c r="J11"/>
  <c r="K9"/>
  <c r="L9"/>
  <c r="M9"/>
  <c r="L23"/>
  <c r="M23"/>
  <c r="J31"/>
  <c r="J32"/>
  <c r="K31"/>
  <c r="L31"/>
  <c r="M31"/>
  <c r="J33"/>
  <c r="J34"/>
  <c r="J35"/>
  <c r="J36"/>
  <c r="K34"/>
  <c r="L34"/>
  <c r="M34"/>
  <c r="J3"/>
  <c r="J4"/>
  <c r="J5"/>
  <c r="K3"/>
  <c r="L3"/>
  <c r="M3"/>
  <c r="J6"/>
  <c r="J7"/>
  <c r="J8"/>
  <c r="K6"/>
  <c r="L6"/>
  <c r="M6"/>
  <c r="J38"/>
  <c r="J40"/>
  <c r="J39"/>
  <c r="J41"/>
  <c r="K38"/>
  <c r="L38"/>
  <c r="M38"/>
  <c r="L30"/>
  <c r="M30"/>
  <c r="J17"/>
  <c r="J18"/>
  <c r="K17"/>
  <c r="L17"/>
  <c r="M17"/>
  <c r="J21"/>
  <c r="J22"/>
  <c r="J23"/>
  <c r="J24"/>
  <c r="K21"/>
  <c r="L21"/>
  <c r="M21"/>
  <c r="J19"/>
  <c r="J20"/>
  <c r="K19"/>
  <c r="L19"/>
  <c r="M19"/>
  <c r="J25"/>
  <c r="J26"/>
  <c r="J27"/>
  <c r="J28"/>
  <c r="K25"/>
  <c r="L25"/>
  <c r="M25"/>
  <c r="K100"/>
  <c r="J70"/>
  <c r="K70"/>
  <c r="L70"/>
  <c r="M70"/>
  <c r="J72"/>
  <c r="J78"/>
  <c r="K72"/>
  <c r="L72"/>
  <c r="M72"/>
  <c r="J77"/>
  <c r="J76"/>
  <c r="K77"/>
  <c r="L77"/>
  <c r="M77"/>
  <c r="J79"/>
  <c r="K79"/>
  <c r="L79"/>
  <c r="M79"/>
  <c r="J75"/>
  <c r="J74"/>
  <c r="J73"/>
  <c r="K75"/>
  <c r="L75"/>
  <c r="M75"/>
  <c r="K101"/>
  <c r="L64"/>
  <c r="M64"/>
  <c r="J60"/>
  <c r="K60"/>
  <c r="L60"/>
  <c r="M60"/>
  <c r="K102"/>
  <c r="L58"/>
  <c r="M58"/>
  <c r="J55"/>
  <c r="J56"/>
  <c r="J58"/>
  <c r="J59"/>
  <c r="K55"/>
  <c r="L55"/>
  <c r="M55"/>
  <c r="J48"/>
  <c r="J51"/>
  <c r="J49"/>
  <c r="J50"/>
  <c r="K48"/>
  <c r="L48"/>
  <c r="M48"/>
  <c r="L57"/>
  <c r="M57"/>
  <c r="J43"/>
  <c r="J44"/>
  <c r="J45"/>
  <c r="J46"/>
  <c r="J47"/>
  <c r="K43"/>
  <c r="L43"/>
  <c r="M43"/>
  <c r="K103"/>
  <c r="J84"/>
  <c r="J85"/>
  <c r="J83"/>
  <c r="K84"/>
  <c r="L84"/>
  <c r="M84"/>
  <c r="J82"/>
  <c r="J81"/>
  <c r="K82"/>
  <c r="L82"/>
  <c r="M82"/>
  <c r="K104"/>
  <c r="K107"/>
  <c r="K106"/>
  <c r="J29"/>
  <c r="J30"/>
  <c r="J37"/>
  <c r="J42"/>
  <c r="J52"/>
  <c r="J53"/>
  <c r="J54"/>
  <c r="J57"/>
  <c r="J61"/>
  <c r="J62"/>
  <c r="J63"/>
  <c r="J64"/>
  <c r="J65"/>
  <c r="J66"/>
  <c r="J67"/>
  <c r="J68"/>
  <c r="J69"/>
  <c r="J71"/>
  <c r="J80"/>
  <c r="J86"/>
  <c r="J87"/>
  <c r="J88"/>
  <c r="J89"/>
  <c r="J90"/>
  <c r="J91"/>
  <c r="J96"/>
  <c r="K105"/>
  <c r="K96"/>
  <c r="K98"/>
  <c r="K97"/>
  <c r="I96"/>
  <c r="G96"/>
  <c r="K95"/>
  <c r="K94"/>
  <c r="K93"/>
  <c r="K92"/>
  <c r="K91"/>
  <c r="K90"/>
  <c r="K89"/>
  <c r="K88"/>
  <c r="K86"/>
  <c r="K80"/>
  <c r="K71"/>
  <c r="K68"/>
  <c r="K63"/>
  <c r="K42"/>
  <c r="K37"/>
  <c r="K29"/>
  <c r="K13"/>
  <c r="G3" i="20"/>
  <c r="H3"/>
  <c r="L3"/>
  <c r="O3"/>
  <c r="Z3"/>
  <c r="G4"/>
  <c r="H4"/>
  <c r="L4"/>
  <c r="O4"/>
  <c r="Z4"/>
  <c r="G5"/>
  <c r="H5"/>
  <c r="L5"/>
  <c r="O5"/>
  <c r="Z5"/>
  <c r="G6"/>
  <c r="H6"/>
  <c r="L6"/>
  <c r="O6"/>
  <c r="Z6"/>
  <c r="Z7"/>
  <c r="U74"/>
  <c r="F3"/>
  <c r="K3"/>
  <c r="AA3"/>
  <c r="F4"/>
  <c r="K4"/>
  <c r="AA4"/>
  <c r="F5"/>
  <c r="K5"/>
  <c r="AA5"/>
  <c r="F6"/>
  <c r="K6"/>
  <c r="AA6"/>
  <c r="AA7"/>
  <c r="U75"/>
  <c r="C3"/>
  <c r="D3"/>
  <c r="E3"/>
  <c r="I3"/>
  <c r="J3"/>
  <c r="M3"/>
  <c r="P3"/>
  <c r="Q3"/>
  <c r="N3"/>
  <c r="AB3"/>
  <c r="C4"/>
  <c r="D4"/>
  <c r="E4"/>
  <c r="I4"/>
  <c r="J4"/>
  <c r="M4"/>
  <c r="P4"/>
  <c r="Q4"/>
  <c r="N4"/>
  <c r="AB4"/>
  <c r="C5"/>
  <c r="D5"/>
  <c r="E5"/>
  <c r="I5"/>
  <c r="J5"/>
  <c r="M5"/>
  <c r="P5"/>
  <c r="Q5"/>
  <c r="N5"/>
  <c r="AB5"/>
  <c r="C6"/>
  <c r="D6"/>
  <c r="E6"/>
  <c r="I6"/>
  <c r="J6"/>
  <c r="M6"/>
  <c r="P6"/>
  <c r="Q6"/>
  <c r="N6"/>
  <c r="AB6"/>
  <c r="AB7"/>
  <c r="U76"/>
  <c r="R3"/>
  <c r="AC3"/>
  <c r="R4"/>
  <c r="AC4"/>
  <c r="R5"/>
  <c r="AC5"/>
  <c r="R6"/>
  <c r="AC6"/>
  <c r="AC7"/>
  <c r="U77"/>
  <c r="T3"/>
  <c r="AD3"/>
  <c r="T4"/>
  <c r="AD4"/>
  <c r="T5"/>
  <c r="AD5"/>
  <c r="T6"/>
  <c r="AD6"/>
  <c r="AD7"/>
  <c r="U78"/>
  <c r="U81"/>
  <c r="V74"/>
  <c r="V75"/>
  <c r="V76"/>
  <c r="V81"/>
  <c r="W81"/>
  <c r="X74"/>
  <c r="X75"/>
  <c r="X76"/>
  <c r="X81"/>
  <c r="Y74"/>
  <c r="Y75"/>
  <c r="Y76"/>
  <c r="Y81"/>
  <c r="Z81"/>
  <c r="S3"/>
  <c r="U3"/>
  <c r="V3"/>
  <c r="Y3"/>
  <c r="S4"/>
  <c r="U4"/>
  <c r="V4"/>
  <c r="Y4"/>
  <c r="S5"/>
  <c r="U5"/>
  <c r="V5"/>
  <c r="Y5"/>
  <c r="S6"/>
  <c r="U6"/>
  <c r="V6"/>
  <c r="Y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Y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Y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Y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Y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Y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Y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Y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Y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Y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Y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Y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Y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Y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Y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Y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Y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Y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Y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Y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Y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Y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Y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Y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Y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Y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Y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Y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Y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Y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Y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Y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Y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Y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Y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Y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Y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Y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Y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Y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Y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Y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Y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Y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Y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Y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Y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Y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Y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Y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Y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Y57"/>
  <c r="Y58"/>
  <c r="Z82"/>
  <c r="Z83"/>
  <c r="Y71"/>
  <c r="X71"/>
  <c r="W71"/>
  <c r="V71"/>
  <c r="U71"/>
  <c r="AA69"/>
  <c r="U62"/>
  <c r="U63"/>
  <c r="U64"/>
  <c r="U69"/>
  <c r="V62"/>
  <c r="V63"/>
  <c r="V64"/>
  <c r="V69"/>
  <c r="W69"/>
  <c r="X62"/>
  <c r="X63"/>
  <c r="X64"/>
  <c r="X69"/>
  <c r="Y62"/>
  <c r="Y63"/>
  <c r="Y64"/>
  <c r="Y69"/>
  <c r="Z69"/>
  <c r="W58"/>
  <c r="AB69"/>
  <c r="Z58"/>
  <c r="X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AE3"/>
  <c r="AE4"/>
  <c r="AE5"/>
  <c r="AE6"/>
  <c r="AE7"/>
  <c r="AG7"/>
  <c r="AF3"/>
  <c r="AF4"/>
  <c r="AF5"/>
  <c r="AF6"/>
  <c r="AF7"/>
  <c r="AG6"/>
  <c r="AH6"/>
  <c r="AG5"/>
  <c r="AH5"/>
  <c r="AG4"/>
  <c r="AH4"/>
  <c r="AG3"/>
  <c r="AH3"/>
  <c r="J8" i="7"/>
  <c r="J19"/>
  <c r="J20"/>
  <c r="J21"/>
  <c r="J9"/>
  <c r="J3"/>
  <c r="J10"/>
  <c r="K10"/>
  <c r="L10"/>
  <c r="M10"/>
  <c r="J11"/>
  <c r="J13"/>
  <c r="J12"/>
  <c r="K11"/>
  <c r="L11"/>
  <c r="M11"/>
  <c r="J14"/>
  <c r="J15"/>
  <c r="J18"/>
  <c r="J25"/>
  <c r="J26"/>
  <c r="K14"/>
  <c r="L14"/>
  <c r="M14"/>
  <c r="J22"/>
  <c r="J24"/>
  <c r="J23"/>
  <c r="K22"/>
  <c r="L22"/>
  <c r="M22"/>
  <c r="J27"/>
  <c r="K27"/>
  <c r="L27"/>
  <c r="M27"/>
  <c r="J4"/>
  <c r="J5"/>
  <c r="J6"/>
  <c r="K4"/>
  <c r="L4"/>
  <c r="M4"/>
  <c r="J7"/>
  <c r="K7"/>
  <c r="L7"/>
  <c r="M7"/>
  <c r="J28"/>
  <c r="K28"/>
  <c r="L28"/>
  <c r="M28"/>
  <c r="J16"/>
  <c r="J17"/>
  <c r="K16"/>
  <c r="L16"/>
  <c r="M16"/>
  <c r="K133"/>
  <c r="J61"/>
  <c r="J63"/>
  <c r="J62"/>
  <c r="J84"/>
  <c r="J85"/>
  <c r="J86"/>
  <c r="K61"/>
  <c r="L61"/>
  <c r="M61"/>
  <c r="L84"/>
  <c r="M84"/>
  <c r="J87"/>
  <c r="J88"/>
  <c r="J89"/>
  <c r="J72"/>
  <c r="J73"/>
  <c r="J74"/>
  <c r="K87"/>
  <c r="L87"/>
  <c r="M87"/>
  <c r="L98"/>
  <c r="M98"/>
  <c r="J100"/>
  <c r="J102"/>
  <c r="J101"/>
  <c r="J103"/>
  <c r="J104"/>
  <c r="K100"/>
  <c r="L100"/>
  <c r="M100"/>
  <c r="L105"/>
  <c r="M105"/>
  <c r="L94"/>
  <c r="M94"/>
  <c r="J64"/>
  <c r="J65"/>
  <c r="J66"/>
  <c r="J67"/>
  <c r="J68"/>
  <c r="J69"/>
  <c r="K64"/>
  <c r="L64"/>
  <c r="M64"/>
  <c r="J70"/>
  <c r="J71"/>
  <c r="J105"/>
  <c r="J106"/>
  <c r="J107"/>
  <c r="K70"/>
  <c r="L70"/>
  <c r="M70"/>
  <c r="J78"/>
  <c r="J79"/>
  <c r="J80"/>
  <c r="J81"/>
  <c r="J82"/>
  <c r="J83"/>
  <c r="J90"/>
  <c r="J91"/>
  <c r="J92"/>
  <c r="K78"/>
  <c r="L78"/>
  <c r="M78"/>
  <c r="K134"/>
  <c r="J109"/>
  <c r="J108"/>
  <c r="K108"/>
  <c r="L108"/>
  <c r="M108"/>
  <c r="J112"/>
  <c r="J110"/>
  <c r="J111"/>
  <c r="K110"/>
  <c r="L110"/>
  <c r="M110"/>
  <c r="K135"/>
  <c r="J32"/>
  <c r="J33"/>
  <c r="J34"/>
  <c r="J35"/>
  <c r="J50"/>
  <c r="J51"/>
  <c r="J54"/>
  <c r="J55"/>
  <c r="J58"/>
  <c r="J59"/>
  <c r="K34"/>
  <c r="L34"/>
  <c r="M34"/>
  <c r="J43"/>
  <c r="J44"/>
  <c r="J52"/>
  <c r="J53"/>
  <c r="J41"/>
  <c r="J42"/>
  <c r="K43"/>
  <c r="L43"/>
  <c r="M43"/>
  <c r="L45"/>
  <c r="M45"/>
  <c r="L47"/>
  <c r="M47"/>
  <c r="L54"/>
  <c r="M54"/>
  <c r="L56"/>
  <c r="M56"/>
  <c r="L36"/>
  <c r="M36"/>
  <c r="J38"/>
  <c r="J39"/>
  <c r="J36"/>
  <c r="J37"/>
  <c r="K38"/>
  <c r="L38"/>
  <c r="M38"/>
  <c r="K136"/>
  <c r="J118"/>
  <c r="J117"/>
  <c r="K118"/>
  <c r="L118"/>
  <c r="M118"/>
  <c r="J120"/>
  <c r="J119"/>
  <c r="K120"/>
  <c r="L120"/>
  <c r="M120"/>
  <c r="K137"/>
  <c r="K141"/>
  <c r="K140"/>
  <c r="J29"/>
  <c r="J30"/>
  <c r="J31"/>
  <c r="J40"/>
  <c r="J45"/>
  <c r="J46"/>
  <c r="J47"/>
  <c r="J48"/>
  <c r="J49"/>
  <c r="J56"/>
  <c r="J57"/>
  <c r="J60"/>
  <c r="J75"/>
  <c r="J76"/>
  <c r="J77"/>
  <c r="J93"/>
  <c r="J94"/>
  <c r="J95"/>
  <c r="J96"/>
  <c r="J97"/>
  <c r="J98"/>
  <c r="J99"/>
  <c r="J113"/>
  <c r="J114"/>
  <c r="J115"/>
  <c r="J116"/>
  <c r="J121"/>
  <c r="J122"/>
  <c r="J123"/>
  <c r="J124"/>
  <c r="J129"/>
  <c r="K139"/>
  <c r="K129"/>
  <c r="K131"/>
  <c r="K130"/>
  <c r="I129"/>
  <c r="G129"/>
  <c r="K128"/>
  <c r="K127"/>
  <c r="K126"/>
  <c r="K125"/>
  <c r="K124"/>
  <c r="K123"/>
  <c r="K122"/>
  <c r="K121"/>
  <c r="K115"/>
  <c r="K112"/>
  <c r="K75"/>
  <c r="L72"/>
  <c r="M72"/>
  <c r="N72"/>
  <c r="K32"/>
  <c r="K29"/>
  <c r="K19"/>
  <c r="K8"/>
  <c r="K3"/>
  <c r="J3" i="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5"/>
  <c r="K75"/>
  <c r="K77"/>
  <c r="K76"/>
  <c r="I75"/>
  <c r="G75"/>
  <c r="K74"/>
  <c r="K73"/>
  <c r="K72"/>
  <c r="K71"/>
  <c r="K70"/>
  <c r="K69"/>
  <c r="K68"/>
  <c r="K67"/>
  <c r="K65"/>
  <c r="K63"/>
  <c r="L63"/>
  <c r="M63"/>
  <c r="K61"/>
  <c r="L61"/>
  <c r="M61"/>
  <c r="L59"/>
  <c r="M59"/>
  <c r="K57"/>
  <c r="L57"/>
  <c r="M57"/>
  <c r="K55"/>
  <c r="L55"/>
  <c r="M55"/>
  <c r="L54"/>
  <c r="M54"/>
  <c r="K53"/>
  <c r="L53"/>
  <c r="M53"/>
  <c r="K51"/>
  <c r="L51"/>
  <c r="M51"/>
  <c r="K50"/>
  <c r="L48"/>
  <c r="M48"/>
  <c r="L46"/>
  <c r="M46"/>
  <c r="K44"/>
  <c r="L44"/>
  <c r="M44"/>
  <c r="K41"/>
  <c r="L41"/>
  <c r="M41"/>
  <c r="K38"/>
  <c r="L38"/>
  <c r="M38"/>
  <c r="K37"/>
  <c r="L37"/>
  <c r="M37"/>
  <c r="K35"/>
  <c r="L35"/>
  <c r="M35"/>
  <c r="K31"/>
  <c r="L31"/>
  <c r="M31"/>
  <c r="K28"/>
  <c r="L28"/>
  <c r="M28"/>
  <c r="L26"/>
  <c r="M26"/>
  <c r="K24"/>
  <c r="L24"/>
  <c r="M24"/>
  <c r="K20"/>
  <c r="K17"/>
  <c r="L17"/>
  <c r="M17"/>
  <c r="K15"/>
  <c r="L15"/>
  <c r="M15"/>
  <c r="K13"/>
  <c r="L13"/>
  <c r="M13"/>
  <c r="K11"/>
  <c r="L11"/>
  <c r="M11"/>
  <c r="K10"/>
  <c r="L10"/>
  <c r="M10"/>
  <c r="K6"/>
  <c r="K3"/>
  <c r="L3"/>
  <c r="M3"/>
  <c r="J3" i="5"/>
  <c r="J4"/>
  <c r="J6"/>
  <c r="J5"/>
  <c r="J29"/>
  <c r="J30"/>
  <c r="J31"/>
  <c r="K31"/>
  <c r="L31"/>
  <c r="M31"/>
  <c r="J19"/>
  <c r="J20"/>
  <c r="J21"/>
  <c r="J23"/>
  <c r="J22"/>
  <c r="K19"/>
  <c r="L19"/>
  <c r="M19"/>
  <c r="J17"/>
  <c r="J16"/>
  <c r="K17"/>
  <c r="L17"/>
  <c r="M17"/>
  <c r="J12"/>
  <c r="K12"/>
  <c r="L12"/>
  <c r="M12"/>
  <c r="J7"/>
  <c r="J8"/>
  <c r="J10"/>
  <c r="J9"/>
  <c r="J11"/>
  <c r="K7"/>
  <c r="L7"/>
  <c r="M7"/>
  <c r="J26"/>
  <c r="J27"/>
  <c r="K26"/>
  <c r="L26"/>
  <c r="M26"/>
  <c r="J33"/>
  <c r="J34"/>
  <c r="J36"/>
  <c r="J35"/>
  <c r="K33"/>
  <c r="L33"/>
  <c r="M33"/>
  <c r="J13"/>
  <c r="J14"/>
  <c r="J15"/>
  <c r="K14"/>
  <c r="L14"/>
  <c r="M14"/>
  <c r="J28"/>
  <c r="J32"/>
  <c r="J18"/>
  <c r="K28"/>
  <c r="L28"/>
  <c r="M28"/>
  <c r="J24"/>
  <c r="J25"/>
  <c r="K24"/>
  <c r="L24"/>
  <c r="M24"/>
  <c r="K128"/>
  <c r="J76"/>
  <c r="J90"/>
  <c r="J91"/>
  <c r="J92"/>
  <c r="K76"/>
  <c r="L76"/>
  <c r="M76"/>
  <c r="L96"/>
  <c r="M96"/>
  <c r="L91"/>
  <c r="M91"/>
  <c r="J84"/>
  <c r="J102"/>
  <c r="J103"/>
  <c r="J104"/>
  <c r="J105"/>
  <c r="J101"/>
  <c r="K84"/>
  <c r="L84"/>
  <c r="M84"/>
  <c r="L86"/>
  <c r="M86"/>
  <c r="J106"/>
  <c r="K106"/>
  <c r="L106"/>
  <c r="M106"/>
  <c r="J82"/>
  <c r="J83"/>
  <c r="J85"/>
  <c r="J77"/>
  <c r="J78"/>
  <c r="K82"/>
  <c r="L82"/>
  <c r="M82"/>
  <c r="L77"/>
  <c r="M77"/>
  <c r="J99"/>
  <c r="J100"/>
  <c r="J95"/>
  <c r="J96"/>
  <c r="J97"/>
  <c r="K99"/>
  <c r="L99"/>
  <c r="M99"/>
  <c r="J79"/>
  <c r="J80"/>
  <c r="J81"/>
  <c r="K79"/>
  <c r="L79"/>
  <c r="M79"/>
  <c r="K129"/>
  <c r="J53"/>
  <c r="J54"/>
  <c r="J55"/>
  <c r="J56"/>
  <c r="J42"/>
  <c r="J43"/>
  <c r="J46"/>
  <c r="J48"/>
  <c r="J39"/>
  <c r="J38"/>
  <c r="J44"/>
  <c r="J45"/>
  <c r="K38"/>
  <c r="L38"/>
  <c r="M38"/>
  <c r="J57"/>
  <c r="J51"/>
  <c r="J52"/>
  <c r="J58"/>
  <c r="J49"/>
  <c r="J50"/>
  <c r="K57"/>
  <c r="L57"/>
  <c r="M57"/>
  <c r="K130"/>
  <c r="L61"/>
  <c r="M61"/>
  <c r="J70"/>
  <c r="K70"/>
  <c r="L70"/>
  <c r="M70"/>
  <c r="J65"/>
  <c r="J67"/>
  <c r="J68"/>
  <c r="J69"/>
  <c r="J66"/>
  <c r="K65"/>
  <c r="L65"/>
  <c r="M65"/>
  <c r="J64"/>
  <c r="K64"/>
  <c r="L64"/>
  <c r="M64"/>
  <c r="J71"/>
  <c r="J73"/>
  <c r="J74"/>
  <c r="J75"/>
  <c r="J72"/>
  <c r="K71"/>
  <c r="L71"/>
  <c r="M71"/>
  <c r="K131"/>
  <c r="J108"/>
  <c r="J107"/>
  <c r="K108"/>
  <c r="L108"/>
  <c r="M108"/>
  <c r="J109"/>
  <c r="K109"/>
  <c r="L109"/>
  <c r="M109"/>
  <c r="J112"/>
  <c r="J110"/>
  <c r="J111"/>
  <c r="K112"/>
  <c r="L112"/>
  <c r="M112"/>
  <c r="N108"/>
  <c r="K132"/>
  <c r="K136"/>
  <c r="K135"/>
  <c r="J37"/>
  <c r="J40"/>
  <c r="J41"/>
  <c r="J47"/>
  <c r="J59"/>
  <c r="J60"/>
  <c r="J61"/>
  <c r="J62"/>
  <c r="J63"/>
  <c r="J86"/>
  <c r="J87"/>
  <c r="J88"/>
  <c r="J89"/>
  <c r="J93"/>
  <c r="J94"/>
  <c r="J98"/>
  <c r="J113"/>
  <c r="J114"/>
  <c r="J115"/>
  <c r="J116"/>
  <c r="J117"/>
  <c r="J118"/>
  <c r="J119"/>
  <c r="J120"/>
  <c r="J121"/>
  <c r="J124"/>
  <c r="K134"/>
  <c r="K124"/>
  <c r="K126"/>
  <c r="K125"/>
  <c r="I124"/>
  <c r="G124"/>
  <c r="K123"/>
  <c r="K122"/>
  <c r="K121"/>
  <c r="K120"/>
  <c r="K119"/>
  <c r="K118"/>
  <c r="K117"/>
  <c r="K116"/>
  <c r="K115"/>
  <c r="L115"/>
  <c r="M115"/>
  <c r="K88"/>
  <c r="L44"/>
  <c r="M44"/>
  <c r="K42"/>
  <c r="L39"/>
  <c r="M39"/>
  <c r="K37"/>
  <c r="K3"/>
  <c r="J3" i="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50"/>
  <c r="K150"/>
  <c r="K152"/>
  <c r="K151"/>
  <c r="I150"/>
  <c r="G150"/>
  <c r="K149"/>
  <c r="J149"/>
  <c r="K148"/>
  <c r="K147"/>
  <c r="J147"/>
  <c r="K146"/>
  <c r="K145"/>
  <c r="K144"/>
  <c r="K143"/>
  <c r="K142"/>
  <c r="K140"/>
  <c r="K138"/>
  <c r="K137"/>
  <c r="K135"/>
  <c r="K133"/>
  <c r="K129"/>
  <c r="K128"/>
  <c r="L128"/>
  <c r="M128"/>
  <c r="K126"/>
  <c r="L126"/>
  <c r="M126"/>
  <c r="K123"/>
  <c r="L123"/>
  <c r="M123"/>
  <c r="L117"/>
  <c r="M117"/>
  <c r="K113"/>
  <c r="K99"/>
  <c r="L99"/>
  <c r="M99"/>
  <c r="K95"/>
  <c r="L95"/>
  <c r="M95"/>
  <c r="L93"/>
  <c r="M93"/>
  <c r="K91"/>
  <c r="L91"/>
  <c r="M91"/>
  <c r="K89"/>
  <c r="L89"/>
  <c r="M89"/>
  <c r="K79"/>
  <c r="L79"/>
  <c r="M79"/>
  <c r="K73"/>
  <c r="L73"/>
  <c r="M73"/>
  <c r="K70"/>
  <c r="L70"/>
  <c r="M70"/>
  <c r="K64"/>
  <c r="L64"/>
  <c r="M64"/>
  <c r="L61"/>
  <c r="M61"/>
  <c r="L55"/>
  <c r="M55"/>
  <c r="K50"/>
  <c r="L50"/>
  <c r="M50"/>
  <c r="K46"/>
  <c r="L46"/>
  <c r="M46"/>
  <c r="K40"/>
  <c r="K26"/>
  <c r="L26"/>
  <c r="M26"/>
  <c r="K17"/>
  <c r="L17"/>
  <c r="M17"/>
  <c r="N17"/>
  <c r="K13"/>
  <c r="L13"/>
  <c r="M13"/>
  <c r="N13"/>
  <c r="K12"/>
  <c r="L12"/>
  <c r="M12"/>
  <c r="K5"/>
  <c r="K3"/>
  <c r="L3"/>
  <c r="M3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9"/>
  <c r="K89"/>
  <c r="K91"/>
  <c r="K90"/>
  <c r="I89"/>
  <c r="G89"/>
  <c r="K88"/>
  <c r="K87"/>
  <c r="K86"/>
  <c r="K85"/>
  <c r="K84"/>
  <c r="K83"/>
  <c r="K82"/>
  <c r="K81"/>
  <c r="K80"/>
  <c r="K79"/>
  <c r="L79"/>
  <c r="M79"/>
  <c r="L76"/>
  <c r="M76"/>
  <c r="K70"/>
  <c r="L70"/>
  <c r="M70"/>
  <c r="L65"/>
  <c r="M65"/>
  <c r="K62"/>
  <c r="L62"/>
  <c r="M62"/>
  <c r="K58"/>
  <c r="L56"/>
  <c r="M56"/>
  <c r="L52"/>
  <c r="M52"/>
  <c r="K50"/>
  <c r="L50"/>
  <c r="M50"/>
  <c r="K48"/>
  <c r="L48"/>
  <c r="M48"/>
  <c r="K46"/>
  <c r="L46"/>
  <c r="M46"/>
  <c r="K43"/>
  <c r="L43"/>
  <c r="M43"/>
  <c r="K41"/>
  <c r="L41"/>
  <c r="M41"/>
  <c r="K38"/>
  <c r="L38"/>
  <c r="M38"/>
  <c r="L32"/>
  <c r="M32"/>
  <c r="K30"/>
  <c r="L30"/>
  <c r="M30"/>
  <c r="L28"/>
  <c r="M28"/>
  <c r="K26"/>
  <c r="L26"/>
  <c r="M26"/>
  <c r="K24"/>
  <c r="K23"/>
  <c r="K21"/>
  <c r="L21"/>
  <c r="M21"/>
  <c r="K20"/>
  <c r="L20"/>
  <c r="M20"/>
  <c r="K19"/>
  <c r="L19"/>
  <c r="M19"/>
  <c r="K17"/>
  <c r="K16"/>
  <c r="L16"/>
  <c r="M16"/>
  <c r="K9"/>
  <c r="L9"/>
  <c r="M9"/>
  <c r="K6"/>
  <c r="L6"/>
  <c r="M6"/>
  <c r="K5"/>
  <c r="L5"/>
  <c r="M5"/>
  <c r="K3"/>
  <c r="L3"/>
  <c r="M3"/>
  <c r="J6" i="2"/>
  <c r="J8"/>
  <c r="J9"/>
  <c r="J14"/>
  <c r="J7"/>
  <c r="J10"/>
  <c r="J18"/>
  <c r="J16"/>
  <c r="J19"/>
  <c r="J17"/>
  <c r="K18"/>
  <c r="L18"/>
  <c r="M18"/>
  <c r="J27"/>
  <c r="J28"/>
  <c r="J30"/>
  <c r="J29"/>
  <c r="J31"/>
  <c r="K28"/>
  <c r="L28"/>
  <c r="M28"/>
  <c r="J35"/>
  <c r="J36"/>
  <c r="K35"/>
  <c r="L35"/>
  <c r="M35"/>
  <c r="J44"/>
  <c r="K44"/>
  <c r="L44"/>
  <c r="M44"/>
  <c r="J47"/>
  <c r="J45"/>
  <c r="J46"/>
  <c r="K47"/>
  <c r="L47"/>
  <c r="M47"/>
  <c r="J48"/>
  <c r="J49"/>
  <c r="J50"/>
  <c r="J52"/>
  <c r="J51"/>
  <c r="K48"/>
  <c r="L48"/>
  <c r="M48"/>
  <c r="J3"/>
  <c r="J4"/>
  <c r="J5"/>
  <c r="K3"/>
  <c r="L3"/>
  <c r="M3"/>
  <c r="J11"/>
  <c r="J12"/>
  <c r="J13"/>
  <c r="K11"/>
  <c r="L11"/>
  <c r="M11"/>
  <c r="N28"/>
  <c r="J32"/>
  <c r="J33"/>
  <c r="J34"/>
  <c r="J42"/>
  <c r="J43"/>
  <c r="J39"/>
  <c r="J41"/>
  <c r="J40"/>
  <c r="K32"/>
  <c r="L32"/>
  <c r="M32"/>
  <c r="J20"/>
  <c r="J21"/>
  <c r="J24"/>
  <c r="J25"/>
  <c r="K20"/>
  <c r="L20"/>
  <c r="M20"/>
  <c r="N48"/>
  <c r="J37"/>
  <c r="J38"/>
  <c r="J15"/>
  <c r="K37"/>
  <c r="L37"/>
  <c r="M37"/>
  <c r="J22"/>
  <c r="J23"/>
  <c r="J26"/>
  <c r="K22"/>
  <c r="L22"/>
  <c r="M22"/>
  <c r="K158"/>
  <c r="J98"/>
  <c r="J99"/>
  <c r="J100"/>
  <c r="J102"/>
  <c r="J103"/>
  <c r="J101"/>
  <c r="K98"/>
  <c r="L98"/>
  <c r="M98"/>
  <c r="L110"/>
  <c r="M110"/>
  <c r="L132"/>
  <c r="M132"/>
  <c r="J104"/>
  <c r="J105"/>
  <c r="J122"/>
  <c r="J123"/>
  <c r="J124"/>
  <c r="K104"/>
  <c r="L104"/>
  <c r="M104"/>
  <c r="L122"/>
  <c r="M122"/>
  <c r="J129"/>
  <c r="J128"/>
  <c r="J130"/>
  <c r="K129"/>
  <c r="L129"/>
  <c r="M129"/>
  <c r="J106"/>
  <c r="J107"/>
  <c r="J108"/>
  <c r="J96"/>
  <c r="J97"/>
  <c r="K106"/>
  <c r="L106"/>
  <c r="M106"/>
  <c r="J115"/>
  <c r="J116"/>
  <c r="J117"/>
  <c r="J118"/>
  <c r="K115"/>
  <c r="L115"/>
  <c r="M115"/>
  <c r="J112"/>
  <c r="J113"/>
  <c r="J114"/>
  <c r="J109"/>
  <c r="J110"/>
  <c r="J111"/>
  <c r="K112"/>
  <c r="L112"/>
  <c r="M112"/>
  <c r="K159"/>
  <c r="J67"/>
  <c r="J68"/>
  <c r="J69"/>
  <c r="J60"/>
  <c r="J62"/>
  <c r="J63"/>
  <c r="L64"/>
  <c r="M64"/>
  <c r="L66"/>
  <c r="M66"/>
  <c r="J56"/>
  <c r="J57"/>
  <c r="J70"/>
  <c r="J66"/>
  <c r="K56"/>
  <c r="L56"/>
  <c r="M56"/>
  <c r="J58"/>
  <c r="J64"/>
  <c r="J65"/>
  <c r="K58"/>
  <c r="L58"/>
  <c r="M58"/>
  <c r="K160"/>
  <c r="J72"/>
  <c r="J73"/>
  <c r="J92"/>
  <c r="J93"/>
  <c r="J74"/>
  <c r="J75"/>
  <c r="J94"/>
  <c r="K72"/>
  <c r="L72"/>
  <c r="M72"/>
  <c r="L71"/>
  <c r="M71"/>
  <c r="J82"/>
  <c r="J83"/>
  <c r="J84"/>
  <c r="J86"/>
  <c r="J85"/>
  <c r="J87"/>
  <c r="K82"/>
  <c r="L82"/>
  <c r="M82"/>
  <c r="J88"/>
  <c r="J89"/>
  <c r="J80"/>
  <c r="J81"/>
  <c r="K88"/>
  <c r="L88"/>
  <c r="M88"/>
  <c r="L78"/>
  <c r="M78"/>
  <c r="K161"/>
  <c r="J138"/>
  <c r="J140"/>
  <c r="J143"/>
  <c r="J137"/>
  <c r="J139"/>
  <c r="K138"/>
  <c r="L138"/>
  <c r="M138"/>
  <c r="J142"/>
  <c r="K142"/>
  <c r="L142"/>
  <c r="M142"/>
  <c r="K162"/>
  <c r="K167"/>
  <c r="J53"/>
  <c r="J54"/>
  <c r="J55"/>
  <c r="J59"/>
  <c r="J61"/>
  <c r="J71"/>
  <c r="J76"/>
  <c r="J77"/>
  <c r="J78"/>
  <c r="J79"/>
  <c r="J90"/>
  <c r="J91"/>
  <c r="J95"/>
  <c r="J119"/>
  <c r="J120"/>
  <c r="J121"/>
  <c r="J125"/>
  <c r="J126"/>
  <c r="J127"/>
  <c r="J131"/>
  <c r="J132"/>
  <c r="J133"/>
  <c r="J134"/>
  <c r="J135"/>
  <c r="J136"/>
  <c r="J141"/>
  <c r="J144"/>
  <c r="J145"/>
  <c r="J146"/>
  <c r="J147"/>
  <c r="J148"/>
  <c r="J149"/>
  <c r="J150"/>
  <c r="J155"/>
  <c r="K163"/>
  <c r="K164"/>
  <c r="K165"/>
  <c r="K166"/>
  <c r="K155"/>
  <c r="K157"/>
  <c r="K156"/>
  <c r="I155"/>
  <c r="G155"/>
  <c r="K154"/>
  <c r="K153"/>
  <c r="K152"/>
  <c r="K151"/>
  <c r="K150"/>
  <c r="K149"/>
  <c r="K148"/>
  <c r="K147"/>
  <c r="K146"/>
  <c r="K144"/>
  <c r="K141"/>
  <c r="K136"/>
  <c r="K126"/>
  <c r="K76"/>
  <c r="K67"/>
  <c r="K53"/>
  <c r="K14"/>
  <c r="K6"/>
  <c r="J3" i="1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8"/>
  <c r="K98"/>
  <c r="K100"/>
  <c r="K99"/>
  <c r="I98"/>
  <c r="G98"/>
  <c r="K97"/>
  <c r="K96"/>
  <c r="K95"/>
  <c r="K94"/>
  <c r="K93"/>
  <c r="K92"/>
  <c r="K91"/>
  <c r="K90"/>
  <c r="L90"/>
  <c r="M90"/>
  <c r="K88"/>
  <c r="L88"/>
  <c r="M88"/>
  <c r="K84"/>
  <c r="K83"/>
  <c r="K82"/>
  <c r="L75"/>
  <c r="M75"/>
  <c r="K74"/>
  <c r="L74"/>
  <c r="M74"/>
  <c r="K72"/>
  <c r="K70"/>
  <c r="L70"/>
  <c r="M70"/>
  <c r="K67"/>
  <c r="L67"/>
  <c r="M67"/>
  <c r="K61"/>
  <c r="L61"/>
  <c r="M61"/>
  <c r="L58"/>
  <c r="M58"/>
  <c r="K55"/>
  <c r="L55"/>
  <c r="M55"/>
  <c r="K50"/>
  <c r="L50"/>
  <c r="M50"/>
  <c r="L48"/>
  <c r="M48"/>
  <c r="K46"/>
  <c r="L46"/>
  <c r="M46"/>
  <c r="L41"/>
  <c r="M41"/>
  <c r="K39"/>
  <c r="L39"/>
  <c r="M39"/>
  <c r="L37"/>
  <c r="M37"/>
  <c r="K35"/>
  <c r="K31"/>
  <c r="L31"/>
  <c r="M31"/>
  <c r="K28"/>
  <c r="L28"/>
  <c r="M28"/>
  <c r="K26"/>
  <c r="L26"/>
  <c r="M26"/>
  <c r="K23"/>
  <c r="K22"/>
  <c r="L22"/>
  <c r="M22"/>
  <c r="K21"/>
  <c r="L21"/>
  <c r="M21"/>
  <c r="K20"/>
  <c r="K17"/>
  <c r="L17"/>
  <c r="M17"/>
  <c r="K16"/>
  <c r="L16"/>
  <c r="M16"/>
  <c r="K15"/>
  <c r="K12"/>
  <c r="L12"/>
  <c r="M12"/>
  <c r="K9"/>
  <c r="L9"/>
  <c r="M9"/>
  <c r="K8"/>
  <c r="L8"/>
  <c r="M8"/>
  <c r="K6"/>
  <c r="L6"/>
  <c r="M6"/>
  <c r="K4"/>
  <c r="L4"/>
  <c r="M4"/>
  <c r="K3"/>
</calcChain>
</file>

<file path=xl/sharedStrings.xml><?xml version="1.0" encoding="utf-8"?>
<sst xmlns="http://schemas.openxmlformats.org/spreadsheetml/2006/main" count="3681" uniqueCount="372">
  <si>
    <t>W类</t>
  </si>
  <si>
    <t>渠道</t>
  </si>
  <si>
    <t>账号</t>
  </si>
  <si>
    <t>销售人员</t>
  </si>
  <si>
    <t>AM</t>
  </si>
  <si>
    <t>FE</t>
  </si>
  <si>
    <t>叶松玲</t>
  </si>
  <si>
    <t>叶松玲 CN</t>
  </si>
  <si>
    <t>DDA</t>
  </si>
  <si>
    <t>梁晓文</t>
  </si>
  <si>
    <t>梁晓文 CN</t>
  </si>
  <si>
    <t>SMT</t>
  </si>
  <si>
    <t>OJAJU</t>
  </si>
  <si>
    <t>黄海兰</t>
  </si>
  <si>
    <t>黄海兰 CN</t>
  </si>
  <si>
    <t>wish</t>
  </si>
  <si>
    <t>LQ</t>
  </si>
  <si>
    <t>杨春梅</t>
  </si>
  <si>
    <t>杨春梅 CN</t>
  </si>
  <si>
    <t>FC</t>
  </si>
  <si>
    <t>邓花儿</t>
  </si>
  <si>
    <t>邓花儿 CN</t>
  </si>
  <si>
    <t>AIG</t>
  </si>
  <si>
    <t>JYS</t>
  </si>
  <si>
    <t>DDW</t>
  </si>
  <si>
    <t>陈小凤</t>
  </si>
  <si>
    <t>陈小凤 CN</t>
  </si>
  <si>
    <t>HCD</t>
  </si>
  <si>
    <t>AFS</t>
  </si>
  <si>
    <t>杨梅花</t>
  </si>
  <si>
    <t>杨梅花 CN</t>
  </si>
  <si>
    <t>SD</t>
  </si>
  <si>
    <t>刘洁</t>
  </si>
  <si>
    <t>刘洁 CN</t>
  </si>
  <si>
    <t>FQL</t>
  </si>
  <si>
    <t>/</t>
  </si>
  <si>
    <t>/ CN</t>
  </si>
  <si>
    <t>YD</t>
  </si>
  <si>
    <t>郑晓萍</t>
  </si>
  <si>
    <t>郑晓萍 CN</t>
  </si>
  <si>
    <t>Ebay</t>
  </si>
  <si>
    <t>LM</t>
  </si>
  <si>
    <t>郑华静</t>
  </si>
  <si>
    <t>郑华静 CN</t>
  </si>
  <si>
    <t>shoppe</t>
  </si>
  <si>
    <t>ID</t>
  </si>
  <si>
    <t>黎咏芝</t>
  </si>
  <si>
    <t>黎咏芝 CN</t>
  </si>
  <si>
    <t>MY</t>
  </si>
  <si>
    <t>客服</t>
  </si>
  <si>
    <t>王晓虹</t>
  </si>
  <si>
    <t>何楚然</t>
  </si>
  <si>
    <t>朱晓琦</t>
  </si>
  <si>
    <t>陈子婷</t>
  </si>
  <si>
    <t>王佳敏</t>
  </si>
  <si>
    <t>莫珊连</t>
  </si>
  <si>
    <t>周慧雯</t>
  </si>
  <si>
    <t>总数</t>
  </si>
  <si>
    <t>投资者风险与收益</t>
  </si>
  <si>
    <t>公司收益</t>
  </si>
  <si>
    <t>amazon带队</t>
  </si>
  <si>
    <t>待定</t>
  </si>
  <si>
    <t>ebay带队</t>
  </si>
  <si>
    <t>smt带队</t>
  </si>
  <si>
    <t>黎咏芝管</t>
  </si>
  <si>
    <t>wish带队</t>
  </si>
  <si>
    <t>沃尔玛</t>
  </si>
  <si>
    <t>产品管理</t>
  </si>
  <si>
    <t>产品经理</t>
  </si>
  <si>
    <t>销售额（USD）</t>
  </si>
  <si>
    <t>利润率</t>
  </si>
  <si>
    <t>退款金额（USD）</t>
  </si>
  <si>
    <t>毛利（USD)</t>
  </si>
  <si>
    <t>提成(RMB)</t>
  </si>
  <si>
    <t>汇率:</t>
  </si>
  <si>
    <t>A类</t>
  </si>
  <si>
    <t>LYZ</t>
  </si>
  <si>
    <t>罗金城</t>
  </si>
  <si>
    <t>罗金城 CN</t>
  </si>
  <si>
    <t>罗金城 US</t>
  </si>
  <si>
    <t>罗金城 FBA</t>
  </si>
  <si>
    <t>NC</t>
  </si>
  <si>
    <t>关文静</t>
  </si>
  <si>
    <t>关文静 CN</t>
  </si>
  <si>
    <t>关文静 US</t>
  </si>
  <si>
    <t>关文静 FBA</t>
  </si>
  <si>
    <t>梁晓文 US</t>
  </si>
  <si>
    <t>梁晓文 FBA</t>
  </si>
  <si>
    <t>ZQDE</t>
  </si>
  <si>
    <t>FUT</t>
  </si>
  <si>
    <t>赖家雄</t>
  </si>
  <si>
    <t>赖家雄 CN</t>
  </si>
  <si>
    <t>赖家雄 US</t>
  </si>
  <si>
    <t>赖家雄 FBA</t>
  </si>
  <si>
    <t>SF</t>
  </si>
  <si>
    <t>FLOUK</t>
  </si>
  <si>
    <t>张志华</t>
  </si>
  <si>
    <t>张志华 CN</t>
  </si>
  <si>
    <t>张志华 FBA</t>
  </si>
  <si>
    <t>唐进锋</t>
  </si>
  <si>
    <t>唐进锋 CN</t>
  </si>
  <si>
    <t>唐进锋 US</t>
  </si>
  <si>
    <t>SAYAU</t>
  </si>
  <si>
    <t>黄海明</t>
  </si>
  <si>
    <t>黄海明 CN</t>
  </si>
  <si>
    <t>黄海明 FBA</t>
  </si>
  <si>
    <t>AFUK</t>
  </si>
  <si>
    <t>HOJP</t>
  </si>
  <si>
    <t>梁海鲜</t>
  </si>
  <si>
    <t>梁海鲜 CN</t>
  </si>
  <si>
    <t>梁海鲜 FBA</t>
  </si>
  <si>
    <t>FLOJP</t>
  </si>
  <si>
    <t>FUTJP</t>
  </si>
  <si>
    <t>王敏芝</t>
  </si>
  <si>
    <t>王敏芝 CN</t>
  </si>
  <si>
    <t>林施延</t>
  </si>
  <si>
    <t>林施延 CN</t>
  </si>
  <si>
    <t>HI</t>
  </si>
  <si>
    <t>LHY</t>
  </si>
  <si>
    <t>FS</t>
  </si>
  <si>
    <t>FL</t>
  </si>
  <si>
    <t>陈梦婷</t>
  </si>
  <si>
    <t>陈梦婷 CN</t>
  </si>
  <si>
    <t>JS</t>
  </si>
  <si>
    <t>杜与宁</t>
  </si>
  <si>
    <t>杜与宁 US</t>
  </si>
  <si>
    <t>杜与宁 FBA</t>
  </si>
  <si>
    <t>AFDE</t>
  </si>
  <si>
    <t>杜与宁 CN</t>
  </si>
  <si>
    <t>SAYIN</t>
  </si>
  <si>
    <t>WZJJP</t>
  </si>
  <si>
    <t>赖嘉怡</t>
  </si>
  <si>
    <t>赖嘉怡 CN</t>
  </si>
  <si>
    <t>邓花儿 US</t>
  </si>
  <si>
    <t>LQX</t>
  </si>
  <si>
    <t>杨梅花 US</t>
  </si>
  <si>
    <t>MMW</t>
  </si>
  <si>
    <t>曾金龙</t>
  </si>
  <si>
    <t>曾金龙 US</t>
  </si>
  <si>
    <t>XM</t>
  </si>
  <si>
    <t>CW</t>
  </si>
  <si>
    <t>杨春梅 US</t>
  </si>
  <si>
    <t xml:space="preserve"> CN</t>
  </si>
  <si>
    <t>DDS</t>
  </si>
  <si>
    <t>李秀丽</t>
  </si>
  <si>
    <t>李秀丽 US</t>
  </si>
  <si>
    <t>李秀丽 CN线下单</t>
  </si>
  <si>
    <t>BD</t>
  </si>
  <si>
    <t>陈嘉霓</t>
  </si>
  <si>
    <t>陈嘉霓 CN</t>
  </si>
  <si>
    <t>梁小丽</t>
  </si>
  <si>
    <t>梁小丽 CN</t>
  </si>
  <si>
    <t>FYC</t>
  </si>
  <si>
    <t>李秀丽 CN</t>
  </si>
  <si>
    <t>CHENS</t>
  </si>
  <si>
    <t>JIAO</t>
  </si>
  <si>
    <t>CTG</t>
  </si>
  <si>
    <t>黎咏芝 US</t>
  </si>
  <si>
    <t>EBAY</t>
  </si>
  <si>
    <t>HYE</t>
  </si>
  <si>
    <t>黄楚军</t>
  </si>
  <si>
    <t>黄楚军 US</t>
  </si>
  <si>
    <t>YJ</t>
  </si>
  <si>
    <t>吴小婷</t>
  </si>
  <si>
    <t>吴小婷 US</t>
  </si>
  <si>
    <t>郑华静 US</t>
  </si>
  <si>
    <t>LZ</t>
  </si>
  <si>
    <t>刘巧金</t>
  </si>
  <si>
    <t>刘巧金 CN</t>
  </si>
  <si>
    <t>LB</t>
  </si>
  <si>
    <t>刘巧金 US</t>
  </si>
  <si>
    <t>NK</t>
  </si>
  <si>
    <t>黄婉华</t>
  </si>
  <si>
    <t>黄婉华 CN</t>
  </si>
  <si>
    <t>黄婉华 US</t>
  </si>
  <si>
    <t>NCK</t>
  </si>
  <si>
    <t>EU</t>
  </si>
  <si>
    <t>廖牧原</t>
  </si>
  <si>
    <t>廖牧原 US</t>
  </si>
  <si>
    <t>VOVA</t>
  </si>
  <si>
    <t>GZ</t>
  </si>
  <si>
    <t>WALMART</t>
  </si>
  <si>
    <t>LGI</t>
  </si>
  <si>
    <t>陈宇琼</t>
  </si>
  <si>
    <t>陈宇琼 CN</t>
  </si>
  <si>
    <t>陈宇琼 US</t>
  </si>
  <si>
    <t>LGS</t>
  </si>
  <si>
    <t>李文婷</t>
  </si>
  <si>
    <t>李文婷 US</t>
  </si>
  <si>
    <t>SEARS</t>
  </si>
  <si>
    <t>shopper</t>
  </si>
  <si>
    <t>SG</t>
  </si>
  <si>
    <t>石冲</t>
  </si>
  <si>
    <t>amazon服装管理</t>
  </si>
  <si>
    <t>ebay服装管理</t>
  </si>
  <si>
    <t>smt服装管理</t>
  </si>
  <si>
    <t>wish服装管理</t>
  </si>
  <si>
    <t>N类</t>
  </si>
  <si>
    <t>叶松玲 FBA</t>
  </si>
  <si>
    <t>OL</t>
  </si>
  <si>
    <t>王敏芝 FBA</t>
  </si>
  <si>
    <t>SLTY</t>
  </si>
  <si>
    <t>陈红萍</t>
  </si>
  <si>
    <t>陈红萍 CN</t>
  </si>
  <si>
    <t>林施延 FBA</t>
  </si>
  <si>
    <t>OMG</t>
  </si>
  <si>
    <t>黄丹丽</t>
  </si>
  <si>
    <t>黄丹丽 CN</t>
  </si>
  <si>
    <t>邵冬莹</t>
  </si>
  <si>
    <t>邵冬莹 CN</t>
  </si>
  <si>
    <t>邵冬莹 FBA</t>
  </si>
  <si>
    <t>MNS</t>
  </si>
  <si>
    <t>CTGW</t>
  </si>
  <si>
    <t>CN</t>
  </si>
  <si>
    <t>LYZW</t>
  </si>
  <si>
    <t>刘巧金 UK</t>
  </si>
  <si>
    <t>ZYL</t>
  </si>
  <si>
    <t>黄婉华 UK</t>
  </si>
  <si>
    <t>郑华静 UK</t>
  </si>
  <si>
    <t>HHW</t>
  </si>
  <si>
    <t>黄楚军 CN</t>
  </si>
  <si>
    <t>黄楚军 UK</t>
  </si>
  <si>
    <t>FULL</t>
  </si>
  <si>
    <t>谢志坚</t>
  </si>
  <si>
    <t>谢志坚 CN</t>
  </si>
  <si>
    <t>谢志坚 US</t>
  </si>
  <si>
    <t>NY</t>
  </si>
  <si>
    <t>吴小婷 CN</t>
  </si>
  <si>
    <t>廖牧原 CN</t>
  </si>
  <si>
    <t>AS</t>
  </si>
  <si>
    <t>DY</t>
  </si>
  <si>
    <t>EG</t>
  </si>
  <si>
    <t>曾燕青</t>
  </si>
  <si>
    <t>曾燕青 CN</t>
  </si>
  <si>
    <t>TW</t>
  </si>
  <si>
    <t>SOUQ</t>
  </si>
  <si>
    <t>Oasis-city</t>
  </si>
  <si>
    <t>符荣珠</t>
  </si>
  <si>
    <t>符荣珠 CN</t>
  </si>
  <si>
    <t>符荣珠 US</t>
  </si>
  <si>
    <t>LGI/测试款</t>
  </si>
  <si>
    <t>B类</t>
  </si>
  <si>
    <t>公司奖励</t>
  </si>
  <si>
    <t>ZQES</t>
  </si>
  <si>
    <t>冯琼灵</t>
  </si>
  <si>
    <t>冯琼灵 CN</t>
  </si>
  <si>
    <t>欧曼洁</t>
  </si>
  <si>
    <t>欧曼洁 CN</t>
  </si>
  <si>
    <t>欧曼洁 FBA</t>
  </si>
  <si>
    <t>WZJUK</t>
  </si>
  <si>
    <t>WZJDE</t>
  </si>
  <si>
    <t>唐进锋 FBA</t>
  </si>
  <si>
    <t>ZQUK</t>
  </si>
  <si>
    <t>唐进锋 UK</t>
  </si>
  <si>
    <t>PPS</t>
  </si>
  <si>
    <t>王敏芝  CN</t>
  </si>
  <si>
    <t>赖嘉怡 FBA</t>
  </si>
  <si>
    <t>LXJ</t>
  </si>
  <si>
    <t>何宝茵</t>
  </si>
  <si>
    <t>何宝茵 CN</t>
  </si>
  <si>
    <t>FI</t>
  </si>
  <si>
    <t>陈慧宁</t>
  </si>
  <si>
    <t>陈慧宁 CN</t>
  </si>
  <si>
    <t>陈慧宁 US</t>
  </si>
  <si>
    <t>黄海兰 US</t>
  </si>
  <si>
    <t>MYLEY</t>
  </si>
  <si>
    <t>LWS</t>
  </si>
  <si>
    <t>NK2</t>
  </si>
  <si>
    <t>LJX</t>
  </si>
  <si>
    <t>WISH</t>
  </si>
  <si>
    <t>陈小凤 US</t>
  </si>
  <si>
    <t>/ US</t>
  </si>
  <si>
    <t>US</t>
  </si>
  <si>
    <t>谢志坚 UK</t>
  </si>
  <si>
    <t>廖牧原 UK</t>
  </si>
  <si>
    <t>吴小婷 UK</t>
  </si>
  <si>
    <t>SHOPPE</t>
  </si>
  <si>
    <r>
      <rPr>
        <sz val="11"/>
        <color theme="1"/>
        <rFont val="宋体"/>
        <family val="2"/>
        <charset val="134"/>
        <scheme val="minor"/>
      </rPr>
      <t>L</t>
    </r>
    <r>
      <rPr>
        <sz val="11"/>
        <color theme="1"/>
        <rFont val="宋体"/>
        <family val="2"/>
        <charset val="134"/>
        <scheme val="minor"/>
      </rPr>
      <t>GI</t>
    </r>
  </si>
  <si>
    <t>李文婷 CN</t>
  </si>
  <si>
    <r>
      <rPr>
        <sz val="11"/>
        <rFont val="宋体"/>
        <charset val="134"/>
      </rPr>
      <t xml:space="preserve">李文婷 </t>
    </r>
    <r>
      <rPr>
        <sz val="11"/>
        <rFont val="宋体"/>
        <charset val="134"/>
      </rPr>
      <t>US</t>
    </r>
  </si>
  <si>
    <t>LGI（CA）</t>
  </si>
  <si>
    <t>詹凤娟</t>
  </si>
  <si>
    <t>詹凤娟 CN</t>
  </si>
  <si>
    <t>LGI测试款</t>
  </si>
  <si>
    <t>Souq</t>
  </si>
  <si>
    <t>Charm lady</t>
  </si>
  <si>
    <t>黄楚军 阿联酋</t>
  </si>
  <si>
    <t>黄楚军 阿联酋FBS</t>
  </si>
  <si>
    <t>Easy-buy-uae</t>
  </si>
  <si>
    <t>总</t>
  </si>
  <si>
    <t>C类打底裤</t>
  </si>
  <si>
    <t>钟为坎</t>
  </si>
  <si>
    <t>钟为坎 CN</t>
  </si>
  <si>
    <t>黄晓华</t>
  </si>
  <si>
    <t>黄晓华 UK</t>
  </si>
  <si>
    <t xml:space="preserve">吴小婷 UK </t>
  </si>
  <si>
    <t>梁小丽 US</t>
  </si>
  <si>
    <t>叶婷婷</t>
  </si>
  <si>
    <t>叶婷婷 CN</t>
  </si>
  <si>
    <t xml:space="preserve"> US</t>
  </si>
  <si>
    <t>walmart</t>
  </si>
  <si>
    <t>D类</t>
  </si>
  <si>
    <t>销售</t>
  </si>
  <si>
    <t>邵冬莹 US</t>
  </si>
  <si>
    <t>蔡林珊</t>
  </si>
  <si>
    <t>蔡林珊 CN</t>
  </si>
  <si>
    <t>林施延 US</t>
  </si>
  <si>
    <t>陈红萍 FBA</t>
  </si>
  <si>
    <t>WZJUS</t>
  </si>
  <si>
    <t>NJ</t>
  </si>
  <si>
    <t>Sears</t>
  </si>
  <si>
    <t>House</t>
  </si>
  <si>
    <t>杨春梅 沙特</t>
  </si>
  <si>
    <t>杨春梅 沙特FBS</t>
  </si>
  <si>
    <t>谢志坚 沙特</t>
  </si>
  <si>
    <t>谢志坚 沙特FBS</t>
  </si>
  <si>
    <t>黎咏芝 阿联酋</t>
  </si>
  <si>
    <t>黄楚军 沙特</t>
  </si>
  <si>
    <t>E类</t>
  </si>
  <si>
    <t>amazon服装带队</t>
  </si>
  <si>
    <t>ebay服装带队</t>
  </si>
  <si>
    <t>smt服装带队</t>
  </si>
  <si>
    <t>wish服装带队</t>
  </si>
  <si>
    <t>F类</t>
  </si>
  <si>
    <t>陈嘉霓 US</t>
  </si>
  <si>
    <t>G类</t>
  </si>
  <si>
    <t>张志华 UK</t>
  </si>
  <si>
    <t>梁晓晴</t>
  </si>
  <si>
    <t>梁晓晴 US</t>
  </si>
  <si>
    <t>陈红萍 US</t>
  </si>
  <si>
    <t>8月杨梅花 CN</t>
  </si>
  <si>
    <t>OTG</t>
  </si>
  <si>
    <t>GSY</t>
  </si>
  <si>
    <t>黄惠芳</t>
  </si>
  <si>
    <t>黄惠芳 CN</t>
  </si>
  <si>
    <t>L4B</t>
  </si>
  <si>
    <t>MYLYE</t>
  </si>
  <si>
    <t>吴利平</t>
  </si>
  <si>
    <t>吴利平 CN</t>
  </si>
  <si>
    <t>ZHIS</t>
  </si>
  <si>
    <t>服装</t>
  </si>
  <si>
    <t>发品</t>
  </si>
  <si>
    <t>家居</t>
  </si>
  <si>
    <t>名字</t>
  </si>
  <si>
    <t>部门</t>
  </si>
  <si>
    <t>塑身衣Y</t>
  </si>
  <si>
    <t>塑身衣Z</t>
  </si>
  <si>
    <t>护具</t>
  </si>
  <si>
    <t>假发</t>
  </si>
  <si>
    <t>五金</t>
  </si>
  <si>
    <t>内裤</t>
  </si>
  <si>
    <t>比基尼</t>
  </si>
  <si>
    <t>真发</t>
  </si>
  <si>
    <t>室内装饰</t>
  </si>
  <si>
    <t>打底裤</t>
  </si>
  <si>
    <t>鞋子</t>
  </si>
  <si>
    <t>LED灯</t>
  </si>
  <si>
    <t>J类</t>
  </si>
  <si>
    <t>销售提成合计</t>
  </si>
  <si>
    <t>抽点</t>
  </si>
  <si>
    <t>奖金</t>
  </si>
  <si>
    <t>合计</t>
  </si>
  <si>
    <t>amzzon销售</t>
  </si>
  <si>
    <t>SMT销售</t>
  </si>
  <si>
    <t>wish销售</t>
  </si>
  <si>
    <t>ebay销售</t>
  </si>
  <si>
    <t>石可怀</t>
  </si>
  <si>
    <t>walmart销售</t>
  </si>
  <si>
    <t>助理</t>
  </si>
  <si>
    <t>amazon</t>
  </si>
  <si>
    <t>ebay</t>
  </si>
  <si>
    <t>smt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</si>
</sst>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0.00_ "/>
    <numFmt numFmtId="177" formatCode="\$#,##0.00;\-\$#,##0.00"/>
    <numFmt numFmtId="178" formatCode="_-\$* #,##0.00_ ;_-\$* \-#,##0.00\ ;_-\$* &quot;-&quot;??_ ;_-@_ "/>
    <numFmt numFmtId="179" formatCode="\¥#,##0.00;[Red]\¥\-#,##0.00"/>
    <numFmt numFmtId="180" formatCode="#,##0.00;[Red]#,##0.00"/>
    <numFmt numFmtId="181" formatCode="\¥#,##0.00;\¥\-#,##0.00"/>
    <numFmt numFmtId="182" formatCode="#,##0.00_ "/>
    <numFmt numFmtId="183" formatCode="\¥#,##0.00_);[Red]\(\¥#,##0.00\)"/>
    <numFmt numFmtId="184" formatCode="0.00_);[Red]\(0.00\)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FF0000"/>
      <name val="宋体"/>
      <charset val="134"/>
    </font>
    <font>
      <b/>
      <sz val="12"/>
      <color rgb="FF000000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FFCC00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128">
    <xf numFmtId="0" fontId="0" fillId="0" borderId="0" xfId="0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2" fillId="2" borderId="4" xfId="0" applyNumberFormat="1" applyFont="1" applyFill="1" applyBorder="1" applyAlignment="1">
      <alignment horizontal="center" vertical="center"/>
    </xf>
    <xf numFmtId="43" fontId="2" fillId="2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177" fontId="8" fillId="6" borderId="1" xfId="0" applyNumberFormat="1" applyFont="1" applyFill="1" applyBorder="1" applyAlignment="1">
      <alignment horizontal="center" vertical="center"/>
    </xf>
    <xf numFmtId="10" fontId="8" fillId="6" borderId="1" xfId="0" applyNumberFormat="1" applyFont="1" applyFill="1" applyBorder="1" applyAlignment="1">
      <alignment horizontal="center" vertical="center"/>
    </xf>
    <xf numFmtId="178" fontId="8" fillId="6" borderId="1" xfId="0" applyNumberFormat="1" applyFont="1" applyFill="1" applyBorder="1" applyAlignment="1">
      <alignment horizontal="center" vertical="center"/>
    </xf>
    <xf numFmtId="179" fontId="8" fillId="6" borderId="1" xfId="0" applyNumberFormat="1" applyFont="1" applyFill="1" applyBorder="1" applyAlignment="1">
      <alignment horizontal="center" vertical="center"/>
    </xf>
    <xf numFmtId="179" fontId="8" fillId="6" borderId="4" xfId="0" applyNumberFormat="1" applyFont="1" applyFill="1" applyBorder="1" applyAlignment="1">
      <alignment horizontal="center" vertical="center"/>
    </xf>
    <xf numFmtId="43" fontId="8" fillId="6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57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78" fontId="9" fillId="2" borderId="1" xfId="1" applyNumberFormat="1" applyFont="1" applyFill="1" applyBorder="1" applyAlignment="1">
      <alignment horizontal="center" vertical="center"/>
    </xf>
    <xf numFmtId="180" fontId="14" fillId="2" borderId="1" xfId="0" applyNumberFormat="1" applyFont="1" applyFill="1" applyBorder="1" applyAlignment="1">
      <alignment horizontal="center" vertical="center"/>
    </xf>
    <xf numFmtId="181" fontId="14" fillId="2" borderId="1" xfId="2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3" fillId="2" borderId="1" xfId="0" applyNumberFormat="1" applyFont="1" applyFill="1" applyBorder="1" applyAlignment="1">
      <alignment horizontal="center" vertical="center"/>
    </xf>
    <xf numFmtId="18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10" borderId="1" xfId="0" applyFill="1" applyBorder="1">
      <alignment vertical="center"/>
    </xf>
    <xf numFmtId="176" fontId="0" fillId="0" borderId="1" xfId="0" applyNumberFormat="1" applyBorder="1">
      <alignment vertical="center"/>
    </xf>
    <xf numFmtId="176" fontId="0" fillId="10" borderId="1" xfId="0" applyNumberFormat="1" applyFill="1" applyBorder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4" borderId="0" xfId="0" applyFont="1" applyFill="1" applyBorder="1" applyAlignment="1">
      <alignment vertical="center"/>
    </xf>
    <xf numFmtId="184" fontId="15" fillId="0" borderId="1" xfId="3" applyNumberForma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184" fontId="15" fillId="0" borderId="4" xfId="3" applyNumberFormat="1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4" xfId="0" applyBorder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15" fillId="0" borderId="4" xfId="3" applyNumberFormat="1" applyFill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center"/>
    </xf>
    <xf numFmtId="183" fontId="6" fillId="6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4">
    <cellStyle name="20% - 强调文字颜色 4 33" xfId="3"/>
    <cellStyle name="20% - 强调文字颜色 5 2 16" xfId="2"/>
    <cellStyle name="常规" xfId="0" builtinId="0"/>
    <cellStyle name="警告文本 27 9" xfId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rgb="FF000000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rgb="FF000000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rgb="FF000000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rgb="FF000000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类"/>
      <sheetName val="A类"/>
      <sheetName val="T类"/>
      <sheetName val="M类"/>
      <sheetName val="Z类"/>
      <sheetName val="H类"/>
      <sheetName val="V类"/>
      <sheetName val="B类"/>
      <sheetName val="K类"/>
      <sheetName val="D类"/>
      <sheetName val="C类打底裤"/>
      <sheetName val="Q类"/>
      <sheetName val="L类"/>
      <sheetName val="E类"/>
      <sheetName val="F类"/>
      <sheetName val="G类"/>
      <sheetName val="N类"/>
      <sheetName val="J类"/>
      <sheetName val="W类"/>
      <sheetName val="MS类"/>
      <sheetName val="C类刷头"/>
      <sheetName val="S类"/>
      <sheetName val="头花"/>
      <sheetName val="提成汇总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5">
          <cell r="J25">
            <v>0</v>
          </cell>
        </row>
      </sheetData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7"/>
  <sheetViews>
    <sheetView tabSelected="1" workbookViewId="0">
      <selection activeCell="I13" sqref="I13"/>
    </sheetView>
  </sheetViews>
  <sheetFormatPr defaultRowHeight="13.5"/>
  <cols>
    <col min="1" max="1" width="15.125" style="45" customWidth="1"/>
    <col min="2" max="2" width="18.375" style="45" customWidth="1"/>
    <col min="3" max="3" width="10.75" style="45" customWidth="1"/>
    <col min="4" max="4" width="9.625" style="45" customWidth="1"/>
    <col min="5" max="5" width="9" style="45" customWidth="1"/>
    <col min="6" max="6" width="18.25" style="45" customWidth="1"/>
    <col min="7" max="7" width="14.625" style="46" customWidth="1"/>
    <col min="8" max="8" width="10" style="47" customWidth="1"/>
    <col min="9" max="9" width="15.5" style="48" customWidth="1"/>
    <col min="10" max="10" width="16.125" style="46" customWidth="1"/>
    <col min="11" max="11" width="14.125" style="46" customWidth="1"/>
    <col min="12" max="12" width="12.25" style="46" customWidth="1"/>
    <col min="13" max="13" width="13" style="46" customWidth="1"/>
    <col min="14" max="14" width="9" style="45"/>
    <col min="15" max="15" width="15.75" style="45" customWidth="1"/>
    <col min="16" max="16384" width="9" style="45"/>
  </cols>
  <sheetData>
    <row r="1" spans="1:25">
      <c r="C1" s="45" t="s">
        <v>75</v>
      </c>
    </row>
    <row r="2" spans="1:25" s="126" customFormat="1" ht="21" customHeight="1">
      <c r="A2" s="49"/>
      <c r="B2" s="49"/>
      <c r="C2" s="50" t="s">
        <v>1</v>
      </c>
      <c r="D2" s="50" t="s">
        <v>2</v>
      </c>
      <c r="E2" s="50"/>
      <c r="F2" s="51" t="s">
        <v>3</v>
      </c>
      <c r="G2" s="52" t="s">
        <v>69</v>
      </c>
      <c r="H2" s="53" t="s">
        <v>70</v>
      </c>
      <c r="I2" s="54" t="s">
        <v>71</v>
      </c>
      <c r="J2" s="54" t="s">
        <v>72</v>
      </c>
      <c r="K2" s="55" t="s">
        <v>73</v>
      </c>
      <c r="L2" s="56"/>
      <c r="M2" s="57" t="s">
        <v>74</v>
      </c>
      <c r="N2" s="58">
        <v>7.01</v>
      </c>
      <c r="O2" s="122"/>
      <c r="P2" s="123"/>
      <c r="Q2" s="124"/>
      <c r="R2" s="125"/>
      <c r="S2" s="125"/>
      <c r="W2" s="127"/>
      <c r="X2" s="127"/>
      <c r="Y2" s="127"/>
    </row>
    <row r="3" spans="1:25">
      <c r="A3" s="59">
        <v>43556</v>
      </c>
      <c r="B3" s="45" t="s">
        <v>75</v>
      </c>
      <c r="C3" s="60" t="s">
        <v>4</v>
      </c>
      <c r="D3" s="45" t="s">
        <v>76</v>
      </c>
      <c r="E3" s="45" t="s">
        <v>77</v>
      </c>
      <c r="F3" s="61" t="s">
        <v>78</v>
      </c>
      <c r="G3" s="62"/>
      <c r="H3" s="63"/>
      <c r="I3" s="64"/>
      <c r="J3" s="62">
        <f t="shared" ref="J3:J66" si="0">G3*H3*0.98-I3</f>
        <v>0</v>
      </c>
      <c r="K3" s="62">
        <f>(J3+J4+J5)*0.015*N2</f>
        <v>0</v>
      </c>
      <c r="L3" s="62">
        <f>K3/0.015*0.25</f>
        <v>0</v>
      </c>
      <c r="M3" s="62">
        <f>L3-K3</f>
        <v>0</v>
      </c>
    </row>
    <row r="4" spans="1:25">
      <c r="A4" s="59">
        <v>43556</v>
      </c>
      <c r="B4" s="45" t="s">
        <v>75</v>
      </c>
      <c r="C4" s="65"/>
      <c r="D4" s="45" t="s">
        <v>76</v>
      </c>
      <c r="E4" s="45" t="s">
        <v>77</v>
      </c>
      <c r="F4" s="61" t="s">
        <v>79</v>
      </c>
      <c r="G4" s="62"/>
      <c r="H4" s="63"/>
      <c r="I4" s="64"/>
      <c r="J4" s="62">
        <f t="shared" si="0"/>
        <v>0</v>
      </c>
      <c r="K4" s="62"/>
      <c r="L4" s="62"/>
      <c r="M4" s="62"/>
    </row>
    <row r="5" spans="1:25">
      <c r="A5" s="59">
        <v>43556</v>
      </c>
      <c r="B5" s="45" t="s">
        <v>75</v>
      </c>
      <c r="C5" s="65"/>
      <c r="D5" s="45" t="s">
        <v>76</v>
      </c>
      <c r="E5" s="45" t="s">
        <v>77</v>
      </c>
      <c r="F5" s="61" t="s">
        <v>80</v>
      </c>
      <c r="G5" s="62"/>
      <c r="H5" s="63"/>
      <c r="I5" s="64"/>
      <c r="J5" s="62">
        <f t="shared" si="0"/>
        <v>0</v>
      </c>
      <c r="K5" s="62"/>
      <c r="L5" s="62"/>
      <c r="M5" s="62"/>
    </row>
    <row r="6" spans="1:25">
      <c r="A6" s="59">
        <v>43556</v>
      </c>
      <c r="B6" s="45" t="s">
        <v>75</v>
      </c>
      <c r="C6" s="65"/>
      <c r="D6" s="45" t="s">
        <v>81</v>
      </c>
      <c r="E6" s="45" t="s">
        <v>82</v>
      </c>
      <c r="F6" s="61" t="s">
        <v>83</v>
      </c>
      <c r="G6" s="62"/>
      <c r="H6" s="63"/>
      <c r="I6" s="64"/>
      <c r="J6" s="62">
        <f t="shared" si="0"/>
        <v>0</v>
      </c>
      <c r="K6" s="62">
        <f>(J6+J7+J8)*0.025*N2</f>
        <v>0</v>
      </c>
      <c r="L6" s="62">
        <f>K6/0.025*0.25</f>
        <v>0</v>
      </c>
      <c r="M6" s="62">
        <f>L6-K6</f>
        <v>0</v>
      </c>
    </row>
    <row r="7" spans="1:25">
      <c r="A7" s="59">
        <v>43556</v>
      </c>
      <c r="B7" s="45" t="s">
        <v>75</v>
      </c>
      <c r="C7" s="65"/>
      <c r="D7" s="45" t="s">
        <v>81</v>
      </c>
      <c r="E7" s="45" t="s">
        <v>82</v>
      </c>
      <c r="F7" s="61" t="s">
        <v>84</v>
      </c>
      <c r="G7" s="62"/>
      <c r="H7" s="63"/>
      <c r="I7" s="64"/>
      <c r="J7" s="62">
        <f t="shared" si="0"/>
        <v>0</v>
      </c>
      <c r="K7" s="62"/>
      <c r="L7" s="62"/>
      <c r="M7" s="62"/>
    </row>
    <row r="8" spans="1:25">
      <c r="A8" s="59">
        <v>43556</v>
      </c>
      <c r="B8" s="45" t="s">
        <v>75</v>
      </c>
      <c r="C8" s="65"/>
      <c r="D8" s="45" t="s">
        <v>81</v>
      </c>
      <c r="E8" s="45" t="s">
        <v>82</v>
      </c>
      <c r="F8" s="61" t="s">
        <v>85</v>
      </c>
      <c r="G8" s="62"/>
      <c r="H8" s="63"/>
      <c r="I8" s="64"/>
      <c r="J8" s="62">
        <f t="shared" si="0"/>
        <v>0</v>
      </c>
      <c r="K8" s="62"/>
      <c r="L8" s="62"/>
      <c r="M8" s="62"/>
    </row>
    <row r="9" spans="1:25">
      <c r="A9" s="59">
        <v>43556</v>
      </c>
      <c r="B9" s="45" t="s">
        <v>75</v>
      </c>
      <c r="C9" s="65"/>
      <c r="D9" s="45" t="s">
        <v>8</v>
      </c>
      <c r="E9" s="45" t="s">
        <v>9</v>
      </c>
      <c r="F9" s="61" t="s">
        <v>10</v>
      </c>
      <c r="G9" s="62"/>
      <c r="H9" s="63"/>
      <c r="I9" s="64"/>
      <c r="J9" s="62">
        <f t="shared" si="0"/>
        <v>0</v>
      </c>
      <c r="K9" s="62">
        <f>(J9+J10+J12+J11)*0.05*N2</f>
        <v>0</v>
      </c>
      <c r="L9" s="62">
        <f>K9/0.05*0.25</f>
        <v>0</v>
      </c>
      <c r="M9" s="62">
        <f>L9-K9</f>
        <v>0</v>
      </c>
    </row>
    <row r="10" spans="1:25">
      <c r="A10" s="59">
        <v>43556</v>
      </c>
      <c r="B10" s="45" t="s">
        <v>75</v>
      </c>
      <c r="C10" s="65"/>
      <c r="D10" s="45" t="s">
        <v>8</v>
      </c>
      <c r="E10" s="45" t="s">
        <v>9</v>
      </c>
      <c r="F10" s="61" t="s">
        <v>86</v>
      </c>
      <c r="G10" s="62"/>
      <c r="H10" s="63"/>
      <c r="I10" s="64"/>
      <c r="J10" s="62">
        <f t="shared" si="0"/>
        <v>0</v>
      </c>
      <c r="K10" s="62"/>
      <c r="L10" s="62"/>
      <c r="M10" s="62"/>
    </row>
    <row r="11" spans="1:25">
      <c r="A11" s="59">
        <v>43556</v>
      </c>
      <c r="B11" s="45" t="s">
        <v>75</v>
      </c>
      <c r="C11" s="65"/>
      <c r="D11" s="45" t="s">
        <v>8</v>
      </c>
      <c r="E11" s="45" t="s">
        <v>9</v>
      </c>
      <c r="F11" s="61" t="s">
        <v>87</v>
      </c>
      <c r="G11" s="62"/>
      <c r="H11" s="63"/>
      <c r="I11" s="64"/>
      <c r="J11" s="62">
        <f t="shared" si="0"/>
        <v>0</v>
      </c>
      <c r="K11" s="62"/>
      <c r="L11" s="62"/>
      <c r="M11" s="62"/>
    </row>
    <row r="12" spans="1:25">
      <c r="A12" s="59">
        <v>43556</v>
      </c>
      <c r="B12" s="45" t="s">
        <v>75</v>
      </c>
      <c r="C12" s="65"/>
      <c r="D12" s="45" t="s">
        <v>88</v>
      </c>
      <c r="E12" s="45" t="s">
        <v>9</v>
      </c>
      <c r="F12" s="61" t="s">
        <v>10</v>
      </c>
      <c r="G12" s="62"/>
      <c r="H12" s="63"/>
      <c r="I12" s="66"/>
      <c r="J12" s="62">
        <f t="shared" si="0"/>
        <v>0</v>
      </c>
      <c r="K12" s="62"/>
      <c r="L12" s="62"/>
      <c r="M12" s="62"/>
    </row>
    <row r="13" spans="1:25">
      <c r="A13" s="59">
        <v>43556</v>
      </c>
      <c r="B13" s="45" t="s">
        <v>75</v>
      </c>
      <c r="C13" s="65"/>
      <c r="D13" s="45" t="s">
        <v>89</v>
      </c>
      <c r="E13" s="45" t="s">
        <v>90</v>
      </c>
      <c r="F13" s="61" t="s">
        <v>91</v>
      </c>
      <c r="G13" s="62"/>
      <c r="H13" s="63"/>
      <c r="I13" s="64"/>
      <c r="J13" s="62">
        <f t="shared" si="0"/>
        <v>0</v>
      </c>
      <c r="K13" s="62">
        <f>(J13+J15+J16+J14)*0.2*N2</f>
        <v>0</v>
      </c>
      <c r="L13" s="62"/>
      <c r="M13" s="62"/>
    </row>
    <row r="14" spans="1:25">
      <c r="A14" s="59">
        <v>43556</v>
      </c>
      <c r="B14" s="45" t="s">
        <v>75</v>
      </c>
      <c r="C14" s="65"/>
      <c r="D14" s="45" t="s">
        <v>89</v>
      </c>
      <c r="E14" s="45" t="s">
        <v>90</v>
      </c>
      <c r="F14" s="61" t="s">
        <v>92</v>
      </c>
      <c r="G14" s="62"/>
      <c r="H14" s="63"/>
      <c r="I14" s="64"/>
      <c r="J14" s="62">
        <f t="shared" si="0"/>
        <v>0</v>
      </c>
      <c r="K14" s="62"/>
      <c r="L14" s="62"/>
      <c r="M14" s="62"/>
    </row>
    <row r="15" spans="1:25">
      <c r="A15" s="59">
        <v>43556</v>
      </c>
      <c r="B15" s="45" t="s">
        <v>75</v>
      </c>
      <c r="C15" s="65"/>
      <c r="D15" s="45" t="s">
        <v>89</v>
      </c>
      <c r="E15" s="45" t="s">
        <v>90</v>
      </c>
      <c r="F15" s="61" t="s">
        <v>93</v>
      </c>
      <c r="G15" s="62"/>
      <c r="H15" s="63"/>
      <c r="I15" s="64"/>
      <c r="J15" s="62">
        <f t="shared" si="0"/>
        <v>0</v>
      </c>
      <c r="K15" s="62"/>
      <c r="L15" s="62"/>
      <c r="M15" s="62"/>
    </row>
    <row r="16" spans="1:25">
      <c r="A16" s="59">
        <v>43556</v>
      </c>
      <c r="B16" s="45" t="s">
        <v>75</v>
      </c>
      <c r="C16" s="65"/>
      <c r="D16" s="45" t="s">
        <v>94</v>
      </c>
      <c r="E16" s="45" t="s">
        <v>90</v>
      </c>
      <c r="F16" s="61" t="s">
        <v>92</v>
      </c>
      <c r="G16" s="62"/>
      <c r="H16" s="63"/>
      <c r="I16" s="64"/>
      <c r="J16" s="62">
        <f t="shared" si="0"/>
        <v>0</v>
      </c>
      <c r="K16" s="62"/>
      <c r="L16" s="62"/>
      <c r="M16" s="62"/>
    </row>
    <row r="17" spans="1:13">
      <c r="A17" s="59">
        <v>43556</v>
      </c>
      <c r="B17" s="45" t="s">
        <v>75</v>
      </c>
      <c r="C17" s="65"/>
      <c r="D17" s="45" t="s">
        <v>95</v>
      </c>
      <c r="E17" s="45" t="s">
        <v>96</v>
      </c>
      <c r="F17" s="61" t="s">
        <v>97</v>
      </c>
      <c r="G17" s="62"/>
      <c r="H17" s="63"/>
      <c r="I17" s="64"/>
      <c r="J17" s="62">
        <f t="shared" si="0"/>
        <v>0</v>
      </c>
      <c r="K17" s="62">
        <f>(J17+J18)*0.05*N2</f>
        <v>0</v>
      </c>
      <c r="L17" s="62">
        <f>K17/0.05*0.25</f>
        <v>0</v>
      </c>
      <c r="M17" s="62">
        <f>L17-K17</f>
        <v>0</v>
      </c>
    </row>
    <row r="18" spans="1:13">
      <c r="A18" s="59">
        <v>43556</v>
      </c>
      <c r="B18" s="45" t="s">
        <v>75</v>
      </c>
      <c r="C18" s="65"/>
      <c r="D18" s="45" t="s">
        <v>95</v>
      </c>
      <c r="E18" s="45" t="s">
        <v>96</v>
      </c>
      <c r="F18" s="61" t="s">
        <v>98</v>
      </c>
      <c r="G18" s="62"/>
      <c r="H18" s="63"/>
      <c r="I18" s="64"/>
      <c r="J18" s="62">
        <f t="shared" si="0"/>
        <v>0</v>
      </c>
      <c r="K18" s="62"/>
      <c r="L18" s="62"/>
      <c r="M18" s="62"/>
    </row>
    <row r="19" spans="1:13">
      <c r="A19" s="59">
        <v>43556</v>
      </c>
      <c r="B19" s="45" t="s">
        <v>75</v>
      </c>
      <c r="C19" s="65"/>
      <c r="D19" s="45" t="s">
        <v>5</v>
      </c>
      <c r="E19" s="45" t="s">
        <v>99</v>
      </c>
      <c r="F19" s="61" t="s">
        <v>100</v>
      </c>
      <c r="G19" s="62"/>
      <c r="H19" s="63"/>
      <c r="I19" s="64"/>
      <c r="J19" s="62">
        <f t="shared" si="0"/>
        <v>0</v>
      </c>
      <c r="K19" s="62">
        <f>(J19+J20)*0.03*N2</f>
        <v>0</v>
      </c>
      <c r="L19" s="62">
        <f>K19/0.03*0.25</f>
        <v>0</v>
      </c>
      <c r="M19" s="62">
        <f>L19-K19</f>
        <v>0</v>
      </c>
    </row>
    <row r="20" spans="1:13">
      <c r="A20" s="59">
        <v>43556</v>
      </c>
      <c r="B20" s="45" t="s">
        <v>75</v>
      </c>
      <c r="C20" s="65"/>
      <c r="D20" s="45" t="s">
        <v>5</v>
      </c>
      <c r="E20" s="45" t="s">
        <v>99</v>
      </c>
      <c r="F20" s="61" t="s">
        <v>101</v>
      </c>
      <c r="G20" s="62"/>
      <c r="H20" s="63"/>
      <c r="I20" s="64"/>
      <c r="J20" s="62">
        <f t="shared" si="0"/>
        <v>0</v>
      </c>
      <c r="K20" s="62"/>
      <c r="L20" s="62"/>
      <c r="M20" s="62"/>
    </row>
    <row r="21" spans="1:13">
      <c r="A21" s="59">
        <v>43556</v>
      </c>
      <c r="B21" s="45" t="s">
        <v>75</v>
      </c>
      <c r="C21" s="65"/>
      <c r="D21" s="45" t="s">
        <v>102</v>
      </c>
      <c r="E21" s="45" t="s">
        <v>103</v>
      </c>
      <c r="F21" s="61" t="s">
        <v>104</v>
      </c>
      <c r="G21" s="62"/>
      <c r="H21" s="63"/>
      <c r="I21" s="64"/>
      <c r="J21" s="62">
        <f t="shared" si="0"/>
        <v>0</v>
      </c>
      <c r="K21" s="62">
        <f>(J21+J22+J23+J24)*0.05*N2</f>
        <v>0</v>
      </c>
      <c r="L21" s="62">
        <f t="shared" ref="L21:L25" si="1">K21/0.05*0.25</f>
        <v>0</v>
      </c>
      <c r="M21" s="62">
        <f t="shared" ref="M21:M25" si="2">L21-K21</f>
        <v>0</v>
      </c>
    </row>
    <row r="22" spans="1:13">
      <c r="A22" s="59">
        <v>43556</v>
      </c>
      <c r="B22" s="45" t="s">
        <v>75</v>
      </c>
      <c r="C22" s="65"/>
      <c r="D22" s="45" t="s">
        <v>102</v>
      </c>
      <c r="E22" s="45" t="s">
        <v>103</v>
      </c>
      <c r="F22" s="61" t="s">
        <v>105</v>
      </c>
      <c r="G22" s="62"/>
      <c r="H22" s="63"/>
      <c r="I22" s="64"/>
      <c r="J22" s="62">
        <f t="shared" si="0"/>
        <v>0</v>
      </c>
      <c r="K22" s="62"/>
      <c r="L22" s="62"/>
      <c r="M22" s="62"/>
    </row>
    <row r="23" spans="1:13">
      <c r="A23" s="59">
        <v>43556</v>
      </c>
      <c r="B23" s="45" t="s">
        <v>75</v>
      </c>
      <c r="C23" s="65"/>
      <c r="D23" s="45" t="s">
        <v>106</v>
      </c>
      <c r="E23" s="45" t="s">
        <v>103</v>
      </c>
      <c r="F23" s="61" t="s">
        <v>104</v>
      </c>
      <c r="G23" s="62"/>
      <c r="H23" s="63"/>
      <c r="I23" s="64"/>
      <c r="J23" s="62">
        <f t="shared" si="0"/>
        <v>0</v>
      </c>
      <c r="K23" s="62"/>
      <c r="L23" s="62">
        <f t="shared" si="1"/>
        <v>0</v>
      </c>
      <c r="M23" s="62">
        <f t="shared" si="2"/>
        <v>0</v>
      </c>
    </row>
    <row r="24" spans="1:13">
      <c r="A24" s="59">
        <v>43556</v>
      </c>
      <c r="B24" s="45" t="s">
        <v>75</v>
      </c>
      <c r="C24" s="65"/>
      <c r="D24" s="45" t="s">
        <v>106</v>
      </c>
      <c r="E24" s="45" t="s">
        <v>103</v>
      </c>
      <c r="F24" s="61" t="s">
        <v>105</v>
      </c>
      <c r="G24" s="62"/>
      <c r="H24" s="63"/>
      <c r="I24" s="64"/>
      <c r="J24" s="62">
        <f t="shared" si="0"/>
        <v>0</v>
      </c>
      <c r="K24" s="62"/>
      <c r="L24" s="62"/>
      <c r="M24" s="62"/>
    </row>
    <row r="25" spans="1:13">
      <c r="A25" s="59">
        <v>43556</v>
      </c>
      <c r="B25" s="45" t="s">
        <v>75</v>
      </c>
      <c r="C25" s="65"/>
      <c r="D25" s="45" t="s">
        <v>107</v>
      </c>
      <c r="E25" s="45" t="s">
        <v>108</v>
      </c>
      <c r="F25" s="61" t="s">
        <v>109</v>
      </c>
      <c r="G25" s="62"/>
      <c r="H25" s="63"/>
      <c r="I25" s="67"/>
      <c r="J25" s="62">
        <f t="shared" si="0"/>
        <v>0</v>
      </c>
      <c r="K25" s="62">
        <f>(J25+J26+J27+J28)*0.05*N2</f>
        <v>0</v>
      </c>
      <c r="L25" s="62">
        <f t="shared" si="1"/>
        <v>0</v>
      </c>
      <c r="M25" s="62">
        <f t="shared" si="2"/>
        <v>0</v>
      </c>
    </row>
    <row r="26" spans="1:13">
      <c r="A26" s="59"/>
      <c r="C26" s="65"/>
      <c r="D26" s="45" t="s">
        <v>107</v>
      </c>
      <c r="E26" s="45" t="s">
        <v>108</v>
      </c>
      <c r="F26" s="61" t="s">
        <v>110</v>
      </c>
      <c r="G26" s="62"/>
      <c r="H26" s="63"/>
      <c r="I26" s="67"/>
      <c r="J26" s="62">
        <f t="shared" si="0"/>
        <v>0</v>
      </c>
      <c r="K26" s="62"/>
      <c r="L26" s="62"/>
      <c r="M26" s="62"/>
    </row>
    <row r="27" spans="1:13">
      <c r="A27" s="59">
        <v>43556</v>
      </c>
      <c r="B27" s="45" t="s">
        <v>75</v>
      </c>
      <c r="C27" s="65"/>
      <c r="D27" s="45" t="s">
        <v>111</v>
      </c>
      <c r="E27" s="45" t="s">
        <v>108</v>
      </c>
      <c r="F27" s="61" t="s">
        <v>109</v>
      </c>
      <c r="G27" s="62"/>
      <c r="H27" s="63"/>
      <c r="I27" s="67"/>
      <c r="J27" s="62">
        <f t="shared" si="0"/>
        <v>0</v>
      </c>
      <c r="K27" s="62"/>
      <c r="L27" s="62"/>
      <c r="M27" s="62"/>
    </row>
    <row r="28" spans="1:13">
      <c r="A28" s="59">
        <v>43556</v>
      </c>
      <c r="B28" s="45" t="s">
        <v>75</v>
      </c>
      <c r="C28" s="65"/>
      <c r="D28" s="45" t="s">
        <v>111</v>
      </c>
      <c r="E28" s="45" t="s">
        <v>108</v>
      </c>
      <c r="F28" s="61" t="s">
        <v>110</v>
      </c>
      <c r="G28" s="62"/>
      <c r="H28" s="63"/>
      <c r="I28" s="64"/>
      <c r="J28" s="62">
        <f t="shared" si="0"/>
        <v>0</v>
      </c>
      <c r="K28" s="62"/>
      <c r="L28" s="62"/>
      <c r="M28" s="62"/>
    </row>
    <row r="29" spans="1:13">
      <c r="A29" s="59"/>
      <c r="C29" s="65"/>
      <c r="D29" s="45" t="s">
        <v>112</v>
      </c>
      <c r="E29" s="45" t="s">
        <v>113</v>
      </c>
      <c r="F29" s="61" t="s">
        <v>114</v>
      </c>
      <c r="G29" s="62"/>
      <c r="H29" s="63"/>
      <c r="I29" s="64"/>
      <c r="J29" s="62">
        <f t="shared" si="0"/>
        <v>0</v>
      </c>
      <c r="K29" s="62">
        <f>(J29)*0.05*N2</f>
        <v>0</v>
      </c>
      <c r="L29" s="62"/>
      <c r="M29" s="62"/>
    </row>
    <row r="30" spans="1:13">
      <c r="A30" s="59">
        <v>43556</v>
      </c>
      <c r="B30" s="45" t="s">
        <v>75</v>
      </c>
      <c r="C30" s="65"/>
      <c r="D30" s="45" t="s">
        <v>106</v>
      </c>
      <c r="E30" s="45" t="s">
        <v>115</v>
      </c>
      <c r="F30" s="61" t="s">
        <v>116</v>
      </c>
      <c r="G30" s="62"/>
      <c r="H30" s="63"/>
      <c r="I30" s="64"/>
      <c r="J30" s="62">
        <f t="shared" si="0"/>
        <v>0</v>
      </c>
      <c r="K30" s="62"/>
      <c r="L30" s="62">
        <f t="shared" ref="L30:L34" si="3">K30/0.05*0.25</f>
        <v>0</v>
      </c>
      <c r="M30" s="62">
        <f t="shared" ref="M30:M34" si="4">L30-K30</f>
        <v>0</v>
      </c>
    </row>
    <row r="31" spans="1:13">
      <c r="A31" s="59">
        <v>43556</v>
      </c>
      <c r="B31" s="45" t="s">
        <v>75</v>
      </c>
      <c r="C31" s="65"/>
      <c r="D31" s="45" t="s">
        <v>117</v>
      </c>
      <c r="E31" s="45" t="s">
        <v>82</v>
      </c>
      <c r="F31" s="61" t="s">
        <v>83</v>
      </c>
      <c r="G31" s="62"/>
      <c r="H31" s="63"/>
      <c r="I31" s="64"/>
      <c r="J31" s="62">
        <f t="shared" si="0"/>
        <v>0</v>
      </c>
      <c r="K31" s="62">
        <f>(J31+J32)*0.05*N2</f>
        <v>0</v>
      </c>
      <c r="L31" s="62">
        <f t="shared" si="3"/>
        <v>0</v>
      </c>
      <c r="M31" s="62">
        <f t="shared" si="4"/>
        <v>0</v>
      </c>
    </row>
    <row r="32" spans="1:13">
      <c r="A32" s="59">
        <v>43556</v>
      </c>
      <c r="B32" s="45" t="s">
        <v>75</v>
      </c>
      <c r="C32" s="65"/>
      <c r="D32" s="45" t="s">
        <v>117</v>
      </c>
      <c r="E32" s="45" t="s">
        <v>82</v>
      </c>
      <c r="F32" s="61" t="s">
        <v>85</v>
      </c>
      <c r="G32" s="62"/>
      <c r="H32" s="63"/>
      <c r="I32" s="64"/>
      <c r="J32" s="62">
        <f t="shared" si="0"/>
        <v>0</v>
      </c>
      <c r="K32" s="62"/>
      <c r="L32" s="62"/>
      <c r="M32" s="62"/>
    </row>
    <row r="33" spans="1:13">
      <c r="A33" s="59">
        <v>43556</v>
      </c>
      <c r="B33" s="45" t="s">
        <v>75</v>
      </c>
      <c r="C33" s="65"/>
      <c r="D33" s="45" t="s">
        <v>118</v>
      </c>
      <c r="E33" s="45" t="s">
        <v>77</v>
      </c>
      <c r="F33" s="61" t="s">
        <v>78</v>
      </c>
      <c r="G33" s="62"/>
      <c r="H33" s="63"/>
      <c r="I33" s="64"/>
      <c r="J33" s="62">
        <f t="shared" si="0"/>
        <v>0</v>
      </c>
      <c r="K33" s="62"/>
      <c r="L33" s="62"/>
      <c r="M33" s="62"/>
    </row>
    <row r="34" spans="1:13">
      <c r="A34" s="59">
        <v>43556</v>
      </c>
      <c r="B34" s="45" t="s">
        <v>75</v>
      </c>
      <c r="C34" s="65"/>
      <c r="D34" s="45" t="s">
        <v>118</v>
      </c>
      <c r="E34" s="45" t="s">
        <v>77</v>
      </c>
      <c r="F34" s="61" t="s">
        <v>80</v>
      </c>
      <c r="G34" s="62"/>
      <c r="H34" s="63"/>
      <c r="I34" s="64"/>
      <c r="J34" s="62">
        <f t="shared" si="0"/>
        <v>0</v>
      </c>
      <c r="K34" s="62">
        <f>(J33+J34+J35+J36)*0.05*N2</f>
        <v>0</v>
      </c>
      <c r="L34" s="62">
        <f t="shared" si="3"/>
        <v>0</v>
      </c>
      <c r="M34" s="62">
        <f t="shared" si="4"/>
        <v>0</v>
      </c>
    </row>
    <row r="35" spans="1:13">
      <c r="A35" s="59">
        <v>43556</v>
      </c>
      <c r="B35" s="45" t="s">
        <v>75</v>
      </c>
      <c r="C35" s="65"/>
      <c r="D35" s="45" t="s">
        <v>119</v>
      </c>
      <c r="E35" s="45" t="s">
        <v>77</v>
      </c>
      <c r="F35" s="61" t="s">
        <v>78</v>
      </c>
      <c r="G35" s="62"/>
      <c r="H35" s="63"/>
      <c r="I35" s="64"/>
      <c r="J35" s="62">
        <f t="shared" si="0"/>
        <v>0</v>
      </c>
      <c r="K35" s="62"/>
      <c r="L35" s="62"/>
      <c r="M35" s="62"/>
    </row>
    <row r="36" spans="1:13">
      <c r="A36" s="59">
        <v>43556</v>
      </c>
      <c r="B36" s="45" t="s">
        <v>75</v>
      </c>
      <c r="C36" s="65"/>
      <c r="D36" s="45" t="s">
        <v>119</v>
      </c>
      <c r="E36" s="45" t="s">
        <v>77</v>
      </c>
      <c r="F36" s="61" t="s">
        <v>80</v>
      </c>
      <c r="G36" s="62"/>
      <c r="H36" s="63"/>
      <c r="I36" s="64"/>
      <c r="J36" s="62">
        <f t="shared" si="0"/>
        <v>0</v>
      </c>
      <c r="K36" s="62"/>
      <c r="L36" s="62"/>
      <c r="M36" s="62"/>
    </row>
    <row r="37" spans="1:13">
      <c r="A37" s="59">
        <v>43556</v>
      </c>
      <c r="B37" s="45" t="s">
        <v>75</v>
      </c>
      <c r="C37" s="65"/>
      <c r="D37" s="45" t="s">
        <v>120</v>
      </c>
      <c r="E37" s="45" t="s">
        <v>121</v>
      </c>
      <c r="F37" s="61" t="s">
        <v>122</v>
      </c>
      <c r="G37" s="62"/>
      <c r="H37" s="63"/>
      <c r="I37" s="64"/>
      <c r="J37" s="62">
        <f t="shared" si="0"/>
        <v>0</v>
      </c>
      <c r="K37" s="62">
        <f>(J37)*0.03*N2</f>
        <v>0</v>
      </c>
      <c r="L37" s="62"/>
      <c r="M37" s="62"/>
    </row>
    <row r="38" spans="1:13">
      <c r="A38" s="59">
        <v>43556</v>
      </c>
      <c r="B38" s="45" t="s">
        <v>75</v>
      </c>
      <c r="C38" s="65"/>
      <c r="D38" s="45" t="s">
        <v>123</v>
      </c>
      <c r="E38" s="45" t="s">
        <v>124</v>
      </c>
      <c r="F38" s="61" t="s">
        <v>125</v>
      </c>
      <c r="G38" s="62"/>
      <c r="H38" s="63"/>
      <c r="I38" s="64"/>
      <c r="J38" s="62">
        <f t="shared" si="0"/>
        <v>0</v>
      </c>
      <c r="K38" s="62">
        <f>(J38+J40+J39+J41)*0.2*N2</f>
        <v>0</v>
      </c>
      <c r="L38" s="62">
        <f>K38/0.05*0.25</f>
        <v>0</v>
      </c>
      <c r="M38" s="62">
        <f>L38-K38</f>
        <v>0</v>
      </c>
    </row>
    <row r="39" spans="1:13">
      <c r="A39" s="59">
        <v>43556</v>
      </c>
      <c r="B39" s="45" t="s">
        <v>75</v>
      </c>
      <c r="C39" s="65"/>
      <c r="D39" s="45" t="s">
        <v>123</v>
      </c>
      <c r="E39" s="45" t="s">
        <v>124</v>
      </c>
      <c r="F39" s="61" t="s">
        <v>126</v>
      </c>
      <c r="G39" s="62"/>
      <c r="H39" s="63"/>
      <c r="I39" s="64"/>
      <c r="J39" s="62">
        <f t="shared" si="0"/>
        <v>0</v>
      </c>
      <c r="K39" s="62"/>
      <c r="L39" s="62"/>
      <c r="M39" s="62"/>
    </row>
    <row r="40" spans="1:13">
      <c r="A40" s="59">
        <v>43556</v>
      </c>
      <c r="B40" s="45" t="s">
        <v>75</v>
      </c>
      <c r="C40" s="65"/>
      <c r="D40" s="45" t="s">
        <v>127</v>
      </c>
      <c r="E40" s="45" t="s">
        <v>124</v>
      </c>
      <c r="F40" s="61" t="s">
        <v>128</v>
      </c>
      <c r="G40" s="62"/>
      <c r="H40" s="63"/>
      <c r="I40" s="64"/>
      <c r="J40" s="62">
        <f t="shared" si="0"/>
        <v>0</v>
      </c>
      <c r="K40" s="62"/>
      <c r="L40" s="62"/>
      <c r="M40" s="62"/>
    </row>
    <row r="41" spans="1:13">
      <c r="A41" s="59">
        <v>43556</v>
      </c>
      <c r="B41" s="45" t="s">
        <v>75</v>
      </c>
      <c r="C41" s="65"/>
      <c r="D41" s="45" t="s">
        <v>129</v>
      </c>
      <c r="E41" s="45" t="s">
        <v>124</v>
      </c>
      <c r="F41" s="61" t="s">
        <v>128</v>
      </c>
      <c r="G41" s="62"/>
      <c r="H41" s="63"/>
      <c r="I41" s="64"/>
      <c r="J41" s="62">
        <f t="shared" si="0"/>
        <v>0</v>
      </c>
      <c r="K41" s="62"/>
      <c r="L41" s="62"/>
      <c r="M41" s="62"/>
    </row>
    <row r="42" spans="1:13">
      <c r="A42" s="59"/>
      <c r="C42" s="68"/>
      <c r="D42" s="69" t="s">
        <v>130</v>
      </c>
      <c r="E42" s="69" t="s">
        <v>131</v>
      </c>
      <c r="F42" s="69" t="s">
        <v>132</v>
      </c>
      <c r="G42" s="70"/>
      <c r="H42" s="71"/>
      <c r="I42" s="64"/>
      <c r="J42" s="62">
        <f t="shared" si="0"/>
        <v>0</v>
      </c>
      <c r="K42" s="62">
        <f>J42*0.25*N2</f>
        <v>0</v>
      </c>
      <c r="L42" s="62"/>
      <c r="M42" s="62"/>
    </row>
    <row r="43" spans="1:13">
      <c r="A43" s="59">
        <v>43556</v>
      </c>
      <c r="B43" s="45" t="s">
        <v>75</v>
      </c>
      <c r="C43" s="60" t="s">
        <v>15</v>
      </c>
      <c r="D43" s="45" t="s">
        <v>22</v>
      </c>
      <c r="E43" s="45" t="s">
        <v>20</v>
      </c>
      <c r="F43" s="61" t="s">
        <v>21</v>
      </c>
      <c r="G43" s="62"/>
      <c r="H43" s="63"/>
      <c r="I43" s="64"/>
      <c r="J43" s="62">
        <f t="shared" si="0"/>
        <v>0</v>
      </c>
      <c r="K43" s="62">
        <f>(J43+J44+J45+J46+J47)*0.03*N2</f>
        <v>0</v>
      </c>
      <c r="L43" s="62">
        <f>K43/0.03*0.25</f>
        <v>0</v>
      </c>
      <c r="M43" s="62">
        <f>L43-K43</f>
        <v>0</v>
      </c>
    </row>
    <row r="44" spans="1:13">
      <c r="A44" s="59">
        <v>43556</v>
      </c>
      <c r="B44" s="45" t="s">
        <v>75</v>
      </c>
      <c r="C44" s="65"/>
      <c r="D44" s="45" t="s">
        <v>22</v>
      </c>
      <c r="E44" s="45" t="s">
        <v>20</v>
      </c>
      <c r="F44" s="61" t="s">
        <v>133</v>
      </c>
      <c r="G44" s="62"/>
      <c r="H44" s="63"/>
      <c r="I44" s="64"/>
      <c r="J44" s="62">
        <f t="shared" si="0"/>
        <v>0</v>
      </c>
      <c r="K44" s="62"/>
      <c r="L44" s="62"/>
      <c r="M44" s="62"/>
    </row>
    <row r="45" spans="1:13">
      <c r="A45" s="59">
        <v>43556</v>
      </c>
      <c r="B45" s="45" t="s">
        <v>75</v>
      </c>
      <c r="C45" s="65"/>
      <c r="D45" s="45" t="s">
        <v>19</v>
      </c>
      <c r="E45" s="45" t="s">
        <v>20</v>
      </c>
      <c r="F45" s="61" t="s">
        <v>21</v>
      </c>
      <c r="G45" s="62"/>
      <c r="H45" s="63"/>
      <c r="I45" s="64"/>
      <c r="J45" s="62">
        <f t="shared" si="0"/>
        <v>0</v>
      </c>
      <c r="K45" s="62"/>
      <c r="L45" s="62"/>
      <c r="M45" s="62"/>
    </row>
    <row r="46" spans="1:13">
      <c r="A46" s="59">
        <v>43556</v>
      </c>
      <c r="B46" s="45" t="s">
        <v>75</v>
      </c>
      <c r="C46" s="65"/>
      <c r="D46" s="45" t="s">
        <v>19</v>
      </c>
      <c r="E46" s="45" t="s">
        <v>20</v>
      </c>
      <c r="F46" s="61" t="s">
        <v>133</v>
      </c>
      <c r="G46" s="62"/>
      <c r="H46" s="63"/>
      <c r="I46" s="64"/>
      <c r="J46" s="62">
        <f t="shared" si="0"/>
        <v>0</v>
      </c>
      <c r="K46" s="62"/>
      <c r="L46" s="62"/>
      <c r="M46" s="62"/>
    </row>
    <row r="47" spans="1:13">
      <c r="A47" s="59"/>
      <c r="C47" s="65"/>
      <c r="D47" s="45" t="s">
        <v>23</v>
      </c>
      <c r="E47" s="45" t="s">
        <v>20</v>
      </c>
      <c r="F47" s="61" t="s">
        <v>21</v>
      </c>
      <c r="G47" s="62"/>
      <c r="H47" s="63"/>
      <c r="I47" s="64"/>
      <c r="J47" s="62">
        <f t="shared" si="0"/>
        <v>0</v>
      </c>
      <c r="K47" s="62"/>
      <c r="L47" s="62"/>
      <c r="M47" s="62"/>
    </row>
    <row r="48" spans="1:13">
      <c r="A48" s="59">
        <v>43556</v>
      </c>
      <c r="B48" s="45" t="s">
        <v>75</v>
      </c>
      <c r="C48" s="65"/>
      <c r="D48" s="45" t="s">
        <v>28</v>
      </c>
      <c r="E48" s="45" t="s">
        <v>29</v>
      </c>
      <c r="F48" s="61" t="s">
        <v>30</v>
      </c>
      <c r="G48" s="62"/>
      <c r="H48" s="63"/>
      <c r="I48" s="64"/>
      <c r="J48" s="62">
        <f t="shared" si="0"/>
        <v>0</v>
      </c>
      <c r="K48" s="62">
        <f>(J48+J51+J49+J50)*0.05*N2</f>
        <v>0</v>
      </c>
      <c r="L48" s="62">
        <f>K48/0.05*0.25</f>
        <v>0</v>
      </c>
      <c r="M48" s="62">
        <f>L48-K48</f>
        <v>0</v>
      </c>
    </row>
    <row r="49" spans="1:13">
      <c r="A49" s="59">
        <v>43556</v>
      </c>
      <c r="B49" s="45" t="s">
        <v>75</v>
      </c>
      <c r="C49" s="65"/>
      <c r="D49" s="45" t="s">
        <v>134</v>
      </c>
      <c r="E49" s="45" t="s">
        <v>29</v>
      </c>
      <c r="F49" s="61" t="s">
        <v>30</v>
      </c>
      <c r="G49" s="62"/>
      <c r="H49" s="63"/>
      <c r="I49" s="64"/>
      <c r="J49" s="62">
        <f t="shared" si="0"/>
        <v>0</v>
      </c>
      <c r="K49" s="62"/>
      <c r="L49" s="62"/>
      <c r="M49" s="62"/>
    </row>
    <row r="50" spans="1:13">
      <c r="A50" s="59"/>
      <c r="C50" s="65"/>
      <c r="D50" s="45" t="s">
        <v>134</v>
      </c>
      <c r="E50" s="45" t="s">
        <v>29</v>
      </c>
      <c r="F50" s="61" t="s">
        <v>135</v>
      </c>
      <c r="G50" s="62"/>
      <c r="H50" s="63"/>
      <c r="I50" s="64"/>
      <c r="J50" s="62">
        <f t="shared" si="0"/>
        <v>0</v>
      </c>
      <c r="K50" s="62"/>
      <c r="L50" s="62"/>
      <c r="M50" s="62"/>
    </row>
    <row r="51" spans="1:13">
      <c r="A51" s="59">
        <v>43556</v>
      </c>
      <c r="B51" s="45" t="s">
        <v>75</v>
      </c>
      <c r="C51" s="65"/>
      <c r="D51" s="45" t="s">
        <v>136</v>
      </c>
      <c r="E51" s="45" t="s">
        <v>29</v>
      </c>
      <c r="F51" s="61" t="s">
        <v>30</v>
      </c>
      <c r="G51" s="62"/>
      <c r="H51" s="63"/>
      <c r="I51" s="64"/>
      <c r="J51" s="62">
        <f t="shared" si="0"/>
        <v>0</v>
      </c>
      <c r="K51" s="62"/>
      <c r="L51" s="62"/>
      <c r="M51" s="62"/>
    </row>
    <row r="52" spans="1:13">
      <c r="A52" s="59">
        <v>43556</v>
      </c>
      <c r="B52" s="45" t="s">
        <v>75</v>
      </c>
      <c r="C52" s="65"/>
      <c r="D52" s="45" t="s">
        <v>34</v>
      </c>
      <c r="E52" s="45" t="s">
        <v>137</v>
      </c>
      <c r="F52" s="61" t="s">
        <v>138</v>
      </c>
      <c r="G52" s="62"/>
      <c r="H52" s="63"/>
      <c r="I52" s="64"/>
      <c r="J52" s="62">
        <f t="shared" si="0"/>
        <v>0</v>
      </c>
      <c r="K52" s="62"/>
      <c r="L52" s="62"/>
      <c r="M52" s="62"/>
    </row>
    <row r="53" spans="1:13">
      <c r="A53" s="59">
        <v>43556</v>
      </c>
      <c r="B53" s="45" t="s">
        <v>75</v>
      </c>
      <c r="C53" s="65"/>
      <c r="D53" s="45" t="s">
        <v>139</v>
      </c>
      <c r="E53" s="45" t="s">
        <v>137</v>
      </c>
      <c r="F53" s="61" t="s">
        <v>138</v>
      </c>
      <c r="G53" s="62"/>
      <c r="H53" s="63"/>
      <c r="I53" s="64"/>
      <c r="J53" s="62">
        <f t="shared" si="0"/>
        <v>0</v>
      </c>
      <c r="K53" s="62"/>
      <c r="L53" s="62"/>
      <c r="M53" s="62"/>
    </row>
    <row r="54" spans="1:13">
      <c r="A54" s="59">
        <v>43556</v>
      </c>
      <c r="B54" s="45" t="s">
        <v>75</v>
      </c>
      <c r="C54" s="65"/>
      <c r="D54" s="45" t="s">
        <v>140</v>
      </c>
      <c r="E54" s="45" t="s">
        <v>38</v>
      </c>
      <c r="F54" s="61" t="s">
        <v>39</v>
      </c>
      <c r="G54" s="62"/>
      <c r="H54" s="63"/>
      <c r="I54" s="64"/>
      <c r="J54" s="62">
        <f t="shared" si="0"/>
        <v>0</v>
      </c>
      <c r="K54" s="62"/>
      <c r="L54" s="62"/>
      <c r="M54" s="62"/>
    </row>
    <row r="55" spans="1:13">
      <c r="A55" s="59">
        <v>43556</v>
      </c>
      <c r="B55" s="45" t="s">
        <v>75</v>
      </c>
      <c r="C55" s="65"/>
      <c r="D55" s="45" t="s">
        <v>16</v>
      </c>
      <c r="E55" s="45" t="s">
        <v>17</v>
      </c>
      <c r="F55" s="61" t="s">
        <v>18</v>
      </c>
      <c r="G55" s="62"/>
      <c r="H55" s="63"/>
      <c r="I55" s="64"/>
      <c r="J55" s="62">
        <f t="shared" si="0"/>
        <v>0</v>
      </c>
      <c r="K55" s="62">
        <f>(J55+J56+J58+J59)*0.05*N2</f>
        <v>0</v>
      </c>
      <c r="L55" s="62">
        <f>K55/0.05*0.25</f>
        <v>0</v>
      </c>
      <c r="M55" s="62">
        <f t="shared" ref="M55:M58" si="5">L55-K55</f>
        <v>0</v>
      </c>
    </row>
    <row r="56" spans="1:13">
      <c r="A56" s="59">
        <v>43556</v>
      </c>
      <c r="B56" s="45" t="s">
        <v>75</v>
      </c>
      <c r="C56" s="65"/>
      <c r="D56" s="45" t="s">
        <v>16</v>
      </c>
      <c r="E56" s="45" t="s">
        <v>17</v>
      </c>
      <c r="F56" s="61" t="s">
        <v>141</v>
      </c>
      <c r="G56" s="62"/>
      <c r="H56" s="63"/>
      <c r="I56" s="64"/>
      <c r="J56" s="62">
        <f t="shared" si="0"/>
        <v>0</v>
      </c>
      <c r="K56" s="62"/>
      <c r="L56" s="62"/>
      <c r="M56" s="62"/>
    </row>
    <row r="57" spans="1:13">
      <c r="A57" s="59">
        <v>43556</v>
      </c>
      <c r="B57" s="45" t="s">
        <v>75</v>
      </c>
      <c r="C57" s="65"/>
      <c r="D57" s="45" t="s">
        <v>37</v>
      </c>
      <c r="E57" s="45" t="s">
        <v>35</v>
      </c>
      <c r="F57" s="61" t="s">
        <v>142</v>
      </c>
      <c r="G57" s="62"/>
      <c r="H57" s="63"/>
      <c r="I57" s="64"/>
      <c r="J57" s="62">
        <f t="shared" si="0"/>
        <v>0</v>
      </c>
      <c r="K57" s="62"/>
      <c r="L57" s="62">
        <f>K57/0.03*0.25</f>
        <v>0</v>
      </c>
      <c r="M57" s="62">
        <f t="shared" si="5"/>
        <v>0</v>
      </c>
    </row>
    <row r="58" spans="1:13">
      <c r="A58" s="59">
        <v>43556</v>
      </c>
      <c r="B58" s="45" t="s">
        <v>75</v>
      </c>
      <c r="C58" s="65"/>
      <c r="D58" s="45" t="s">
        <v>31</v>
      </c>
      <c r="E58" s="45" t="s">
        <v>17</v>
      </c>
      <c r="F58" s="61" t="s">
        <v>18</v>
      </c>
      <c r="G58" s="62"/>
      <c r="H58" s="63"/>
      <c r="I58" s="64"/>
      <c r="J58" s="62">
        <f t="shared" si="0"/>
        <v>0</v>
      </c>
      <c r="K58" s="62"/>
      <c r="L58" s="62">
        <f>K58/0.03*0.25</f>
        <v>0</v>
      </c>
      <c r="M58" s="62">
        <f t="shared" si="5"/>
        <v>0</v>
      </c>
    </row>
    <row r="59" spans="1:13">
      <c r="A59" s="59">
        <v>43556</v>
      </c>
      <c r="B59" s="45" t="s">
        <v>75</v>
      </c>
      <c r="C59" s="65"/>
      <c r="D59" s="45" t="s">
        <v>31</v>
      </c>
      <c r="E59" s="45" t="s">
        <v>17</v>
      </c>
      <c r="F59" s="61" t="s">
        <v>141</v>
      </c>
      <c r="G59" s="62"/>
      <c r="H59" s="63"/>
      <c r="I59" s="64"/>
      <c r="J59" s="62">
        <f t="shared" si="0"/>
        <v>0</v>
      </c>
      <c r="K59" s="62"/>
      <c r="L59" s="62"/>
      <c r="M59" s="62"/>
    </row>
    <row r="60" spans="1:13">
      <c r="A60" s="59">
        <v>43556</v>
      </c>
      <c r="B60" s="45" t="s">
        <v>75</v>
      </c>
      <c r="C60" s="60" t="s">
        <v>11</v>
      </c>
      <c r="D60" s="45" t="s">
        <v>143</v>
      </c>
      <c r="E60" s="45" t="s">
        <v>13</v>
      </c>
      <c r="F60" s="61" t="s">
        <v>14</v>
      </c>
      <c r="G60" s="62"/>
      <c r="H60" s="63"/>
      <c r="I60" s="67"/>
      <c r="J60" s="62">
        <f t="shared" si="0"/>
        <v>0</v>
      </c>
      <c r="K60" s="62">
        <f>(J60)*0.04*N2</f>
        <v>0</v>
      </c>
      <c r="L60" s="62">
        <f>K60/0.04*0.25</f>
        <v>0</v>
      </c>
      <c r="M60" s="62">
        <f>L60-K60</f>
        <v>0</v>
      </c>
    </row>
    <row r="61" spans="1:13">
      <c r="A61" s="59">
        <v>43556</v>
      </c>
      <c r="B61" s="45" t="s">
        <v>75</v>
      </c>
      <c r="C61" s="65"/>
      <c r="D61" s="45" t="s">
        <v>143</v>
      </c>
      <c r="E61" s="45" t="s">
        <v>144</v>
      </c>
      <c r="F61" s="61" t="s">
        <v>145</v>
      </c>
      <c r="G61" s="62"/>
      <c r="H61" s="63"/>
      <c r="I61" s="64"/>
      <c r="J61" s="62">
        <f t="shared" si="0"/>
        <v>0</v>
      </c>
      <c r="K61" s="62"/>
      <c r="L61" s="62"/>
      <c r="M61" s="62"/>
    </row>
    <row r="62" spans="1:13">
      <c r="A62" s="59">
        <v>43556</v>
      </c>
      <c r="B62" s="45" t="s">
        <v>75</v>
      </c>
      <c r="C62" s="65"/>
      <c r="D62" s="45" t="s">
        <v>143</v>
      </c>
      <c r="E62" s="45" t="s">
        <v>144</v>
      </c>
      <c r="F62" s="61" t="s">
        <v>146</v>
      </c>
      <c r="G62" s="62"/>
      <c r="H62" s="63"/>
      <c r="I62" s="64"/>
      <c r="J62" s="62">
        <f t="shared" si="0"/>
        <v>0</v>
      </c>
      <c r="K62" s="62"/>
      <c r="L62" s="62"/>
      <c r="M62" s="62"/>
    </row>
    <row r="63" spans="1:13">
      <c r="A63" s="59">
        <v>43556</v>
      </c>
      <c r="B63" s="45" t="s">
        <v>75</v>
      </c>
      <c r="C63" s="65"/>
      <c r="D63" s="45" t="s">
        <v>147</v>
      </c>
      <c r="E63" s="45" t="s">
        <v>148</v>
      </c>
      <c r="F63" s="61" t="s">
        <v>149</v>
      </c>
      <c r="G63" s="62"/>
      <c r="H63" s="63"/>
      <c r="I63" s="64"/>
      <c r="J63" s="62">
        <f t="shared" si="0"/>
        <v>0</v>
      </c>
      <c r="K63" s="62">
        <f>J63*0.25*N2</f>
        <v>0</v>
      </c>
      <c r="L63" s="62"/>
      <c r="M63" s="62"/>
    </row>
    <row r="64" spans="1:13">
      <c r="A64" s="59">
        <v>43556</v>
      </c>
      <c r="B64" s="45" t="s">
        <v>75</v>
      </c>
      <c r="C64" s="65"/>
      <c r="D64" s="45" t="s">
        <v>147</v>
      </c>
      <c r="E64" s="45" t="s">
        <v>150</v>
      </c>
      <c r="F64" s="61" t="s">
        <v>151</v>
      </c>
      <c r="G64" s="62"/>
      <c r="H64" s="63"/>
      <c r="I64" s="64"/>
      <c r="J64" s="62">
        <f t="shared" si="0"/>
        <v>0</v>
      </c>
      <c r="K64" s="62"/>
      <c r="L64" s="62">
        <f>K64/0.05*0.25</f>
        <v>0</v>
      </c>
      <c r="M64" s="62">
        <f>L64-K64</f>
        <v>0</v>
      </c>
    </row>
    <row r="65" spans="1:13">
      <c r="A65" s="59">
        <v>43556</v>
      </c>
      <c r="B65" s="45" t="s">
        <v>75</v>
      </c>
      <c r="C65" s="65"/>
      <c r="D65" s="45" t="s">
        <v>152</v>
      </c>
      <c r="E65" s="45" t="s">
        <v>144</v>
      </c>
      <c r="F65" s="61" t="s">
        <v>153</v>
      </c>
      <c r="G65" s="62"/>
      <c r="H65" s="63"/>
      <c r="I65" s="64"/>
      <c r="J65" s="62">
        <f t="shared" si="0"/>
        <v>0</v>
      </c>
      <c r="K65" s="62"/>
      <c r="L65" s="62"/>
      <c r="M65" s="62"/>
    </row>
    <row r="66" spans="1:13">
      <c r="A66" s="59">
        <v>43556</v>
      </c>
      <c r="B66" s="45" t="s">
        <v>75</v>
      </c>
      <c r="C66" s="65"/>
      <c r="D66" s="45" t="s">
        <v>154</v>
      </c>
      <c r="E66" s="45" t="s">
        <v>150</v>
      </c>
      <c r="F66" s="61" t="s">
        <v>151</v>
      </c>
      <c r="G66" s="62"/>
      <c r="H66" s="63"/>
      <c r="I66" s="64"/>
      <c r="J66" s="62">
        <f t="shared" si="0"/>
        <v>0</v>
      </c>
      <c r="K66" s="62"/>
      <c r="L66" s="62"/>
      <c r="M66" s="62"/>
    </row>
    <row r="67" spans="1:13">
      <c r="A67" s="59">
        <v>43556</v>
      </c>
      <c r="B67" s="45" t="s">
        <v>75</v>
      </c>
      <c r="C67" s="65"/>
      <c r="D67" s="45" t="s">
        <v>155</v>
      </c>
      <c r="E67" s="45" t="s">
        <v>150</v>
      </c>
      <c r="F67" s="61" t="s">
        <v>151</v>
      </c>
      <c r="G67" s="62"/>
      <c r="H67" s="63"/>
      <c r="I67" s="64"/>
      <c r="J67" s="62">
        <f t="shared" ref="J67:J88" si="6">G67*H67*0.98-I67</f>
        <v>0</v>
      </c>
      <c r="K67" s="62"/>
      <c r="L67" s="62"/>
      <c r="M67" s="62"/>
    </row>
    <row r="68" spans="1:13">
      <c r="A68" s="59">
        <v>43556</v>
      </c>
      <c r="B68" s="45" t="s">
        <v>75</v>
      </c>
      <c r="C68" s="65"/>
      <c r="D68" s="45" t="s">
        <v>156</v>
      </c>
      <c r="E68" s="45" t="s">
        <v>46</v>
      </c>
      <c r="F68" s="61" t="s">
        <v>47</v>
      </c>
      <c r="G68" s="62"/>
      <c r="H68" s="63"/>
      <c r="I68" s="64"/>
      <c r="J68" s="62">
        <f t="shared" si="6"/>
        <v>0</v>
      </c>
      <c r="K68" s="62">
        <f>(J68)*0.2*N2</f>
        <v>0</v>
      </c>
      <c r="L68" s="62"/>
      <c r="M68" s="62"/>
    </row>
    <row r="69" spans="1:13">
      <c r="A69" s="59">
        <v>43556</v>
      </c>
      <c r="B69" s="45" t="s">
        <v>75</v>
      </c>
      <c r="C69" s="65"/>
      <c r="D69" s="45" t="s">
        <v>156</v>
      </c>
      <c r="E69" s="45" t="s">
        <v>46</v>
      </c>
      <c r="F69" s="61" t="s">
        <v>157</v>
      </c>
      <c r="G69" s="62"/>
      <c r="H69" s="63"/>
      <c r="I69" s="64"/>
      <c r="J69" s="62">
        <f t="shared" si="6"/>
        <v>0</v>
      </c>
      <c r="K69" s="62"/>
      <c r="L69" s="62"/>
      <c r="M69" s="62"/>
    </row>
    <row r="70" spans="1:13">
      <c r="A70" s="59">
        <v>43556</v>
      </c>
      <c r="B70" s="45" t="s">
        <v>75</v>
      </c>
      <c r="C70" s="60" t="s">
        <v>158</v>
      </c>
      <c r="D70" s="45" t="s">
        <v>159</v>
      </c>
      <c r="E70" s="45" t="s">
        <v>160</v>
      </c>
      <c r="F70" s="61" t="s">
        <v>161</v>
      </c>
      <c r="G70" s="62"/>
      <c r="H70" s="63"/>
      <c r="I70" s="64"/>
      <c r="J70" s="62">
        <f t="shared" si="6"/>
        <v>0</v>
      </c>
      <c r="K70" s="62">
        <f>(J70)*0.04*N2</f>
        <v>0</v>
      </c>
      <c r="L70" s="62">
        <f>K70/0.04*0.25</f>
        <v>0</v>
      </c>
      <c r="M70" s="62">
        <f>L70-K70</f>
        <v>0</v>
      </c>
    </row>
    <row r="71" spans="1:13">
      <c r="A71" s="59">
        <v>43556</v>
      </c>
      <c r="B71" s="45" t="s">
        <v>75</v>
      </c>
      <c r="C71" s="65"/>
      <c r="D71" s="69" t="s">
        <v>162</v>
      </c>
      <c r="E71" s="69" t="s">
        <v>163</v>
      </c>
      <c r="F71" s="69" t="s">
        <v>164</v>
      </c>
      <c r="G71" s="70"/>
      <c r="H71" s="71"/>
      <c r="I71" s="64"/>
      <c r="J71" s="62">
        <f t="shared" si="6"/>
        <v>0</v>
      </c>
      <c r="K71" s="62">
        <f>(J71)*0.25*N2</f>
        <v>0</v>
      </c>
      <c r="L71" s="62"/>
      <c r="M71" s="62"/>
    </row>
    <row r="72" spans="1:13">
      <c r="A72" s="59">
        <v>43556</v>
      </c>
      <c r="B72" s="45" t="s">
        <v>75</v>
      </c>
      <c r="C72" s="65"/>
      <c r="D72" s="45" t="s">
        <v>41</v>
      </c>
      <c r="E72" s="45" t="s">
        <v>42</v>
      </c>
      <c r="F72" s="61" t="s">
        <v>165</v>
      </c>
      <c r="G72" s="62"/>
      <c r="H72" s="63"/>
      <c r="I72" s="64"/>
      <c r="J72" s="62">
        <f t="shared" si="6"/>
        <v>0</v>
      </c>
      <c r="K72" s="62">
        <f>(J72+J78)*0.03*N2</f>
        <v>0</v>
      </c>
      <c r="L72" s="62">
        <f>K72/0.03*0.25</f>
        <v>0</v>
      </c>
      <c r="M72" s="62">
        <f>L72-K72</f>
        <v>0</v>
      </c>
    </row>
    <row r="73" spans="1:13">
      <c r="A73" s="59"/>
      <c r="C73" s="65"/>
      <c r="D73" s="45" t="s">
        <v>166</v>
      </c>
      <c r="E73" s="45" t="s">
        <v>167</v>
      </c>
      <c r="F73" s="61" t="s">
        <v>168</v>
      </c>
      <c r="G73" s="62"/>
      <c r="H73" s="63"/>
      <c r="I73" s="64"/>
      <c r="J73" s="62">
        <f t="shared" si="6"/>
        <v>0</v>
      </c>
      <c r="K73" s="62"/>
      <c r="L73" s="62"/>
      <c r="M73" s="62"/>
    </row>
    <row r="74" spans="1:13">
      <c r="A74" s="59"/>
      <c r="C74" s="65"/>
      <c r="D74" s="45" t="s">
        <v>169</v>
      </c>
      <c r="E74" s="45" t="s">
        <v>167</v>
      </c>
      <c r="F74" s="61" t="s">
        <v>168</v>
      </c>
      <c r="G74" s="62"/>
      <c r="H74" s="63"/>
      <c r="I74" s="64"/>
      <c r="J74" s="62">
        <f t="shared" si="6"/>
        <v>0</v>
      </c>
      <c r="K74" s="62"/>
      <c r="L74" s="62"/>
      <c r="M74" s="62"/>
    </row>
    <row r="75" spans="1:13">
      <c r="A75" s="59">
        <v>43556</v>
      </c>
      <c r="B75" s="45" t="s">
        <v>75</v>
      </c>
      <c r="C75" s="65"/>
      <c r="D75" s="45" t="s">
        <v>169</v>
      </c>
      <c r="E75" s="45" t="s">
        <v>167</v>
      </c>
      <c r="F75" s="61" t="s">
        <v>170</v>
      </c>
      <c r="G75" s="62"/>
      <c r="H75" s="63"/>
      <c r="I75" s="64"/>
      <c r="J75" s="62">
        <f t="shared" si="6"/>
        <v>0</v>
      </c>
      <c r="K75" s="62">
        <f>(J75+J74+J73)*0.04*N2</f>
        <v>0</v>
      </c>
      <c r="L75" s="62">
        <f>K75/0.04*0.25</f>
        <v>0</v>
      </c>
      <c r="M75" s="62">
        <f>L75-K75</f>
        <v>0</v>
      </c>
    </row>
    <row r="76" spans="1:13">
      <c r="A76" s="59"/>
      <c r="C76" s="65"/>
      <c r="D76" s="45" t="s">
        <v>171</v>
      </c>
      <c r="E76" s="45" t="s">
        <v>172</v>
      </c>
      <c r="F76" s="61" t="s">
        <v>173</v>
      </c>
      <c r="G76" s="62"/>
      <c r="H76" s="63"/>
      <c r="I76" s="64"/>
      <c r="J76" s="62">
        <f t="shared" si="6"/>
        <v>0</v>
      </c>
      <c r="K76" s="62"/>
      <c r="L76" s="62"/>
      <c r="M76" s="62"/>
    </row>
    <row r="77" spans="1:13">
      <c r="A77" s="59">
        <v>43556</v>
      </c>
      <c r="B77" s="45" t="s">
        <v>75</v>
      </c>
      <c r="C77" s="65"/>
      <c r="D77" s="45" t="s">
        <v>171</v>
      </c>
      <c r="E77" s="45" t="s">
        <v>172</v>
      </c>
      <c r="F77" s="61" t="s">
        <v>174</v>
      </c>
      <c r="G77" s="62"/>
      <c r="H77" s="63"/>
      <c r="I77" s="64"/>
      <c r="J77" s="62">
        <f t="shared" si="6"/>
        <v>0</v>
      </c>
      <c r="K77" s="62">
        <f>(J77+J76)*0.05*N2</f>
        <v>0</v>
      </c>
      <c r="L77" s="62">
        <f>K77/0.05*0.25</f>
        <v>0</v>
      </c>
      <c r="M77" s="62">
        <f>L77-K77</f>
        <v>0</v>
      </c>
    </row>
    <row r="78" spans="1:13">
      <c r="A78" s="59"/>
      <c r="C78" s="65"/>
      <c r="D78" s="45" t="s">
        <v>175</v>
      </c>
      <c r="E78" s="45" t="s">
        <v>42</v>
      </c>
      <c r="F78" s="61" t="s">
        <v>43</v>
      </c>
      <c r="G78" s="62"/>
      <c r="H78" s="63"/>
      <c r="I78" s="64"/>
      <c r="J78" s="62">
        <f t="shared" si="6"/>
        <v>0</v>
      </c>
      <c r="K78" s="62"/>
      <c r="L78" s="62"/>
      <c r="M78" s="62"/>
    </row>
    <row r="79" spans="1:13">
      <c r="A79" s="59">
        <v>43556</v>
      </c>
      <c r="B79" s="45" t="s">
        <v>75</v>
      </c>
      <c r="C79" s="65"/>
      <c r="D79" s="45" t="s">
        <v>176</v>
      </c>
      <c r="E79" s="45" t="s">
        <v>177</v>
      </c>
      <c r="F79" s="61" t="s">
        <v>178</v>
      </c>
      <c r="G79" s="62"/>
      <c r="H79" s="63"/>
      <c r="I79" s="64"/>
      <c r="J79" s="62">
        <f t="shared" si="6"/>
        <v>0</v>
      </c>
      <c r="K79" s="62">
        <f>(J79)*0.03*N2</f>
        <v>0</v>
      </c>
      <c r="L79" s="62">
        <f>K79/0.03*0.25</f>
        <v>0</v>
      </c>
      <c r="M79" s="62">
        <f>L79-K79</f>
        <v>0</v>
      </c>
    </row>
    <row r="80" spans="1:13">
      <c r="A80" s="59">
        <v>43556</v>
      </c>
      <c r="B80" s="45" t="s">
        <v>75</v>
      </c>
      <c r="C80" s="72" t="s">
        <v>179</v>
      </c>
      <c r="D80" s="45" t="s">
        <v>180</v>
      </c>
      <c r="E80" s="45" t="s">
        <v>17</v>
      </c>
      <c r="F80" s="61" t="s">
        <v>18</v>
      </c>
      <c r="G80" s="62"/>
      <c r="H80" s="63"/>
      <c r="I80" s="64"/>
      <c r="J80" s="62">
        <f t="shared" si="6"/>
        <v>0</v>
      </c>
      <c r="K80" s="62">
        <f>(J80)*0.04*N2</f>
        <v>0</v>
      </c>
      <c r="L80" s="62"/>
      <c r="M80" s="62"/>
    </row>
    <row r="81" spans="1:13">
      <c r="A81" s="59"/>
      <c r="C81" s="60" t="s">
        <v>181</v>
      </c>
      <c r="D81" s="45" t="s">
        <v>182</v>
      </c>
      <c r="E81" s="45" t="s">
        <v>183</v>
      </c>
      <c r="F81" s="61" t="s">
        <v>184</v>
      </c>
      <c r="G81" s="62"/>
      <c r="H81" s="63"/>
      <c r="I81" s="64"/>
      <c r="J81" s="62">
        <f t="shared" si="6"/>
        <v>0</v>
      </c>
      <c r="K81" s="62"/>
      <c r="L81" s="62"/>
      <c r="M81" s="62"/>
    </row>
    <row r="82" spans="1:13">
      <c r="A82" s="59">
        <v>43556</v>
      </c>
      <c r="B82" s="45" t="s">
        <v>75</v>
      </c>
      <c r="C82" s="65"/>
      <c r="D82" s="45" t="s">
        <v>182</v>
      </c>
      <c r="E82" s="45" t="s">
        <v>183</v>
      </c>
      <c r="F82" s="61" t="s">
        <v>185</v>
      </c>
      <c r="G82" s="62"/>
      <c r="H82" s="63"/>
      <c r="I82" s="66"/>
      <c r="J82" s="62">
        <f t="shared" si="6"/>
        <v>0</v>
      </c>
      <c r="K82" s="62">
        <f>(J82+J81)*0.05*N2</f>
        <v>0</v>
      </c>
      <c r="L82" s="62">
        <f>K82/0.05*0.25</f>
        <v>0</v>
      </c>
      <c r="M82" s="62">
        <f>L82-K82</f>
        <v>0</v>
      </c>
    </row>
    <row r="83" spans="1:13">
      <c r="A83" s="59"/>
      <c r="C83" s="65"/>
      <c r="D83" s="45" t="s">
        <v>186</v>
      </c>
      <c r="E83" s="45" t="s">
        <v>187</v>
      </c>
      <c r="F83" s="61" t="s">
        <v>188</v>
      </c>
      <c r="G83" s="62"/>
      <c r="H83" s="63"/>
      <c r="I83" s="67"/>
      <c r="J83" s="62">
        <f t="shared" si="6"/>
        <v>0</v>
      </c>
      <c r="K83" s="62"/>
      <c r="L83" s="62"/>
      <c r="M83" s="62"/>
    </row>
    <row r="84" spans="1:13">
      <c r="A84" s="59">
        <v>43556</v>
      </c>
      <c r="B84" s="45" t="s">
        <v>75</v>
      </c>
      <c r="C84" s="68"/>
      <c r="D84" s="45" t="s">
        <v>186</v>
      </c>
      <c r="E84" s="45" t="s">
        <v>187</v>
      </c>
      <c r="F84" s="61" t="s">
        <v>188</v>
      </c>
      <c r="G84" s="62"/>
      <c r="H84" s="63"/>
      <c r="I84" s="64"/>
      <c r="J84" s="62">
        <f t="shared" si="6"/>
        <v>0</v>
      </c>
      <c r="K84" s="62">
        <f>(J84+J85+J83)*0.05*N2</f>
        <v>0</v>
      </c>
      <c r="L84" s="62">
        <f>K84/0.05*0.25</f>
        <v>0</v>
      </c>
      <c r="M84" s="62">
        <f>L84-K84</f>
        <v>0</v>
      </c>
    </row>
    <row r="85" spans="1:13">
      <c r="A85" s="59">
        <v>43556</v>
      </c>
      <c r="B85" s="45" t="s">
        <v>75</v>
      </c>
      <c r="C85" s="45" t="s">
        <v>189</v>
      </c>
      <c r="D85" s="45" t="s">
        <v>186</v>
      </c>
      <c r="E85" s="45" t="s">
        <v>187</v>
      </c>
      <c r="F85" s="61" t="s">
        <v>188</v>
      </c>
      <c r="G85" s="62"/>
      <c r="H85" s="63"/>
      <c r="I85" s="64"/>
      <c r="J85" s="62">
        <f t="shared" si="6"/>
        <v>0</v>
      </c>
      <c r="K85" s="62"/>
      <c r="L85" s="62"/>
      <c r="M85" s="62"/>
    </row>
    <row r="86" spans="1:13">
      <c r="A86" s="59">
        <v>43556</v>
      </c>
      <c r="B86" s="45" t="s">
        <v>75</v>
      </c>
      <c r="C86" s="60" t="s">
        <v>190</v>
      </c>
      <c r="D86" s="45" t="s">
        <v>48</v>
      </c>
      <c r="E86" s="45" t="s">
        <v>46</v>
      </c>
      <c r="F86" s="61" t="s">
        <v>47</v>
      </c>
      <c r="G86" s="62"/>
      <c r="H86" s="63"/>
      <c r="I86" s="64"/>
      <c r="J86" s="62">
        <f t="shared" si="6"/>
        <v>0</v>
      </c>
      <c r="K86" s="62">
        <f>J86*0.25*N2</f>
        <v>0</v>
      </c>
      <c r="L86" s="62"/>
      <c r="M86" s="62"/>
    </row>
    <row r="87" spans="1:13">
      <c r="A87" s="59"/>
      <c r="C87" s="68"/>
      <c r="D87" s="45" t="s">
        <v>191</v>
      </c>
      <c r="E87" s="45" t="s">
        <v>46</v>
      </c>
      <c r="F87" s="61" t="s">
        <v>47</v>
      </c>
      <c r="G87" s="62"/>
      <c r="H87" s="63"/>
      <c r="I87" s="64"/>
      <c r="J87" s="62">
        <f t="shared" si="6"/>
        <v>0</v>
      </c>
      <c r="K87" s="62"/>
      <c r="L87" s="62"/>
      <c r="M87" s="62"/>
    </row>
    <row r="88" spans="1:13">
      <c r="C88" s="73" t="s">
        <v>49</v>
      </c>
      <c r="D88" s="73"/>
      <c r="E88" s="45" t="s">
        <v>50</v>
      </c>
      <c r="F88" s="61" t="s">
        <v>50</v>
      </c>
      <c r="G88" s="62"/>
      <c r="H88" s="63"/>
      <c r="I88" s="64"/>
      <c r="J88" s="62">
        <f t="shared" ref="J88:J91" si="7">(G88*H88*0.98)-I88</f>
        <v>0</v>
      </c>
      <c r="K88" s="62">
        <f>(J3+J4+J5+J12+J21+J22+J23+J24+J30+J33+J34+J35+J36+J38+J39+J40)*0.07*N2+(J6+J7+J8+J9+J10+J11+J13+J14+J15+J16+J17+J18+J19+J20+J25+J26+J27+J28+J29+J31+J32+J37+J41+J42+J43+J44+J45+J46+J48+J49+J50+J51+J52+J53+J54+J55+J56+J57+J58+J59+J60+J61+J62+J63+J64+J65+J68+J69+J70+J71+J72+J73+J74+J75+J76+J77+J78+J79+J81+J82+J83+J84)*0.01*N2+(J47)*0.04*N2+(0)*0.08*N2</f>
        <v>0</v>
      </c>
      <c r="L88" s="62"/>
      <c r="M88" s="62"/>
    </row>
    <row r="89" spans="1:13">
      <c r="C89" s="73"/>
      <c r="D89" s="73"/>
      <c r="E89" s="45" t="s">
        <v>51</v>
      </c>
      <c r="F89" s="61" t="s">
        <v>51</v>
      </c>
      <c r="G89" s="62"/>
      <c r="H89" s="63"/>
      <c r="I89" s="64"/>
      <c r="J89" s="62">
        <f t="shared" si="7"/>
        <v>0</v>
      </c>
      <c r="K89" s="62">
        <f>(J6+J7+J8+J13+J14+J15+J17+J18)*0.06*N2+(J57)*0.03*N2+(J74+J75)*0.07*N2</f>
        <v>0</v>
      </c>
      <c r="L89" s="62"/>
      <c r="M89" s="62"/>
    </row>
    <row r="90" spans="1:13">
      <c r="C90" s="73"/>
      <c r="D90" s="73"/>
      <c r="E90" s="45" t="s">
        <v>52</v>
      </c>
      <c r="F90" s="61" t="s">
        <v>52</v>
      </c>
      <c r="G90" s="62"/>
      <c r="H90" s="63"/>
      <c r="I90" s="64"/>
      <c r="J90" s="62">
        <f t="shared" si="7"/>
        <v>0</v>
      </c>
      <c r="K90" s="62">
        <f>(J9+J10+J11+J16+J37)*0.06*N2+(J63+J64+J71)*0.07*N2+(J83+J84+J85)*0.03*N2</f>
        <v>0</v>
      </c>
      <c r="L90" s="62"/>
      <c r="M90" s="62"/>
    </row>
    <row r="91" spans="1:13">
      <c r="C91" s="73"/>
      <c r="D91" s="73"/>
      <c r="E91" s="45" t="s">
        <v>53</v>
      </c>
      <c r="F91" s="61" t="s">
        <v>53</v>
      </c>
      <c r="G91" s="62"/>
      <c r="H91" s="63"/>
      <c r="I91" s="64"/>
      <c r="J91" s="62">
        <f t="shared" si="7"/>
        <v>0</v>
      </c>
      <c r="K91" s="62">
        <f>(J41)*0.06*N2+(J45+J46+J48+J53+J54+J55+J56)*0.03*N2+(J65+J68+J69+J70)*0.07*N2</f>
        <v>0</v>
      </c>
      <c r="L91" s="62"/>
      <c r="M91" s="62"/>
    </row>
    <row r="92" spans="1:13">
      <c r="C92" s="73"/>
      <c r="D92" s="73"/>
      <c r="E92" s="45" t="s">
        <v>192</v>
      </c>
      <c r="F92" s="61" t="s">
        <v>192</v>
      </c>
      <c r="G92" s="62"/>
      <c r="H92" s="63"/>
      <c r="I92" s="64"/>
      <c r="J92" s="62">
        <v>0</v>
      </c>
      <c r="K92" s="62">
        <f>(J25+J26+J27+J28+J29+J42)*0.06*N2</f>
        <v>0</v>
      </c>
      <c r="L92" s="62"/>
      <c r="M92" s="62"/>
    </row>
    <row r="93" spans="1:13">
      <c r="C93" s="73"/>
      <c r="D93" s="73"/>
      <c r="E93" s="45" t="s">
        <v>55</v>
      </c>
      <c r="F93" s="61" t="s">
        <v>55</v>
      </c>
      <c r="G93" s="62"/>
      <c r="H93" s="63"/>
      <c r="I93" s="64"/>
      <c r="J93" s="62">
        <v>0</v>
      </c>
      <c r="K93" s="62">
        <f>(0)*0.06*N2+(J60+J61+J62+J73+J76+J77+J78)*0.07*N2+(J49+J50+J81+J82)*0.03*N2</f>
        <v>0</v>
      </c>
      <c r="L93" s="62"/>
      <c r="M93" s="62"/>
    </row>
    <row r="94" spans="1:13">
      <c r="E94" s="45" t="s">
        <v>56</v>
      </c>
      <c r="F94" s="61" t="s">
        <v>56</v>
      </c>
      <c r="G94" s="62"/>
      <c r="H94" s="63"/>
      <c r="I94" s="64"/>
      <c r="J94" s="62">
        <v>0</v>
      </c>
      <c r="K94" s="62">
        <f>(J19+J20)*0.06*N2+(J51+J52+J58+J59)*0.03*N2+(J72)*0.07*N2</f>
        <v>0</v>
      </c>
      <c r="L94" s="62"/>
      <c r="M94" s="62"/>
    </row>
    <row r="95" spans="1:13">
      <c r="E95" s="45" t="s">
        <v>54</v>
      </c>
      <c r="F95" s="61" t="s">
        <v>54</v>
      </c>
      <c r="G95" s="62"/>
      <c r="H95" s="63"/>
      <c r="I95" s="64"/>
      <c r="J95" s="62">
        <v>0</v>
      </c>
      <c r="K95" s="62">
        <f>(J79)*0.07*N2+(J43+J44)*0.03*N2+(J31+J32)*0.06*N2</f>
        <v>0</v>
      </c>
      <c r="L95" s="62"/>
      <c r="M95" s="62"/>
    </row>
    <row r="96" spans="1:13">
      <c r="F96" s="74" t="s">
        <v>57</v>
      </c>
      <c r="G96" s="75">
        <f>SUM(G3:G92)</f>
        <v>0</v>
      </c>
      <c r="H96" s="76"/>
      <c r="I96" s="77">
        <f>SUM(I3:I91)</f>
        <v>0</v>
      </c>
      <c r="J96" s="75">
        <f>SUM(J3:J92)</f>
        <v>0</v>
      </c>
      <c r="K96" s="75">
        <f>J96*N2</f>
        <v>0</v>
      </c>
      <c r="L96" s="62"/>
      <c r="M96" s="62"/>
    </row>
    <row r="97" spans="3:13">
      <c r="F97" s="74" t="s">
        <v>58</v>
      </c>
      <c r="G97" s="75"/>
      <c r="H97" s="76"/>
      <c r="I97" s="77"/>
      <c r="J97" s="75"/>
      <c r="K97" s="75">
        <f>K96*0.4</f>
        <v>0</v>
      </c>
      <c r="L97" s="62"/>
      <c r="M97" s="62"/>
    </row>
    <row r="98" spans="3:13">
      <c r="F98" s="74" t="s">
        <v>59</v>
      </c>
      <c r="G98" s="75"/>
      <c r="H98" s="76"/>
      <c r="I98" s="77"/>
      <c r="J98" s="75"/>
      <c r="K98" s="75">
        <f>K96*0.6</f>
        <v>0</v>
      </c>
      <c r="L98" s="62"/>
      <c r="M98" s="62"/>
    </row>
    <row r="99" spans="3:13">
      <c r="F99" s="61"/>
      <c r="G99" s="62"/>
      <c r="H99" s="63"/>
      <c r="I99" s="64"/>
      <c r="J99" s="62"/>
      <c r="K99" s="62"/>
      <c r="L99" s="62"/>
      <c r="M99" s="62"/>
    </row>
    <row r="100" spans="3:13">
      <c r="C100" s="45" t="s">
        <v>193</v>
      </c>
      <c r="E100" s="45" t="s">
        <v>61</v>
      </c>
      <c r="F100" s="61"/>
      <c r="G100" s="62"/>
      <c r="H100" s="63"/>
      <c r="I100" s="64"/>
      <c r="J100" s="62"/>
      <c r="K100" s="62">
        <f>(J13+J15+J16+J14)*0.05+M9+M23+M31+M34+M3+M6+M38+M30+M17+M21+M19+M25</f>
        <v>0</v>
      </c>
      <c r="L100" s="62"/>
      <c r="M100" s="62"/>
    </row>
    <row r="101" spans="3:13">
      <c r="C101" s="45" t="s">
        <v>194</v>
      </c>
      <c r="E101" s="45" t="s">
        <v>61</v>
      </c>
      <c r="F101" s="61"/>
      <c r="G101" s="62"/>
      <c r="H101" s="63"/>
      <c r="I101" s="64"/>
      <c r="J101" s="62"/>
      <c r="K101" s="62">
        <f>(0)*0.05*N2+M70+M72+M77+M71+M79+M75</f>
        <v>0</v>
      </c>
      <c r="L101" s="62"/>
      <c r="M101" s="62"/>
    </row>
    <row r="102" spans="3:13">
      <c r="C102" s="45" t="s">
        <v>195</v>
      </c>
      <c r="E102" s="45" t="s">
        <v>64</v>
      </c>
      <c r="F102" s="61"/>
      <c r="G102" s="62"/>
      <c r="H102" s="63"/>
      <c r="I102" s="64"/>
      <c r="J102" s="62"/>
      <c r="K102" s="62">
        <f>M64+M60+M68</f>
        <v>0</v>
      </c>
      <c r="L102" s="62"/>
      <c r="M102" s="62"/>
    </row>
    <row r="103" spans="3:13">
      <c r="C103" s="45" t="s">
        <v>196</v>
      </c>
      <c r="E103" s="45" t="s">
        <v>61</v>
      </c>
      <c r="F103" s="61"/>
      <c r="G103" s="62"/>
      <c r="H103" s="63"/>
      <c r="I103" s="64"/>
      <c r="J103" s="62"/>
      <c r="K103" s="62">
        <f>(0)*0.05*N2+M58+M55+M48+M57+M43</f>
        <v>0</v>
      </c>
      <c r="L103" s="62"/>
      <c r="M103" s="62"/>
    </row>
    <row r="104" spans="3:13">
      <c r="C104" s="45" t="s">
        <v>66</v>
      </c>
      <c r="E104" s="45" t="s">
        <v>61</v>
      </c>
      <c r="F104" s="61"/>
      <c r="G104" s="62"/>
      <c r="H104" s="63"/>
      <c r="I104" s="64"/>
      <c r="J104" s="62"/>
      <c r="K104" s="62">
        <f>M84+M82</f>
        <v>0</v>
      </c>
      <c r="L104" s="62"/>
      <c r="M104" s="62"/>
    </row>
    <row r="105" spans="3:13">
      <c r="C105" s="45" t="s">
        <v>68</v>
      </c>
      <c r="E105" s="45" t="s">
        <v>61</v>
      </c>
      <c r="F105" s="61"/>
      <c r="G105" s="62"/>
      <c r="H105" s="63"/>
      <c r="I105" s="64"/>
      <c r="J105" s="62"/>
      <c r="K105" s="62">
        <f>J96*0.07*N2</f>
        <v>0</v>
      </c>
      <c r="L105" s="62"/>
      <c r="M105" s="62"/>
    </row>
    <row r="106" spans="3:13">
      <c r="K106" s="46">
        <f>K100+K101+K102+K103</f>
        <v>0</v>
      </c>
    </row>
    <row r="107" spans="3:13">
      <c r="K107" s="75">
        <f>K100+K101+K102+K103+K104</f>
        <v>0</v>
      </c>
    </row>
  </sheetData>
  <mergeCells count="7">
    <mergeCell ref="C88:D93"/>
    <mergeCell ref="C3:C42"/>
    <mergeCell ref="C43:C59"/>
    <mergeCell ref="C60:C69"/>
    <mergeCell ref="C70:C79"/>
    <mergeCell ref="C81:C84"/>
    <mergeCell ref="C86:C87"/>
  </mergeCells>
  <phoneticPr fontId="1" type="noConversion"/>
  <conditionalFormatting sqref="E102">
    <cfRule type="containsText" dxfId="18" priority="4" operator="containsText" text="方泽斯">
      <formula>NOT(ISERROR(SEARCH("方泽斯",E102)))</formula>
    </cfRule>
  </conditionalFormatting>
  <conditionalFormatting sqref="E94:E95">
    <cfRule type="containsText" dxfId="17" priority="3" operator="containsText" text="方泽斯">
      <formula>NOT(ISERROR(SEARCH("方泽斯",E94)))</formula>
    </cfRule>
  </conditionalFormatting>
  <conditionalFormatting sqref="E102">
    <cfRule type="containsText" dxfId="3" priority="2" operator="containsText" text="方泽斯">
      <formula>NOT(ISERROR(SEARCH("方泽斯",E102)))</formula>
    </cfRule>
  </conditionalFormatting>
  <conditionalFormatting sqref="E94:E95">
    <cfRule type="containsText" dxfId="1" priority="1" operator="containsText" text="方泽斯">
      <formula>NOT(ISERROR(SEARCH("方泽斯",E94)))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00"/>
  <sheetViews>
    <sheetView workbookViewId="0">
      <selection activeCell="D1" sqref="D1"/>
    </sheetView>
  </sheetViews>
  <sheetFormatPr defaultRowHeight="13.5"/>
  <cols>
    <col min="1" max="1" width="16.75" customWidth="1"/>
  </cols>
  <sheetData>
    <row r="1" spans="1:14">
      <c r="A1" s="21"/>
      <c r="B1" s="21"/>
      <c r="C1" s="21" t="s">
        <v>197</v>
      </c>
      <c r="D1" s="21"/>
      <c r="E1" s="21"/>
      <c r="F1" s="21"/>
      <c r="G1" s="5"/>
      <c r="H1" s="6"/>
      <c r="I1" s="7"/>
      <c r="J1" s="5"/>
      <c r="K1" s="5"/>
      <c r="L1" s="5"/>
      <c r="M1" s="5"/>
      <c r="N1" s="21"/>
    </row>
    <row r="2" spans="1:14" ht="14.25">
      <c r="A2" s="27"/>
      <c r="B2" s="27"/>
      <c r="C2" s="1" t="s">
        <v>1</v>
      </c>
      <c r="D2" s="1" t="s">
        <v>2</v>
      </c>
      <c r="E2" s="1"/>
      <c r="F2" s="2" t="s">
        <v>3</v>
      </c>
      <c r="G2" s="8" t="s">
        <v>69</v>
      </c>
      <c r="H2" s="9" t="s">
        <v>70</v>
      </c>
      <c r="I2" s="10" t="s">
        <v>71</v>
      </c>
      <c r="J2" s="10" t="s">
        <v>72</v>
      </c>
      <c r="K2" s="18" t="s">
        <v>73</v>
      </c>
      <c r="L2" s="19"/>
      <c r="M2" s="20" t="s">
        <v>74</v>
      </c>
      <c r="N2" s="28">
        <v>7.01</v>
      </c>
    </row>
    <row r="3" spans="1:14">
      <c r="A3" s="29">
        <v>43556</v>
      </c>
      <c r="B3" s="21" t="s">
        <v>197</v>
      </c>
      <c r="C3" s="25" t="s">
        <v>4</v>
      </c>
      <c r="D3" s="21" t="s">
        <v>89</v>
      </c>
      <c r="E3" s="21" t="s">
        <v>90</v>
      </c>
      <c r="F3" s="3" t="s">
        <v>91</v>
      </c>
      <c r="G3" s="79"/>
      <c r="H3" s="12"/>
      <c r="I3" s="14"/>
      <c r="J3" s="11">
        <f t="shared" ref="J3:J66" si="0">G3*H3*1-I3</f>
        <v>0</v>
      </c>
      <c r="K3" s="11">
        <f>J3*0.2*N2</f>
        <v>0</v>
      </c>
      <c r="L3" s="11"/>
      <c r="M3" s="11"/>
      <c r="N3" s="21"/>
    </row>
    <row r="4" spans="1:14">
      <c r="A4" s="29">
        <v>43556</v>
      </c>
      <c r="B4" s="21" t="s">
        <v>197</v>
      </c>
      <c r="C4" s="30"/>
      <c r="D4" s="21" t="s">
        <v>8</v>
      </c>
      <c r="E4" s="21" t="s">
        <v>9</v>
      </c>
      <c r="F4" s="3" t="s">
        <v>10</v>
      </c>
      <c r="G4" s="11"/>
      <c r="H4" s="12"/>
      <c r="I4" s="13"/>
      <c r="J4" s="11">
        <f t="shared" si="0"/>
        <v>0</v>
      </c>
      <c r="K4" s="11">
        <f>(J4+J5)*0.05*N2</f>
        <v>0</v>
      </c>
      <c r="L4" s="11">
        <f t="shared" ref="L4:L8" si="1">K4/0.05*0.25</f>
        <v>0</v>
      </c>
      <c r="M4" s="11">
        <f t="shared" ref="M4:M9" si="2">L4-K4</f>
        <v>0</v>
      </c>
      <c r="N4" s="21"/>
    </row>
    <row r="5" spans="1:14">
      <c r="A5" s="29">
        <v>43556</v>
      </c>
      <c r="B5" s="21" t="s">
        <v>197</v>
      </c>
      <c r="C5" s="30"/>
      <c r="D5" s="21" t="s">
        <v>8</v>
      </c>
      <c r="E5" s="21" t="s">
        <v>9</v>
      </c>
      <c r="F5" s="3" t="s">
        <v>86</v>
      </c>
      <c r="G5" s="11"/>
      <c r="H5" s="12"/>
      <c r="I5" s="13"/>
      <c r="J5" s="11">
        <f t="shared" si="0"/>
        <v>0</v>
      </c>
      <c r="K5" s="11"/>
      <c r="L5" s="11"/>
      <c r="M5" s="11"/>
      <c r="N5" s="21"/>
    </row>
    <row r="6" spans="1:14">
      <c r="A6" s="29">
        <v>43556</v>
      </c>
      <c r="B6" s="21" t="s">
        <v>197</v>
      </c>
      <c r="C6" s="30"/>
      <c r="D6" s="21" t="s">
        <v>117</v>
      </c>
      <c r="E6" s="21" t="s">
        <v>82</v>
      </c>
      <c r="F6" s="3" t="s">
        <v>83</v>
      </c>
      <c r="G6" s="11"/>
      <c r="H6" s="12"/>
      <c r="I6" s="14"/>
      <c r="J6" s="11">
        <f t="shared" si="0"/>
        <v>0</v>
      </c>
      <c r="K6" s="11">
        <f>J6*0.05*N2</f>
        <v>0</v>
      </c>
      <c r="L6" s="11">
        <f t="shared" si="1"/>
        <v>0</v>
      </c>
      <c r="M6" s="11">
        <f t="shared" si="2"/>
        <v>0</v>
      </c>
      <c r="N6" s="21"/>
    </row>
    <row r="7" spans="1:14">
      <c r="A7" s="29">
        <v>43556</v>
      </c>
      <c r="B7" s="21" t="s">
        <v>197</v>
      </c>
      <c r="C7" s="30"/>
      <c r="D7" s="21" t="s">
        <v>111</v>
      </c>
      <c r="E7" s="21" t="s">
        <v>108</v>
      </c>
      <c r="F7" s="3" t="s">
        <v>109</v>
      </c>
      <c r="G7" s="11"/>
      <c r="H7" s="12"/>
      <c r="I7" s="13"/>
      <c r="J7" s="11">
        <f t="shared" si="0"/>
        <v>0</v>
      </c>
      <c r="K7" s="11"/>
      <c r="L7" s="11"/>
      <c r="M7" s="11"/>
      <c r="N7" s="21"/>
    </row>
    <row r="8" spans="1:14">
      <c r="A8" s="29">
        <v>43556</v>
      </c>
      <c r="B8" s="21" t="s">
        <v>197</v>
      </c>
      <c r="C8" s="30"/>
      <c r="D8" s="21" t="s">
        <v>107</v>
      </c>
      <c r="E8" s="21" t="s">
        <v>108</v>
      </c>
      <c r="F8" s="3" t="s">
        <v>109</v>
      </c>
      <c r="G8" s="11"/>
      <c r="H8" s="12"/>
      <c r="I8" s="13"/>
      <c r="J8" s="11">
        <f t="shared" si="0"/>
        <v>0</v>
      </c>
      <c r="K8" s="11">
        <f>(J8+J7)*0.05*N2</f>
        <v>0</v>
      </c>
      <c r="L8" s="11">
        <f t="shared" si="1"/>
        <v>0</v>
      </c>
      <c r="M8" s="11">
        <f t="shared" si="2"/>
        <v>0</v>
      </c>
      <c r="N8" s="21"/>
    </row>
    <row r="9" spans="1:14">
      <c r="A9" s="29">
        <v>43556</v>
      </c>
      <c r="B9" s="21" t="s">
        <v>197</v>
      </c>
      <c r="C9" s="30"/>
      <c r="D9" s="21" t="s">
        <v>5</v>
      </c>
      <c r="E9" s="21" t="s">
        <v>6</v>
      </c>
      <c r="F9" s="3" t="s">
        <v>7</v>
      </c>
      <c r="G9" s="11"/>
      <c r="H9" s="12"/>
      <c r="I9" s="13"/>
      <c r="J9" s="11">
        <f t="shared" si="0"/>
        <v>0</v>
      </c>
      <c r="K9" s="11">
        <f>(J9+J10)*0.03*N2</f>
        <v>0</v>
      </c>
      <c r="L9" s="11">
        <f>K9/0.03*0.25</f>
        <v>0</v>
      </c>
      <c r="M9" s="11">
        <f t="shared" si="2"/>
        <v>0</v>
      </c>
      <c r="N9" s="21"/>
    </row>
    <row r="10" spans="1:14">
      <c r="A10" s="29">
        <v>43556</v>
      </c>
      <c r="B10" s="21" t="s">
        <v>197</v>
      </c>
      <c r="C10" s="30"/>
      <c r="D10" s="21" t="s">
        <v>5</v>
      </c>
      <c r="E10" s="21" t="s">
        <v>6</v>
      </c>
      <c r="F10" s="3" t="s">
        <v>198</v>
      </c>
      <c r="G10" s="11"/>
      <c r="H10" s="12"/>
      <c r="I10" s="14"/>
      <c r="J10" s="11">
        <f t="shared" si="0"/>
        <v>0</v>
      </c>
      <c r="K10" s="11"/>
      <c r="L10" s="11"/>
      <c r="M10" s="11"/>
      <c r="N10" s="21"/>
    </row>
    <row r="11" spans="1:14">
      <c r="A11" s="29">
        <v>43556</v>
      </c>
      <c r="B11" s="21" t="s">
        <v>197</v>
      </c>
      <c r="C11" s="30"/>
      <c r="D11" s="21" t="s">
        <v>119</v>
      </c>
      <c r="E11" s="21" t="s">
        <v>115</v>
      </c>
      <c r="F11" s="3" t="s">
        <v>116</v>
      </c>
      <c r="G11" s="79"/>
      <c r="H11" s="12"/>
      <c r="I11" s="14"/>
      <c r="J11" s="11">
        <f t="shared" si="0"/>
        <v>0</v>
      </c>
      <c r="K11" s="11"/>
      <c r="L11" s="11"/>
      <c r="M11" s="11"/>
      <c r="N11" s="21"/>
    </row>
    <row r="12" spans="1:14">
      <c r="A12" s="29">
        <v>43556</v>
      </c>
      <c r="B12" s="21" t="s">
        <v>197</v>
      </c>
      <c r="C12" s="30"/>
      <c r="D12" s="21" t="s">
        <v>112</v>
      </c>
      <c r="E12" s="21" t="s">
        <v>113</v>
      </c>
      <c r="F12" s="3" t="s">
        <v>114</v>
      </c>
      <c r="G12" s="11"/>
      <c r="H12" s="12"/>
      <c r="I12" s="14"/>
      <c r="J12" s="11">
        <f t="shared" si="0"/>
        <v>0</v>
      </c>
      <c r="K12" s="11">
        <f>(J12+J13+J14)*0.05*N2</f>
        <v>0</v>
      </c>
      <c r="L12" s="11">
        <f>K12/0.05*0.25</f>
        <v>0</v>
      </c>
      <c r="M12" s="11">
        <f t="shared" ref="M12:M17" si="3">L12-K12</f>
        <v>0</v>
      </c>
      <c r="N12" s="21"/>
    </row>
    <row r="13" spans="1:14">
      <c r="A13" s="29"/>
      <c r="B13" s="21"/>
      <c r="C13" s="30"/>
      <c r="D13" s="21" t="s">
        <v>199</v>
      </c>
      <c r="E13" s="21" t="s">
        <v>113</v>
      </c>
      <c r="F13" s="3" t="s">
        <v>114</v>
      </c>
      <c r="G13" s="11"/>
      <c r="H13" s="12"/>
      <c r="I13" s="14"/>
      <c r="J13" s="11">
        <f t="shared" si="0"/>
        <v>0</v>
      </c>
      <c r="K13" s="11"/>
      <c r="L13" s="11"/>
      <c r="M13" s="11"/>
      <c r="N13" s="21"/>
    </row>
    <row r="14" spans="1:14">
      <c r="A14" s="29"/>
      <c r="B14" s="21"/>
      <c r="C14" s="30"/>
      <c r="D14" s="21" t="s">
        <v>199</v>
      </c>
      <c r="E14" s="21" t="s">
        <v>113</v>
      </c>
      <c r="F14" s="3" t="s">
        <v>200</v>
      </c>
      <c r="G14" s="11"/>
      <c r="H14" s="12"/>
      <c r="I14" s="14"/>
      <c r="J14" s="11">
        <f t="shared" si="0"/>
        <v>0</v>
      </c>
      <c r="K14" s="11"/>
      <c r="L14" s="11"/>
      <c r="M14" s="11"/>
      <c r="N14" s="21"/>
    </row>
    <row r="15" spans="1:14">
      <c r="A15" s="29">
        <v>43556</v>
      </c>
      <c r="B15" s="21" t="s">
        <v>197</v>
      </c>
      <c r="C15" s="30"/>
      <c r="D15" s="21" t="s">
        <v>201</v>
      </c>
      <c r="E15" s="21" t="s">
        <v>202</v>
      </c>
      <c r="F15" s="3" t="s">
        <v>203</v>
      </c>
      <c r="G15" s="11"/>
      <c r="H15" s="12"/>
      <c r="I15" s="14"/>
      <c r="J15" s="11">
        <f t="shared" si="0"/>
        <v>0</v>
      </c>
      <c r="K15" s="11">
        <f>J15*0.2*N2</f>
        <v>0</v>
      </c>
      <c r="L15" s="11"/>
      <c r="M15" s="11"/>
      <c r="N15" s="21"/>
    </row>
    <row r="16" spans="1:14">
      <c r="A16" s="29">
        <v>43556</v>
      </c>
      <c r="B16" s="21" t="s">
        <v>197</v>
      </c>
      <c r="C16" s="30"/>
      <c r="D16" s="21" t="s">
        <v>95</v>
      </c>
      <c r="E16" s="21" t="s">
        <v>96</v>
      </c>
      <c r="F16" s="3" t="s">
        <v>97</v>
      </c>
      <c r="G16" s="11"/>
      <c r="H16" s="12"/>
      <c r="I16" s="14"/>
      <c r="J16" s="11">
        <f t="shared" si="0"/>
        <v>0</v>
      </c>
      <c r="K16" s="11">
        <f>J16*0.05*N2</f>
        <v>0</v>
      </c>
      <c r="L16" s="11">
        <f>K16/0.05*0.25</f>
        <v>0</v>
      </c>
      <c r="M16" s="11">
        <f t="shared" si="3"/>
        <v>0</v>
      </c>
      <c r="N16" s="21"/>
    </row>
    <row r="17" spans="1:14">
      <c r="A17" s="29">
        <v>43556</v>
      </c>
      <c r="B17" s="21" t="s">
        <v>197</v>
      </c>
      <c r="C17" s="30"/>
      <c r="D17" s="21" t="s">
        <v>106</v>
      </c>
      <c r="E17" s="21" t="s">
        <v>115</v>
      </c>
      <c r="F17" s="3" t="s">
        <v>116</v>
      </c>
      <c r="G17" s="11"/>
      <c r="H17" s="12"/>
      <c r="I17" s="13"/>
      <c r="J17" s="11">
        <f t="shared" si="0"/>
        <v>0</v>
      </c>
      <c r="K17" s="11">
        <f>(J17+J18+J19+J11)*0.05*N2</f>
        <v>0</v>
      </c>
      <c r="L17" s="11">
        <f>K17/0.05*0.25</f>
        <v>0</v>
      </c>
      <c r="M17" s="11">
        <f t="shared" si="3"/>
        <v>0</v>
      </c>
      <c r="N17" s="21"/>
    </row>
    <row r="18" spans="1:14">
      <c r="A18" s="29">
        <v>43556</v>
      </c>
      <c r="B18" s="21" t="s">
        <v>197</v>
      </c>
      <c r="C18" s="30"/>
      <c r="D18" s="21" t="s">
        <v>106</v>
      </c>
      <c r="E18" s="21" t="s">
        <v>115</v>
      </c>
      <c r="F18" s="3" t="s">
        <v>204</v>
      </c>
      <c r="G18" s="11"/>
      <c r="H18" s="12"/>
      <c r="I18" s="14"/>
      <c r="J18" s="11">
        <f t="shared" si="0"/>
        <v>0</v>
      </c>
      <c r="K18" s="11"/>
      <c r="L18" s="11"/>
      <c r="M18" s="11"/>
      <c r="N18" s="21"/>
    </row>
    <row r="19" spans="1:14">
      <c r="A19" s="29"/>
      <c r="B19" s="21"/>
      <c r="C19" s="30"/>
      <c r="D19" s="21" t="s">
        <v>205</v>
      </c>
      <c r="E19" s="21" t="s">
        <v>115</v>
      </c>
      <c r="F19" s="3" t="s">
        <v>116</v>
      </c>
      <c r="G19" s="11"/>
      <c r="H19" s="12"/>
      <c r="I19" s="14"/>
      <c r="J19" s="11">
        <f t="shared" si="0"/>
        <v>0</v>
      </c>
      <c r="K19" s="11"/>
      <c r="L19" s="11"/>
      <c r="M19" s="11"/>
      <c r="N19" s="21"/>
    </row>
    <row r="20" spans="1:14">
      <c r="A20" s="29"/>
      <c r="B20" s="21"/>
      <c r="C20" s="30"/>
      <c r="D20" s="21" t="s">
        <v>130</v>
      </c>
      <c r="E20" s="32" t="s">
        <v>131</v>
      </c>
      <c r="F20" s="32" t="s">
        <v>132</v>
      </c>
      <c r="G20" s="33"/>
      <c r="H20" s="34"/>
      <c r="I20" s="14"/>
      <c r="J20" s="11">
        <f t="shared" si="0"/>
        <v>0</v>
      </c>
      <c r="K20" s="11">
        <f>(J20)*0.025*N2</f>
        <v>0</v>
      </c>
      <c r="L20" s="11"/>
      <c r="M20" s="11"/>
      <c r="N20" s="21"/>
    </row>
    <row r="21" spans="1:14">
      <c r="A21" s="29"/>
      <c r="B21" s="21"/>
      <c r="C21" s="30"/>
      <c r="D21" s="21" t="s">
        <v>120</v>
      </c>
      <c r="E21" s="21" t="s">
        <v>121</v>
      </c>
      <c r="F21" s="3" t="s">
        <v>122</v>
      </c>
      <c r="G21" s="11"/>
      <c r="H21" s="12"/>
      <c r="I21" s="14"/>
      <c r="J21" s="11">
        <f t="shared" si="0"/>
        <v>0</v>
      </c>
      <c r="K21" s="11">
        <f>(J21)*0.04*N2</f>
        <v>0</v>
      </c>
      <c r="L21" s="11">
        <f>K21/0.04*0.25</f>
        <v>0</v>
      </c>
      <c r="M21" s="11">
        <f>L21-K21</f>
        <v>0</v>
      </c>
      <c r="N21" s="21"/>
    </row>
    <row r="22" spans="1:14">
      <c r="A22" s="29"/>
      <c r="B22" s="21"/>
      <c r="C22" s="30"/>
      <c r="D22" s="21" t="s">
        <v>127</v>
      </c>
      <c r="E22" s="21" t="s">
        <v>206</v>
      </c>
      <c r="F22" s="3" t="s">
        <v>207</v>
      </c>
      <c r="G22" s="11"/>
      <c r="H22" s="12"/>
      <c r="I22" s="14"/>
      <c r="J22" s="11">
        <f t="shared" si="0"/>
        <v>0</v>
      </c>
      <c r="K22" s="11">
        <f>(J22)*0.03*N2</f>
        <v>0</v>
      </c>
      <c r="L22" s="11">
        <f>K22/0.03*0.25</f>
        <v>0</v>
      </c>
      <c r="M22" s="11">
        <f>L22-K22</f>
        <v>0</v>
      </c>
      <c r="N22" s="21"/>
    </row>
    <row r="23" spans="1:14">
      <c r="A23" s="29">
        <v>43556</v>
      </c>
      <c r="B23" s="21" t="s">
        <v>197</v>
      </c>
      <c r="C23" s="30"/>
      <c r="D23" s="32" t="s">
        <v>94</v>
      </c>
      <c r="E23" s="32" t="s">
        <v>208</v>
      </c>
      <c r="F23" s="32" t="s">
        <v>209</v>
      </c>
      <c r="G23" s="80"/>
      <c r="H23" s="34"/>
      <c r="I23" s="13"/>
      <c r="J23" s="11">
        <f t="shared" si="0"/>
        <v>0</v>
      </c>
      <c r="K23" s="11">
        <f>(J23+J24+J25)*0.25*N2</f>
        <v>0</v>
      </c>
      <c r="L23" s="11"/>
      <c r="M23" s="11"/>
      <c r="N23" s="21"/>
    </row>
    <row r="24" spans="1:14">
      <c r="A24" s="29">
        <v>43556</v>
      </c>
      <c r="B24" s="21" t="s">
        <v>197</v>
      </c>
      <c r="C24" s="30"/>
      <c r="D24" s="32" t="s">
        <v>94</v>
      </c>
      <c r="E24" s="32" t="s">
        <v>208</v>
      </c>
      <c r="F24" s="32" t="s">
        <v>210</v>
      </c>
      <c r="G24" s="80"/>
      <c r="H24" s="34"/>
      <c r="I24" s="14"/>
      <c r="J24" s="11">
        <f t="shared" si="0"/>
        <v>0</v>
      </c>
      <c r="K24" s="11"/>
      <c r="L24" s="11"/>
      <c r="M24" s="11"/>
      <c r="N24" s="21"/>
    </row>
    <row r="25" spans="1:14">
      <c r="A25" s="29"/>
      <c r="B25" s="21"/>
      <c r="C25" s="30"/>
      <c r="D25" s="32" t="s">
        <v>89</v>
      </c>
      <c r="E25" s="32" t="s">
        <v>208</v>
      </c>
      <c r="F25" s="32" t="s">
        <v>209</v>
      </c>
      <c r="G25" s="80"/>
      <c r="H25" s="34"/>
      <c r="I25" s="13"/>
      <c r="J25" s="11">
        <f t="shared" si="0"/>
        <v>0</v>
      </c>
      <c r="K25" s="11"/>
      <c r="L25" s="11"/>
      <c r="M25" s="11"/>
      <c r="N25" s="21"/>
    </row>
    <row r="26" spans="1:14">
      <c r="A26" s="29">
        <v>43556</v>
      </c>
      <c r="B26" s="21" t="s">
        <v>197</v>
      </c>
      <c r="C26" s="25" t="s">
        <v>11</v>
      </c>
      <c r="D26" s="21" t="s">
        <v>147</v>
      </c>
      <c r="E26" s="21" t="s">
        <v>150</v>
      </c>
      <c r="F26" s="3" t="s">
        <v>151</v>
      </c>
      <c r="G26" s="11"/>
      <c r="H26" s="12"/>
      <c r="I26" s="14"/>
      <c r="J26" s="11">
        <f t="shared" si="0"/>
        <v>0</v>
      </c>
      <c r="K26" s="11">
        <f>(J26+J27)*0.05*N2</f>
        <v>0</v>
      </c>
      <c r="L26" s="11">
        <f>K26/0.03*0.25</f>
        <v>0</v>
      </c>
      <c r="M26" s="11">
        <f>L26-K26</f>
        <v>0</v>
      </c>
      <c r="N26" s="21"/>
    </row>
    <row r="27" spans="1:14">
      <c r="A27" s="29">
        <v>43556</v>
      </c>
      <c r="B27" s="21" t="s">
        <v>197</v>
      </c>
      <c r="C27" s="30"/>
      <c r="D27" s="21" t="s">
        <v>154</v>
      </c>
      <c r="E27" s="21" t="s">
        <v>150</v>
      </c>
      <c r="F27" s="3" t="s">
        <v>151</v>
      </c>
      <c r="G27" s="11"/>
      <c r="H27" s="12"/>
      <c r="I27" s="14"/>
      <c r="J27" s="11">
        <f t="shared" si="0"/>
        <v>0</v>
      </c>
      <c r="K27" s="11"/>
      <c r="L27" s="11"/>
      <c r="M27" s="11"/>
      <c r="N27" s="21"/>
    </row>
    <row r="28" spans="1:14">
      <c r="A28" s="29">
        <v>43556</v>
      </c>
      <c r="B28" s="21" t="s">
        <v>197</v>
      </c>
      <c r="C28" s="26"/>
      <c r="D28" s="21" t="s">
        <v>211</v>
      </c>
      <c r="E28" s="21" t="s">
        <v>13</v>
      </c>
      <c r="F28" s="3" t="s">
        <v>14</v>
      </c>
      <c r="G28" s="11"/>
      <c r="H28" s="12"/>
      <c r="I28" s="14"/>
      <c r="J28" s="11">
        <f t="shared" si="0"/>
        <v>0</v>
      </c>
      <c r="K28" s="11">
        <f>J28*0.03*N2</f>
        <v>0</v>
      </c>
      <c r="L28" s="11">
        <f>K28/0.03*0.25</f>
        <v>0</v>
      </c>
      <c r="M28" s="11">
        <f>L28-K28</f>
        <v>0</v>
      </c>
      <c r="N28" s="21"/>
    </row>
    <row r="29" spans="1:14">
      <c r="A29" s="29">
        <v>43556</v>
      </c>
      <c r="B29" s="21" t="s">
        <v>197</v>
      </c>
      <c r="C29" s="30" t="s">
        <v>15</v>
      </c>
      <c r="D29" s="21" t="s">
        <v>28</v>
      </c>
      <c r="E29" s="21" t="s">
        <v>29</v>
      </c>
      <c r="F29" s="3" t="s">
        <v>30</v>
      </c>
      <c r="G29" s="11"/>
      <c r="H29" s="12"/>
      <c r="I29" s="13"/>
      <c r="J29" s="11">
        <f t="shared" si="0"/>
        <v>0</v>
      </c>
      <c r="K29" s="11"/>
      <c r="L29" s="11"/>
      <c r="M29" s="11"/>
      <c r="N29" s="21"/>
    </row>
    <row r="30" spans="1:14">
      <c r="A30" s="29"/>
      <c r="B30" s="21"/>
      <c r="C30" s="30"/>
      <c r="D30" s="21" t="s">
        <v>28</v>
      </c>
      <c r="E30" s="21" t="s">
        <v>29</v>
      </c>
      <c r="F30" s="3" t="s">
        <v>135</v>
      </c>
      <c r="G30" s="11"/>
      <c r="H30" s="12"/>
      <c r="I30" s="13"/>
      <c r="J30" s="11">
        <f t="shared" si="0"/>
        <v>0</v>
      </c>
      <c r="K30" s="11"/>
      <c r="L30" s="11"/>
      <c r="M30" s="11"/>
      <c r="N30" s="21"/>
    </row>
    <row r="31" spans="1:14">
      <c r="A31" s="29">
        <v>43556</v>
      </c>
      <c r="B31" s="21" t="s">
        <v>197</v>
      </c>
      <c r="C31" s="30"/>
      <c r="D31" s="21" t="s">
        <v>134</v>
      </c>
      <c r="E31" s="21" t="s">
        <v>29</v>
      </c>
      <c r="F31" s="3" t="s">
        <v>30</v>
      </c>
      <c r="G31" s="11"/>
      <c r="H31" s="12"/>
      <c r="I31" s="13"/>
      <c r="J31" s="11">
        <f t="shared" si="0"/>
        <v>0</v>
      </c>
      <c r="K31" s="11">
        <f>(J31+J33+J29+J32+J30+J34)*0.05*N2</f>
        <v>0</v>
      </c>
      <c r="L31" s="11">
        <f>K31/0.05*0.25</f>
        <v>0</v>
      </c>
      <c r="M31" s="11">
        <f>L31-K31</f>
        <v>0</v>
      </c>
      <c r="N31" s="21"/>
    </row>
    <row r="32" spans="1:14">
      <c r="A32" s="29"/>
      <c r="B32" s="21"/>
      <c r="C32" s="30"/>
      <c r="D32" s="21" t="s">
        <v>134</v>
      </c>
      <c r="E32" s="21" t="s">
        <v>29</v>
      </c>
      <c r="F32" s="3" t="s">
        <v>135</v>
      </c>
      <c r="G32" s="11"/>
      <c r="H32" s="12"/>
      <c r="I32" s="13"/>
      <c r="J32" s="11">
        <f t="shared" si="0"/>
        <v>0</v>
      </c>
      <c r="K32" s="11"/>
      <c r="L32" s="11"/>
      <c r="M32" s="11"/>
      <c r="N32" s="21"/>
    </row>
    <row r="33" spans="1:14">
      <c r="A33" s="29">
        <v>43556</v>
      </c>
      <c r="B33" s="21" t="s">
        <v>197</v>
      </c>
      <c r="C33" s="30"/>
      <c r="D33" s="21" t="s">
        <v>136</v>
      </c>
      <c r="E33" s="21" t="s">
        <v>29</v>
      </c>
      <c r="F33" s="3" t="s">
        <v>30</v>
      </c>
      <c r="G33" s="11"/>
      <c r="H33" s="12"/>
      <c r="I33" s="13"/>
      <c r="J33" s="11">
        <f t="shared" si="0"/>
        <v>0</v>
      </c>
      <c r="K33" s="11"/>
      <c r="L33" s="11"/>
      <c r="M33" s="11"/>
      <c r="N33" s="21"/>
    </row>
    <row r="34" spans="1:14">
      <c r="A34" s="29"/>
      <c r="B34" s="21"/>
      <c r="C34" s="30"/>
      <c r="D34" s="21" t="s">
        <v>136</v>
      </c>
      <c r="E34" s="21" t="s">
        <v>29</v>
      </c>
      <c r="F34" s="3" t="s">
        <v>135</v>
      </c>
      <c r="G34" s="11"/>
      <c r="H34" s="12"/>
      <c r="I34" s="14"/>
      <c r="J34" s="11">
        <f t="shared" si="0"/>
        <v>0</v>
      </c>
      <c r="K34" s="11"/>
      <c r="L34" s="11"/>
      <c r="M34" s="11"/>
      <c r="N34" s="21"/>
    </row>
    <row r="35" spans="1:14">
      <c r="A35" s="29">
        <v>43556</v>
      </c>
      <c r="B35" s="21" t="s">
        <v>197</v>
      </c>
      <c r="C35" s="30"/>
      <c r="D35" s="21" t="s">
        <v>24</v>
      </c>
      <c r="E35" s="21" t="s">
        <v>25</v>
      </c>
      <c r="F35" s="3" t="s">
        <v>26</v>
      </c>
      <c r="G35" s="11"/>
      <c r="H35" s="12"/>
      <c r="I35" s="13"/>
      <c r="J35" s="11">
        <f t="shared" si="0"/>
        <v>0</v>
      </c>
      <c r="K35" s="11">
        <f>(J35+J36)*0.15*N2</f>
        <v>0</v>
      </c>
      <c r="L35" s="11"/>
      <c r="M35" s="11"/>
      <c r="N35" s="21"/>
    </row>
    <row r="36" spans="1:14">
      <c r="A36" s="29"/>
      <c r="B36" s="21"/>
      <c r="C36" s="30"/>
      <c r="D36" s="21" t="s">
        <v>27</v>
      </c>
      <c r="E36" s="21" t="s">
        <v>25</v>
      </c>
      <c r="F36" s="3" t="s">
        <v>26</v>
      </c>
      <c r="G36" s="11"/>
      <c r="H36" s="12"/>
      <c r="I36" s="13"/>
      <c r="J36" s="11">
        <f t="shared" si="0"/>
        <v>0</v>
      </c>
      <c r="K36" s="11"/>
      <c r="L36" s="11"/>
      <c r="M36" s="11"/>
      <c r="N36" s="21"/>
    </row>
    <row r="37" spans="1:14">
      <c r="A37" s="29">
        <v>43556</v>
      </c>
      <c r="B37" s="21" t="s">
        <v>197</v>
      </c>
      <c r="C37" s="30"/>
      <c r="D37" s="21" t="s">
        <v>34</v>
      </c>
      <c r="E37" s="21" t="s">
        <v>35</v>
      </c>
      <c r="F37" s="3" t="s">
        <v>36</v>
      </c>
      <c r="G37" s="11"/>
      <c r="H37" s="12"/>
      <c r="I37" s="13"/>
      <c r="J37" s="11">
        <f t="shared" si="0"/>
        <v>0</v>
      </c>
      <c r="K37" s="11"/>
      <c r="L37" s="11">
        <f>K37/0.03*0.25</f>
        <v>0</v>
      </c>
      <c r="M37" s="11">
        <f t="shared" ref="M37:M41" si="4">L37-K37</f>
        <v>0</v>
      </c>
      <c r="N37" s="21"/>
    </row>
    <row r="38" spans="1:14">
      <c r="A38" s="29">
        <v>43556</v>
      </c>
      <c r="B38" s="21" t="s">
        <v>197</v>
      </c>
      <c r="C38" s="30"/>
      <c r="D38" s="21" t="s">
        <v>37</v>
      </c>
      <c r="E38" s="21" t="s">
        <v>35</v>
      </c>
      <c r="F38" s="3" t="s">
        <v>36</v>
      </c>
      <c r="G38" s="11"/>
      <c r="H38" s="12"/>
      <c r="I38" s="13"/>
      <c r="J38" s="11">
        <f t="shared" si="0"/>
        <v>0</v>
      </c>
      <c r="K38" s="11"/>
      <c r="L38" s="11"/>
      <c r="M38" s="11"/>
      <c r="N38" s="21"/>
    </row>
    <row r="39" spans="1:14">
      <c r="A39" s="29">
        <v>43556</v>
      </c>
      <c r="B39" s="21" t="s">
        <v>197</v>
      </c>
      <c r="C39" s="30"/>
      <c r="D39" s="21" t="s">
        <v>22</v>
      </c>
      <c r="E39" s="21" t="s">
        <v>20</v>
      </c>
      <c r="F39" s="3" t="s">
        <v>21</v>
      </c>
      <c r="G39" s="11"/>
      <c r="H39" s="12"/>
      <c r="I39" s="13"/>
      <c r="J39" s="11">
        <f t="shared" si="0"/>
        <v>0</v>
      </c>
      <c r="K39" s="11">
        <f>(J39+J40+J48+J49)*0.03*N2</f>
        <v>0</v>
      </c>
      <c r="L39" s="11">
        <f>K39/0.03*0.25</f>
        <v>0</v>
      </c>
      <c r="M39" s="11">
        <f t="shared" si="4"/>
        <v>0</v>
      </c>
      <c r="N39" s="21"/>
    </row>
    <row r="40" spans="1:14">
      <c r="A40" s="29">
        <v>43556</v>
      </c>
      <c r="B40" s="21" t="s">
        <v>197</v>
      </c>
      <c r="C40" s="30"/>
      <c r="D40" s="21" t="s">
        <v>19</v>
      </c>
      <c r="E40" s="21" t="s">
        <v>20</v>
      </c>
      <c r="F40" s="3" t="s">
        <v>21</v>
      </c>
      <c r="G40" s="11"/>
      <c r="H40" s="12"/>
      <c r="I40" s="13"/>
      <c r="J40" s="11">
        <f t="shared" si="0"/>
        <v>0</v>
      </c>
      <c r="K40" s="11"/>
      <c r="L40" s="11"/>
      <c r="M40" s="11"/>
      <c r="N40" s="21"/>
    </row>
    <row r="41" spans="1:14">
      <c r="A41" s="29">
        <v>43556</v>
      </c>
      <c r="B41" s="21" t="s">
        <v>197</v>
      </c>
      <c r="C41" s="30"/>
      <c r="D41" s="21" t="s">
        <v>16</v>
      </c>
      <c r="E41" s="21" t="s">
        <v>17</v>
      </c>
      <c r="F41" s="3" t="s">
        <v>18</v>
      </c>
      <c r="G41" s="11"/>
      <c r="H41" s="12"/>
      <c r="I41" s="13"/>
      <c r="J41" s="11">
        <f t="shared" si="0"/>
        <v>0</v>
      </c>
      <c r="K41" s="11"/>
      <c r="L41" s="11">
        <f>K41/0.05*0.25</f>
        <v>0</v>
      </c>
      <c r="M41" s="11">
        <f t="shared" si="4"/>
        <v>0</v>
      </c>
      <c r="N41" s="21"/>
    </row>
    <row r="42" spans="1:14">
      <c r="A42" s="29"/>
      <c r="B42" s="21"/>
      <c r="C42" s="30"/>
      <c r="D42" s="21" t="s">
        <v>16</v>
      </c>
      <c r="E42" s="21" t="s">
        <v>17</v>
      </c>
      <c r="F42" s="3" t="s">
        <v>141</v>
      </c>
      <c r="G42" s="11"/>
      <c r="H42" s="12"/>
      <c r="I42" s="13"/>
      <c r="J42" s="11">
        <f t="shared" si="0"/>
        <v>0</v>
      </c>
      <c r="K42" s="11"/>
      <c r="L42" s="11"/>
      <c r="M42" s="11"/>
      <c r="N42" s="21"/>
    </row>
    <row r="43" spans="1:14">
      <c r="A43" s="29"/>
      <c r="B43" s="21"/>
      <c r="C43" s="30"/>
      <c r="D43" s="21" t="s">
        <v>212</v>
      </c>
      <c r="E43" s="21" t="s">
        <v>35</v>
      </c>
      <c r="F43" s="3" t="s">
        <v>213</v>
      </c>
      <c r="G43" s="11"/>
      <c r="H43" s="12"/>
      <c r="I43" s="13"/>
      <c r="J43" s="11">
        <f t="shared" si="0"/>
        <v>0</v>
      </c>
      <c r="K43" s="11"/>
      <c r="L43" s="11"/>
      <c r="M43" s="11"/>
      <c r="N43" s="21"/>
    </row>
    <row r="44" spans="1:14">
      <c r="A44" s="29">
        <v>43556</v>
      </c>
      <c r="B44" s="21" t="s">
        <v>197</v>
      </c>
      <c r="C44" s="30"/>
      <c r="D44" s="21" t="s">
        <v>139</v>
      </c>
      <c r="E44" s="21" t="s">
        <v>35</v>
      </c>
      <c r="F44" s="3" t="s">
        <v>213</v>
      </c>
      <c r="G44" s="11"/>
      <c r="H44" s="12"/>
      <c r="I44" s="13"/>
      <c r="J44" s="11">
        <f t="shared" si="0"/>
        <v>0</v>
      </c>
      <c r="K44" s="11"/>
      <c r="L44" s="11"/>
      <c r="M44" s="11"/>
      <c r="N44" s="21"/>
    </row>
    <row r="45" spans="1:14">
      <c r="A45" s="29"/>
      <c r="B45" s="21"/>
      <c r="C45" s="30"/>
      <c r="D45" s="21" t="s">
        <v>140</v>
      </c>
      <c r="E45" s="21" t="s">
        <v>35</v>
      </c>
      <c r="F45" s="3" t="s">
        <v>36</v>
      </c>
      <c r="G45" s="11"/>
      <c r="H45" s="12"/>
      <c r="I45" s="13"/>
      <c r="J45" s="11">
        <f t="shared" si="0"/>
        <v>0</v>
      </c>
      <c r="K45" s="11"/>
      <c r="L45" s="11"/>
      <c r="M45" s="11"/>
      <c r="N45" s="21"/>
    </row>
    <row r="46" spans="1:14">
      <c r="A46" s="29">
        <v>43556</v>
      </c>
      <c r="B46" s="21" t="s">
        <v>197</v>
      </c>
      <c r="C46" s="30"/>
      <c r="D46" s="21" t="s">
        <v>31</v>
      </c>
      <c r="E46" s="21" t="s">
        <v>17</v>
      </c>
      <c r="F46" s="3" t="s">
        <v>18</v>
      </c>
      <c r="G46" s="11"/>
      <c r="H46" s="12"/>
      <c r="I46" s="14"/>
      <c r="J46" s="11">
        <f t="shared" si="0"/>
        <v>0</v>
      </c>
      <c r="K46" s="11">
        <f>(J46+J47+J41+J42)*0.05*N2</f>
        <v>0</v>
      </c>
      <c r="L46" s="11">
        <f>K46/0.03*0.25</f>
        <v>0</v>
      </c>
      <c r="M46" s="11">
        <f t="shared" ref="M46:M50" si="5">L46-K46</f>
        <v>0</v>
      </c>
      <c r="N46" s="21"/>
    </row>
    <row r="47" spans="1:14">
      <c r="A47" s="29">
        <v>43556</v>
      </c>
      <c r="B47" s="21" t="s">
        <v>197</v>
      </c>
      <c r="C47" s="30"/>
      <c r="D47" s="21" t="s">
        <v>31</v>
      </c>
      <c r="E47" s="21" t="s">
        <v>17</v>
      </c>
      <c r="F47" s="3" t="s">
        <v>141</v>
      </c>
      <c r="G47" s="11"/>
      <c r="H47" s="12"/>
      <c r="I47" s="13"/>
      <c r="J47" s="11">
        <f t="shared" si="0"/>
        <v>0</v>
      </c>
      <c r="K47" s="11"/>
      <c r="L47" s="11"/>
      <c r="M47" s="11"/>
      <c r="N47" s="21"/>
    </row>
    <row r="48" spans="1:14">
      <c r="A48" s="29">
        <v>43556</v>
      </c>
      <c r="B48" s="21" t="s">
        <v>197</v>
      </c>
      <c r="C48" s="30"/>
      <c r="D48" s="21" t="s">
        <v>23</v>
      </c>
      <c r="E48" s="21" t="s">
        <v>20</v>
      </c>
      <c r="F48" s="3" t="s">
        <v>21</v>
      </c>
      <c r="G48" s="11"/>
      <c r="H48" s="12"/>
      <c r="I48" s="14"/>
      <c r="J48" s="11">
        <f t="shared" si="0"/>
        <v>0</v>
      </c>
      <c r="K48" s="11"/>
      <c r="L48" s="11">
        <f>K48/0.03*0.25</f>
        <v>0</v>
      </c>
      <c r="M48" s="11">
        <f t="shared" si="5"/>
        <v>0</v>
      </c>
      <c r="N48" s="21"/>
    </row>
    <row r="49" spans="1:14">
      <c r="A49" s="29"/>
      <c r="B49" s="21"/>
      <c r="C49" s="30"/>
      <c r="D49" s="21" t="s">
        <v>214</v>
      </c>
      <c r="E49" s="21" t="s">
        <v>20</v>
      </c>
      <c r="F49" s="3" t="s">
        <v>21</v>
      </c>
      <c r="G49" s="11"/>
      <c r="H49" s="12"/>
      <c r="I49" s="13"/>
      <c r="J49" s="11">
        <f t="shared" si="0"/>
        <v>0</v>
      </c>
      <c r="K49" s="11"/>
      <c r="L49" s="11"/>
      <c r="M49" s="11"/>
      <c r="N49" s="21"/>
    </row>
    <row r="50" spans="1:14">
      <c r="A50" s="29">
        <v>43556</v>
      </c>
      <c r="B50" s="21" t="s">
        <v>197</v>
      </c>
      <c r="C50" s="25" t="s">
        <v>40</v>
      </c>
      <c r="D50" s="21" t="s">
        <v>166</v>
      </c>
      <c r="E50" s="21" t="s">
        <v>167</v>
      </c>
      <c r="F50" s="3" t="s">
        <v>168</v>
      </c>
      <c r="G50" s="79"/>
      <c r="H50" s="12"/>
      <c r="I50" s="81"/>
      <c r="J50" s="11">
        <f t="shared" si="0"/>
        <v>0</v>
      </c>
      <c r="K50" s="11">
        <f>(J50+J52+J51+J58+J59+J60)*0.04*N2</f>
        <v>0</v>
      </c>
      <c r="L50" s="11">
        <f>K50/0.04*0.25</f>
        <v>0</v>
      </c>
      <c r="M50" s="11">
        <f t="shared" si="5"/>
        <v>0</v>
      </c>
      <c r="N50" s="21"/>
    </row>
    <row r="51" spans="1:14">
      <c r="A51" s="29"/>
      <c r="B51" s="21"/>
      <c r="C51" s="30"/>
      <c r="D51" s="21" t="s">
        <v>166</v>
      </c>
      <c r="E51" s="21" t="s">
        <v>167</v>
      </c>
      <c r="F51" s="3" t="s">
        <v>170</v>
      </c>
      <c r="G51" s="79"/>
      <c r="H51" s="12"/>
      <c r="I51" s="13"/>
      <c r="J51" s="11">
        <f t="shared" si="0"/>
        <v>0</v>
      </c>
      <c r="K51" s="11"/>
      <c r="L51" s="11"/>
      <c r="M51" s="11"/>
      <c r="N51" s="21"/>
    </row>
    <row r="52" spans="1:14">
      <c r="A52" s="29">
        <v>43556</v>
      </c>
      <c r="B52" s="21" t="s">
        <v>197</v>
      </c>
      <c r="C52" s="30"/>
      <c r="D52" s="21" t="s">
        <v>166</v>
      </c>
      <c r="E52" s="21" t="s">
        <v>167</v>
      </c>
      <c r="F52" s="3" t="s">
        <v>215</v>
      </c>
      <c r="G52" s="79"/>
      <c r="H52" s="12"/>
      <c r="I52" s="13"/>
      <c r="J52" s="11">
        <f t="shared" si="0"/>
        <v>0</v>
      </c>
      <c r="K52" s="11"/>
      <c r="L52" s="11"/>
      <c r="M52" s="11"/>
      <c r="N52" s="21"/>
    </row>
    <row r="53" spans="1:14">
      <c r="A53" s="29">
        <v>43556</v>
      </c>
      <c r="B53" s="21" t="s">
        <v>197</v>
      </c>
      <c r="C53" s="30"/>
      <c r="D53" s="21" t="s">
        <v>171</v>
      </c>
      <c r="E53" s="21" t="s">
        <v>172</v>
      </c>
      <c r="F53" s="3" t="s">
        <v>173</v>
      </c>
      <c r="G53" s="79"/>
      <c r="H53" s="12"/>
      <c r="I53" s="14"/>
      <c r="J53" s="11">
        <f t="shared" si="0"/>
        <v>0</v>
      </c>
      <c r="K53" s="11"/>
      <c r="L53" s="11"/>
      <c r="M53" s="11"/>
      <c r="N53" s="21"/>
    </row>
    <row r="54" spans="1:14">
      <c r="A54" s="29">
        <v>43556</v>
      </c>
      <c r="B54" s="21" t="s">
        <v>197</v>
      </c>
      <c r="C54" s="30"/>
      <c r="D54" s="21" t="s">
        <v>171</v>
      </c>
      <c r="E54" s="21" t="s">
        <v>172</v>
      </c>
      <c r="F54" s="3" t="s">
        <v>174</v>
      </c>
      <c r="G54" s="79"/>
      <c r="H54" s="12"/>
      <c r="I54" s="13"/>
      <c r="J54" s="11">
        <f t="shared" si="0"/>
        <v>0</v>
      </c>
      <c r="K54" s="11"/>
      <c r="L54" s="11"/>
      <c r="M54" s="11"/>
      <c r="N54" s="21"/>
    </row>
    <row r="55" spans="1:14">
      <c r="A55" s="29">
        <v>43556</v>
      </c>
      <c r="B55" s="21" t="s">
        <v>197</v>
      </c>
      <c r="C55" s="30"/>
      <c r="D55" s="21" t="s">
        <v>216</v>
      </c>
      <c r="E55" s="21" t="s">
        <v>172</v>
      </c>
      <c r="F55" s="3" t="s">
        <v>173</v>
      </c>
      <c r="G55" s="11"/>
      <c r="H55" s="12"/>
      <c r="I55" s="14"/>
      <c r="J55" s="11">
        <f t="shared" si="0"/>
        <v>0</v>
      </c>
      <c r="K55" s="11">
        <f>(J55+J56+J57+J53+J54)*0.05*N2</f>
        <v>0</v>
      </c>
      <c r="L55" s="11">
        <f>K55/0.05*0.25</f>
        <v>0</v>
      </c>
      <c r="M55" s="11">
        <f>L55-K55</f>
        <v>0</v>
      </c>
      <c r="N55" s="21"/>
    </row>
    <row r="56" spans="1:14">
      <c r="A56" s="29">
        <v>43556</v>
      </c>
      <c r="B56" s="21" t="s">
        <v>197</v>
      </c>
      <c r="C56" s="30"/>
      <c r="D56" s="21" t="s">
        <v>216</v>
      </c>
      <c r="E56" s="21" t="s">
        <v>172</v>
      </c>
      <c r="F56" s="3" t="s">
        <v>174</v>
      </c>
      <c r="G56" s="11"/>
      <c r="H56" s="12"/>
      <c r="I56" s="13"/>
      <c r="J56" s="11">
        <f t="shared" si="0"/>
        <v>0</v>
      </c>
      <c r="K56" s="11"/>
      <c r="L56" s="11"/>
      <c r="M56" s="11"/>
      <c r="N56" s="21"/>
    </row>
    <row r="57" spans="1:14">
      <c r="A57" s="29">
        <v>43556</v>
      </c>
      <c r="B57" s="21" t="s">
        <v>197</v>
      </c>
      <c r="C57" s="30"/>
      <c r="D57" s="21" t="s">
        <v>216</v>
      </c>
      <c r="E57" s="21" t="s">
        <v>172</v>
      </c>
      <c r="F57" s="3" t="s">
        <v>217</v>
      </c>
      <c r="G57" s="11"/>
      <c r="H57" s="12"/>
      <c r="I57" s="14"/>
      <c r="J57" s="11">
        <f t="shared" si="0"/>
        <v>0</v>
      </c>
      <c r="K57" s="11"/>
      <c r="L57" s="11"/>
      <c r="M57" s="11"/>
      <c r="N57" s="21"/>
    </row>
    <row r="58" spans="1:14">
      <c r="A58" s="29">
        <v>43556</v>
      </c>
      <c r="B58" s="21" t="s">
        <v>197</v>
      </c>
      <c r="C58" s="30"/>
      <c r="D58" s="21" t="s">
        <v>169</v>
      </c>
      <c r="E58" s="21" t="s">
        <v>167</v>
      </c>
      <c r="F58" s="3" t="s">
        <v>168</v>
      </c>
      <c r="G58" s="11"/>
      <c r="H58" s="12"/>
      <c r="I58" s="14"/>
      <c r="J58" s="11">
        <f t="shared" si="0"/>
        <v>0</v>
      </c>
      <c r="K58" s="11"/>
      <c r="L58" s="11">
        <f>K58/0.03*0.25</f>
        <v>0</v>
      </c>
      <c r="M58" s="11">
        <f>L58-K58</f>
        <v>0</v>
      </c>
      <c r="N58" s="21"/>
    </row>
    <row r="59" spans="1:14">
      <c r="A59" s="29"/>
      <c r="B59" s="21"/>
      <c r="C59" s="30"/>
      <c r="D59" s="21" t="s">
        <v>169</v>
      </c>
      <c r="E59" s="21" t="s">
        <v>167</v>
      </c>
      <c r="F59" s="3" t="s">
        <v>170</v>
      </c>
      <c r="G59" s="11"/>
      <c r="H59" s="12"/>
      <c r="I59" s="13"/>
      <c r="J59" s="11">
        <f t="shared" si="0"/>
        <v>0</v>
      </c>
      <c r="K59" s="11"/>
      <c r="L59" s="11"/>
      <c r="M59" s="11"/>
      <c r="N59" s="21"/>
    </row>
    <row r="60" spans="1:14">
      <c r="A60" s="29"/>
      <c r="B60" s="21"/>
      <c r="C60" s="30"/>
      <c r="D60" s="21" t="s">
        <v>169</v>
      </c>
      <c r="E60" s="21" t="s">
        <v>167</v>
      </c>
      <c r="F60" s="3" t="s">
        <v>215</v>
      </c>
      <c r="G60" s="11"/>
      <c r="H60" s="12"/>
      <c r="I60" s="13"/>
      <c r="J60" s="11">
        <f t="shared" si="0"/>
        <v>0</v>
      </c>
      <c r="K60" s="11"/>
      <c r="L60" s="11"/>
      <c r="M60" s="11"/>
      <c r="N60" s="21"/>
    </row>
    <row r="61" spans="1:14">
      <c r="A61" s="29">
        <v>43556</v>
      </c>
      <c r="B61" s="21" t="s">
        <v>197</v>
      </c>
      <c r="C61" s="30"/>
      <c r="D61" s="21" t="s">
        <v>41</v>
      </c>
      <c r="E61" s="21" t="s">
        <v>42</v>
      </c>
      <c r="F61" s="3" t="s">
        <v>43</v>
      </c>
      <c r="G61" s="11"/>
      <c r="H61" s="12"/>
      <c r="I61" s="13"/>
      <c r="J61" s="11">
        <f t="shared" si="0"/>
        <v>0</v>
      </c>
      <c r="K61" s="11">
        <f>(J61+J62+J63+J64)*0.03*N2</f>
        <v>0</v>
      </c>
      <c r="L61" s="11">
        <f>K61/0.03*0.25</f>
        <v>0</v>
      </c>
      <c r="M61" s="11">
        <f>L61-K61</f>
        <v>0</v>
      </c>
      <c r="N61" s="21"/>
    </row>
    <row r="62" spans="1:14">
      <c r="A62" s="29">
        <v>43556</v>
      </c>
      <c r="B62" s="21" t="s">
        <v>197</v>
      </c>
      <c r="C62" s="30"/>
      <c r="D62" s="21" t="s">
        <v>41</v>
      </c>
      <c r="E62" s="21" t="s">
        <v>42</v>
      </c>
      <c r="F62" s="3" t="s">
        <v>218</v>
      </c>
      <c r="G62" s="11"/>
      <c r="H62" s="12"/>
      <c r="I62" s="14"/>
      <c r="J62" s="11">
        <f t="shared" si="0"/>
        <v>0</v>
      </c>
      <c r="K62" s="11"/>
      <c r="L62" s="11"/>
      <c r="M62" s="11"/>
      <c r="N62" s="21"/>
    </row>
    <row r="63" spans="1:14">
      <c r="A63" s="29"/>
      <c r="B63" s="21"/>
      <c r="C63" s="30"/>
      <c r="D63" s="21" t="s">
        <v>175</v>
      </c>
      <c r="E63" s="21" t="s">
        <v>42</v>
      </c>
      <c r="F63" s="3" t="s">
        <v>43</v>
      </c>
      <c r="G63" s="11"/>
      <c r="H63" s="12"/>
      <c r="I63" s="14"/>
      <c r="J63" s="11">
        <f t="shared" si="0"/>
        <v>0</v>
      </c>
      <c r="K63" s="11"/>
      <c r="L63" s="11"/>
      <c r="M63" s="11"/>
      <c r="N63" s="21"/>
    </row>
    <row r="64" spans="1:14">
      <c r="A64" s="29"/>
      <c r="B64" s="21"/>
      <c r="C64" s="30"/>
      <c r="D64" s="21" t="s">
        <v>175</v>
      </c>
      <c r="E64" s="21" t="s">
        <v>42</v>
      </c>
      <c r="F64" s="3" t="s">
        <v>165</v>
      </c>
      <c r="G64" s="11"/>
      <c r="H64" s="12"/>
      <c r="I64" s="14"/>
      <c r="J64" s="11">
        <f t="shared" si="0"/>
        <v>0</v>
      </c>
      <c r="K64" s="11"/>
      <c r="L64" s="11"/>
      <c r="M64" s="11"/>
      <c r="N64" s="21"/>
    </row>
    <row r="65" spans="1:14">
      <c r="A65" s="29">
        <v>43556</v>
      </c>
      <c r="B65" s="21" t="s">
        <v>197</v>
      </c>
      <c r="C65" s="30"/>
      <c r="D65" s="21" t="s">
        <v>219</v>
      </c>
      <c r="E65" s="21" t="s">
        <v>160</v>
      </c>
      <c r="F65" s="3" t="s">
        <v>161</v>
      </c>
      <c r="G65" s="11"/>
      <c r="H65" s="12"/>
      <c r="I65" s="14"/>
      <c r="J65" s="11">
        <f t="shared" si="0"/>
        <v>0</v>
      </c>
      <c r="K65" s="11"/>
      <c r="L65" s="11"/>
      <c r="M65" s="11"/>
      <c r="N65" s="21"/>
    </row>
    <row r="66" spans="1:14">
      <c r="A66" s="29">
        <v>43556</v>
      </c>
      <c r="B66" s="21" t="s">
        <v>197</v>
      </c>
      <c r="C66" s="30"/>
      <c r="D66" s="21" t="s">
        <v>219</v>
      </c>
      <c r="E66" s="21" t="s">
        <v>160</v>
      </c>
      <c r="F66" s="3" t="s">
        <v>161</v>
      </c>
      <c r="G66" s="11"/>
      <c r="H66" s="12"/>
      <c r="I66" s="14"/>
      <c r="J66" s="11">
        <f t="shared" si="0"/>
        <v>0</v>
      </c>
      <c r="K66" s="11"/>
      <c r="L66" s="11"/>
      <c r="M66" s="11"/>
      <c r="N66" s="21"/>
    </row>
    <row r="67" spans="1:14" ht="14.25">
      <c r="A67" s="29">
        <v>43556</v>
      </c>
      <c r="B67" s="21" t="s">
        <v>197</v>
      </c>
      <c r="C67" s="30"/>
      <c r="D67" s="21" t="s">
        <v>159</v>
      </c>
      <c r="E67" s="21" t="s">
        <v>160</v>
      </c>
      <c r="F67" s="3" t="s">
        <v>220</v>
      </c>
      <c r="G67" s="11"/>
      <c r="H67" s="12"/>
      <c r="I67" s="82"/>
      <c r="J67" s="11">
        <f t="shared" ref="J67:J90" si="6">G67*H67*1-I67</f>
        <v>0</v>
      </c>
      <c r="K67" s="11">
        <f>(J67+J69+J66+J65+J68)*0.04*N2</f>
        <v>0</v>
      </c>
      <c r="L67" s="11">
        <f>K67/0.04*0.25</f>
        <v>0</v>
      </c>
      <c r="M67" s="11">
        <f>L67-K67</f>
        <v>0</v>
      </c>
      <c r="N67" s="21"/>
    </row>
    <row r="68" spans="1:14">
      <c r="A68" s="29"/>
      <c r="B68" s="21"/>
      <c r="C68" s="30"/>
      <c r="D68" s="21" t="s">
        <v>159</v>
      </c>
      <c r="E68" s="21" t="s">
        <v>160</v>
      </c>
      <c r="F68" s="3" t="s">
        <v>161</v>
      </c>
      <c r="G68" s="11"/>
      <c r="H68" s="12"/>
      <c r="I68" s="14"/>
      <c r="J68" s="11">
        <f t="shared" si="6"/>
        <v>0</v>
      </c>
      <c r="K68" s="11"/>
      <c r="L68" s="11"/>
      <c r="M68" s="11"/>
      <c r="N68" s="21"/>
    </row>
    <row r="69" spans="1:14">
      <c r="A69" s="29">
        <v>43556</v>
      </c>
      <c r="B69" s="21" t="s">
        <v>197</v>
      </c>
      <c r="C69" s="30"/>
      <c r="D69" s="21" t="s">
        <v>159</v>
      </c>
      <c r="E69" s="21" t="s">
        <v>160</v>
      </c>
      <c r="F69" s="3" t="s">
        <v>221</v>
      </c>
      <c r="G69" s="11"/>
      <c r="H69" s="12"/>
      <c r="I69" s="14"/>
      <c r="J69" s="11">
        <f t="shared" si="6"/>
        <v>0</v>
      </c>
      <c r="K69" s="11"/>
      <c r="L69" s="11"/>
      <c r="M69" s="11"/>
      <c r="N69" s="21"/>
    </row>
    <row r="70" spans="1:14">
      <c r="A70" s="29">
        <v>43556</v>
      </c>
      <c r="B70" s="21" t="s">
        <v>197</v>
      </c>
      <c r="C70" s="30"/>
      <c r="D70" s="21" t="s">
        <v>222</v>
      </c>
      <c r="E70" s="21" t="s">
        <v>223</v>
      </c>
      <c r="F70" s="3" t="s">
        <v>224</v>
      </c>
      <c r="G70" s="11"/>
      <c r="H70" s="12"/>
      <c r="I70" s="14"/>
      <c r="J70" s="11">
        <f t="shared" si="6"/>
        <v>0</v>
      </c>
      <c r="K70" s="11">
        <f>(J70+J71+J79)*0.05*N2</f>
        <v>0</v>
      </c>
      <c r="L70" s="11">
        <f>K70/0.05*0.25</f>
        <v>0</v>
      </c>
      <c r="M70" s="11">
        <f>L70-K70</f>
        <v>0</v>
      </c>
      <c r="N70" s="21"/>
    </row>
    <row r="71" spans="1:14">
      <c r="A71" s="29"/>
      <c r="B71" s="21"/>
      <c r="C71" s="30"/>
      <c r="D71" s="21" t="s">
        <v>222</v>
      </c>
      <c r="E71" s="21" t="s">
        <v>223</v>
      </c>
      <c r="F71" s="3" t="s">
        <v>225</v>
      </c>
      <c r="G71" s="11"/>
      <c r="H71" s="12"/>
      <c r="I71" s="14"/>
      <c r="J71" s="11">
        <f t="shared" si="6"/>
        <v>0</v>
      </c>
      <c r="K71" s="11"/>
      <c r="L71" s="11"/>
      <c r="M71" s="11"/>
      <c r="N71" s="21"/>
    </row>
    <row r="72" spans="1:14">
      <c r="A72" s="29">
        <v>43556</v>
      </c>
      <c r="B72" s="21" t="s">
        <v>197</v>
      </c>
      <c r="C72" s="30"/>
      <c r="D72" s="32" t="s">
        <v>226</v>
      </c>
      <c r="E72" s="32" t="s">
        <v>163</v>
      </c>
      <c r="F72" s="32" t="s">
        <v>227</v>
      </c>
      <c r="G72" s="33"/>
      <c r="H72" s="34"/>
      <c r="I72" s="13"/>
      <c r="J72" s="11">
        <f t="shared" si="6"/>
        <v>0</v>
      </c>
      <c r="K72" s="11">
        <f>(J72+J73+J77+J78+J80+J81)*0.25*N2</f>
        <v>0</v>
      </c>
      <c r="L72" s="11"/>
      <c r="M72" s="11"/>
      <c r="N72" s="21"/>
    </row>
    <row r="73" spans="1:14">
      <c r="A73" s="29"/>
      <c r="B73" s="21"/>
      <c r="C73" s="30"/>
      <c r="D73" s="32" t="s">
        <v>226</v>
      </c>
      <c r="E73" s="32" t="s">
        <v>163</v>
      </c>
      <c r="F73" s="32" t="s">
        <v>164</v>
      </c>
      <c r="G73" s="33"/>
      <c r="H73" s="34"/>
      <c r="I73" s="14"/>
      <c r="J73" s="11">
        <f t="shared" si="6"/>
        <v>0</v>
      </c>
      <c r="K73" s="11"/>
      <c r="L73" s="11"/>
      <c r="M73" s="11"/>
      <c r="N73" s="21"/>
    </row>
    <row r="74" spans="1:14">
      <c r="A74" s="29">
        <v>43556</v>
      </c>
      <c r="B74" s="21" t="s">
        <v>197</v>
      </c>
      <c r="C74" s="30"/>
      <c r="D74" s="21" t="s">
        <v>176</v>
      </c>
      <c r="E74" s="21" t="s">
        <v>177</v>
      </c>
      <c r="F74" s="3" t="s">
        <v>228</v>
      </c>
      <c r="G74" s="11"/>
      <c r="H74" s="12"/>
      <c r="I74" s="14"/>
      <c r="J74" s="11">
        <f t="shared" si="6"/>
        <v>0</v>
      </c>
      <c r="K74" s="11">
        <f>(J74+J75+J76)*0.03*N2</f>
        <v>0</v>
      </c>
      <c r="L74" s="11">
        <f>K74/0.03*0.25</f>
        <v>0</v>
      </c>
      <c r="M74" s="11">
        <f>L74-K74</f>
        <v>0</v>
      </c>
      <c r="N74" s="21"/>
    </row>
    <row r="75" spans="1:14">
      <c r="A75" s="29">
        <v>43556</v>
      </c>
      <c r="B75" s="21" t="s">
        <v>197</v>
      </c>
      <c r="C75" s="30"/>
      <c r="D75" s="21" t="s">
        <v>229</v>
      </c>
      <c r="E75" s="21" t="s">
        <v>177</v>
      </c>
      <c r="F75" s="3" t="s">
        <v>228</v>
      </c>
      <c r="G75" s="11"/>
      <c r="H75" s="12"/>
      <c r="I75" s="14"/>
      <c r="J75" s="11">
        <f t="shared" si="6"/>
        <v>0</v>
      </c>
      <c r="K75" s="11"/>
      <c r="L75" s="11">
        <f>K75/0.04*0.25</f>
        <v>0</v>
      </c>
      <c r="M75" s="11">
        <f>L75-K75</f>
        <v>0</v>
      </c>
      <c r="N75" s="21"/>
    </row>
    <row r="76" spans="1:14">
      <c r="A76" s="29">
        <v>43556</v>
      </c>
      <c r="B76" s="21" t="s">
        <v>197</v>
      </c>
      <c r="C76" s="30"/>
      <c r="D76" s="21" t="s">
        <v>229</v>
      </c>
      <c r="E76" s="21" t="s">
        <v>177</v>
      </c>
      <c r="F76" s="3" t="s">
        <v>178</v>
      </c>
      <c r="G76" s="11"/>
      <c r="H76" s="12"/>
      <c r="I76" s="14"/>
      <c r="J76" s="11">
        <f t="shared" si="6"/>
        <v>0</v>
      </c>
      <c r="K76" s="11"/>
      <c r="L76" s="11"/>
      <c r="M76" s="11"/>
      <c r="N76" s="21"/>
    </row>
    <row r="77" spans="1:14">
      <c r="A77" s="29"/>
      <c r="B77" s="21"/>
      <c r="C77" s="30"/>
      <c r="D77" s="32" t="s">
        <v>230</v>
      </c>
      <c r="E77" s="32" t="s">
        <v>163</v>
      </c>
      <c r="F77" s="32" t="s">
        <v>227</v>
      </c>
      <c r="G77" s="33"/>
      <c r="H77" s="34"/>
      <c r="I77" s="14"/>
      <c r="J77" s="11">
        <f t="shared" si="6"/>
        <v>0</v>
      </c>
      <c r="K77" s="11"/>
      <c r="L77" s="11"/>
      <c r="M77" s="11"/>
      <c r="N77" s="21"/>
    </row>
    <row r="78" spans="1:14">
      <c r="A78" s="29"/>
      <c r="B78" s="21"/>
      <c r="C78" s="30"/>
      <c r="D78" s="32" t="s">
        <v>230</v>
      </c>
      <c r="E78" s="32" t="s">
        <v>163</v>
      </c>
      <c r="F78" s="32" t="s">
        <v>164</v>
      </c>
      <c r="G78" s="33"/>
      <c r="H78" s="34"/>
      <c r="I78" s="14"/>
      <c r="J78" s="11">
        <f t="shared" si="6"/>
        <v>0</v>
      </c>
      <c r="K78" s="11"/>
      <c r="L78" s="11"/>
      <c r="M78" s="11"/>
      <c r="N78" s="21"/>
    </row>
    <row r="79" spans="1:14">
      <c r="A79" s="29"/>
      <c r="B79" s="21"/>
      <c r="C79" s="30"/>
      <c r="D79" s="21" t="s">
        <v>231</v>
      </c>
      <c r="E79" s="21" t="s">
        <v>223</v>
      </c>
      <c r="F79" s="3" t="s">
        <v>224</v>
      </c>
      <c r="G79" s="11"/>
      <c r="H79" s="12"/>
      <c r="I79" s="14"/>
      <c r="J79" s="11">
        <f t="shared" si="6"/>
        <v>0</v>
      </c>
      <c r="K79" s="11"/>
      <c r="L79" s="11"/>
      <c r="M79" s="11"/>
      <c r="N79" s="21"/>
    </row>
    <row r="80" spans="1:14">
      <c r="A80" s="29">
        <v>43556</v>
      </c>
      <c r="B80" s="21" t="s">
        <v>197</v>
      </c>
      <c r="C80" s="30"/>
      <c r="D80" s="32" t="s">
        <v>162</v>
      </c>
      <c r="E80" s="32" t="s">
        <v>163</v>
      </c>
      <c r="F80" s="32" t="s">
        <v>227</v>
      </c>
      <c r="G80" s="33"/>
      <c r="H80" s="34"/>
      <c r="I80" s="13"/>
      <c r="J80" s="11">
        <f t="shared" si="6"/>
        <v>0</v>
      </c>
      <c r="K80" s="11"/>
      <c r="L80" s="11"/>
      <c r="M80" s="11"/>
      <c r="N80" s="21"/>
    </row>
    <row r="81" spans="1:14">
      <c r="A81" s="29"/>
      <c r="B81" s="21"/>
      <c r="C81" s="26"/>
      <c r="D81" s="32" t="s">
        <v>162</v>
      </c>
      <c r="E81" s="32" t="s">
        <v>163</v>
      </c>
      <c r="F81" s="32" t="s">
        <v>164</v>
      </c>
      <c r="G81" s="33"/>
      <c r="H81" s="34"/>
      <c r="I81" s="14"/>
      <c r="J81" s="11">
        <f t="shared" si="6"/>
        <v>0</v>
      </c>
      <c r="K81" s="11"/>
      <c r="L81" s="11"/>
      <c r="M81" s="11"/>
      <c r="N81" s="21"/>
    </row>
    <row r="82" spans="1:14">
      <c r="A82" s="29">
        <v>43556</v>
      </c>
      <c r="B82" s="21" t="s">
        <v>197</v>
      </c>
      <c r="C82" s="23" t="s">
        <v>179</v>
      </c>
      <c r="D82" s="21" t="s">
        <v>180</v>
      </c>
      <c r="E82" s="21" t="s">
        <v>232</v>
      </c>
      <c r="F82" s="3" t="s">
        <v>233</v>
      </c>
      <c r="G82" s="11"/>
      <c r="H82" s="12"/>
      <c r="I82" s="14"/>
      <c r="J82" s="11">
        <f t="shared" si="6"/>
        <v>0</v>
      </c>
      <c r="K82" s="11">
        <f>J82*0.05*N2</f>
        <v>0</v>
      </c>
      <c r="L82" s="11"/>
      <c r="M82" s="11"/>
      <c r="N82" s="21"/>
    </row>
    <row r="83" spans="1:14">
      <c r="A83" s="29">
        <v>43556</v>
      </c>
      <c r="B83" s="21" t="s">
        <v>197</v>
      </c>
      <c r="C83" s="21" t="s">
        <v>44</v>
      </c>
      <c r="D83" s="21" t="s">
        <v>234</v>
      </c>
      <c r="E83" s="21" t="s">
        <v>46</v>
      </c>
      <c r="F83" s="3" t="s">
        <v>47</v>
      </c>
      <c r="G83" s="11"/>
      <c r="H83" s="12"/>
      <c r="I83" s="14"/>
      <c r="J83" s="11">
        <f t="shared" si="6"/>
        <v>0</v>
      </c>
      <c r="K83" s="11">
        <f>J83*0.25*N2</f>
        <v>0</v>
      </c>
      <c r="L83" s="11"/>
      <c r="M83" s="11"/>
      <c r="N83" s="21"/>
    </row>
    <row r="84" spans="1:14">
      <c r="A84" s="29"/>
      <c r="B84" s="21"/>
      <c r="C84" s="22" t="s">
        <v>235</v>
      </c>
      <c r="D84" s="21" t="s">
        <v>236</v>
      </c>
      <c r="E84" s="21" t="s">
        <v>223</v>
      </c>
      <c r="F84" s="3" t="s">
        <v>224</v>
      </c>
      <c r="G84" s="11"/>
      <c r="H84" s="12"/>
      <c r="I84" s="14"/>
      <c r="J84" s="11">
        <f t="shared" si="6"/>
        <v>0</v>
      </c>
      <c r="K84" s="11">
        <f>J84*0.05*N2</f>
        <v>0</v>
      </c>
      <c r="L84" s="11"/>
      <c r="M84" s="11"/>
      <c r="N84" s="21"/>
    </row>
    <row r="85" spans="1:14">
      <c r="A85" s="29"/>
      <c r="B85" s="21"/>
      <c r="C85" s="24" t="s">
        <v>66</v>
      </c>
      <c r="D85" s="21" t="s">
        <v>182</v>
      </c>
      <c r="E85" s="21" t="s">
        <v>183</v>
      </c>
      <c r="F85" s="3" t="s">
        <v>184</v>
      </c>
      <c r="G85" s="11"/>
      <c r="H85" s="12"/>
      <c r="I85" s="14"/>
      <c r="J85" s="11">
        <f t="shared" si="6"/>
        <v>0</v>
      </c>
      <c r="K85" s="11"/>
      <c r="L85" s="11"/>
      <c r="M85" s="11"/>
      <c r="N85" s="21"/>
    </row>
    <row r="86" spans="1:14">
      <c r="A86" s="29"/>
      <c r="B86" s="21"/>
      <c r="C86" s="24"/>
      <c r="D86" s="21" t="s">
        <v>182</v>
      </c>
      <c r="E86" s="21" t="s">
        <v>183</v>
      </c>
      <c r="F86" s="3" t="s">
        <v>185</v>
      </c>
      <c r="G86" s="11"/>
      <c r="H86" s="12"/>
      <c r="I86" s="13"/>
      <c r="J86" s="11">
        <f t="shared" si="6"/>
        <v>0</v>
      </c>
      <c r="K86" s="11"/>
      <c r="L86" s="11"/>
      <c r="M86" s="11"/>
      <c r="N86" s="21"/>
    </row>
    <row r="87" spans="1:14">
      <c r="A87" s="29"/>
      <c r="B87" s="21"/>
      <c r="C87" s="24"/>
      <c r="D87" s="21" t="s">
        <v>186</v>
      </c>
      <c r="E87" s="21" t="s">
        <v>237</v>
      </c>
      <c r="F87" s="3" t="s">
        <v>238</v>
      </c>
      <c r="G87" s="11"/>
      <c r="H87" s="12"/>
      <c r="I87" s="13"/>
      <c r="J87" s="11">
        <f t="shared" si="6"/>
        <v>0</v>
      </c>
      <c r="K87" s="11"/>
      <c r="L87" s="11"/>
      <c r="M87" s="11"/>
      <c r="N87" s="21"/>
    </row>
    <row r="88" spans="1:14">
      <c r="A88" s="29">
        <v>43556</v>
      </c>
      <c r="B88" s="21" t="s">
        <v>197</v>
      </c>
      <c r="C88" s="24"/>
      <c r="D88" s="21" t="s">
        <v>186</v>
      </c>
      <c r="E88" s="21" t="s">
        <v>237</v>
      </c>
      <c r="F88" s="3" t="s">
        <v>239</v>
      </c>
      <c r="G88" s="11"/>
      <c r="H88" s="12"/>
      <c r="I88" s="13"/>
      <c r="J88" s="11">
        <f t="shared" si="6"/>
        <v>0</v>
      </c>
      <c r="K88" s="11">
        <f>(J88+J89+J87)*0.05*N2</f>
        <v>0</v>
      </c>
      <c r="L88" s="11">
        <f>K88/0.05*0.25</f>
        <v>0</v>
      </c>
      <c r="M88" s="11">
        <f>L88-K88</f>
        <v>0</v>
      </c>
      <c r="N88" s="21"/>
    </row>
    <row r="89" spans="1:14">
      <c r="A89" s="29">
        <v>43556</v>
      </c>
      <c r="B89" s="21" t="s">
        <v>197</v>
      </c>
      <c r="C89" s="24"/>
      <c r="D89" s="83" t="s">
        <v>240</v>
      </c>
      <c r="E89" s="21" t="s">
        <v>237</v>
      </c>
      <c r="F89" s="3" t="s">
        <v>239</v>
      </c>
      <c r="G89" s="11"/>
      <c r="H89" s="12"/>
      <c r="I89" s="13"/>
      <c r="J89" s="11">
        <f t="shared" si="6"/>
        <v>0</v>
      </c>
      <c r="K89" s="11"/>
      <c r="L89" s="11"/>
      <c r="M89" s="11"/>
      <c r="N89" s="21"/>
    </row>
    <row r="90" spans="1:14">
      <c r="A90" s="29"/>
      <c r="B90" s="21"/>
      <c r="C90" s="24"/>
      <c r="D90" s="84" t="s">
        <v>240</v>
      </c>
      <c r="E90" s="21" t="s">
        <v>183</v>
      </c>
      <c r="F90" s="3" t="s">
        <v>185</v>
      </c>
      <c r="G90" s="11"/>
      <c r="H90" s="12"/>
      <c r="I90" s="14"/>
      <c r="J90" s="11">
        <f t="shared" si="6"/>
        <v>0</v>
      </c>
      <c r="K90" s="11">
        <f>(J90+J86+J85)*0.05*N2</f>
        <v>0</v>
      </c>
      <c r="L90" s="11">
        <f>K90/0.05*0.25</f>
        <v>0</v>
      </c>
      <c r="M90" s="11">
        <f>L90-K90</f>
        <v>0</v>
      </c>
      <c r="N90" s="21"/>
    </row>
    <row r="91" spans="1:14">
      <c r="A91" s="21">
        <v>42795</v>
      </c>
      <c r="B91" s="21"/>
      <c r="C91" s="24" t="s">
        <v>49</v>
      </c>
      <c r="D91" s="24"/>
      <c r="E91" s="21" t="s">
        <v>50</v>
      </c>
      <c r="F91" s="3" t="s">
        <v>50</v>
      </c>
      <c r="G91" s="11"/>
      <c r="H91" s="12"/>
      <c r="I91" s="14"/>
      <c r="J91" s="11">
        <f t="shared" ref="J91:J94" si="7">(G91*H91*0.98)-I91</f>
        <v>0</v>
      </c>
      <c r="K91" s="11">
        <f>(J3+J4+J6+J16+J23+J24+J31+J35+J39+J40+J41+J53+J54+J55+J56+J58+J65+J67+J69+J72+J89+J9+J29+J37+J52+J61+J70+J75+J5+J7+J8+J10+J12+J38+J44+J50+J80+J33+J43+J45+J51+J77+J88+J90+J25+J32+J36+J63+J86+J28+J46+J59+J64+J68+J71+J74+J76+J79+J81+J85+J13+J14+J20+J21+J30+J34+J42+J60+J62+J73+J78+J87)*0.01*N2+(J11+J15+J17+J18+J19+J22)*0.07*N2+(J48+J49)*0.04*N2+(0)*0.08*N2</f>
        <v>0</v>
      </c>
      <c r="L91" s="11"/>
      <c r="M91" s="11"/>
      <c r="N91" s="21"/>
    </row>
    <row r="92" spans="1:14">
      <c r="A92" s="21">
        <v>42795</v>
      </c>
      <c r="B92" s="21"/>
      <c r="C92" s="24"/>
      <c r="D92" s="24"/>
      <c r="E92" s="21" t="s">
        <v>51</v>
      </c>
      <c r="F92" s="3" t="s">
        <v>51</v>
      </c>
      <c r="G92" s="11"/>
      <c r="H92" s="12"/>
      <c r="I92" s="14"/>
      <c r="J92" s="11">
        <f t="shared" si="7"/>
        <v>0</v>
      </c>
      <c r="K92" s="11">
        <f>(J3+J16+J25)*0.06*N2+(J38+J36)*0.03*N2+(J58+J70+J59+J71+J60)*0.07*N2</f>
        <v>0</v>
      </c>
      <c r="L92" s="11"/>
      <c r="M92" s="11"/>
      <c r="N92" s="21"/>
    </row>
    <row r="93" spans="1:14">
      <c r="A93" s="21">
        <v>42795</v>
      </c>
      <c r="B93" s="21"/>
      <c r="C93" s="24"/>
      <c r="D93" s="24"/>
      <c r="E93" s="21" t="s">
        <v>52</v>
      </c>
      <c r="F93" s="3" t="s">
        <v>52</v>
      </c>
      <c r="G93" s="11"/>
      <c r="H93" s="12"/>
      <c r="I93" s="14"/>
      <c r="J93" s="11">
        <f t="shared" si="7"/>
        <v>0</v>
      </c>
      <c r="K93" s="11">
        <f>(J26+J72+J80+J81+J77+J78+J73)*0.07*N2+(J4+J5+J23+J24+J21)*0.06*N2+(J88+J87)*0.03*N2</f>
        <v>0</v>
      </c>
      <c r="L93" s="11"/>
      <c r="M93" s="11"/>
      <c r="N93" s="21"/>
    </row>
    <row r="94" spans="1:14">
      <c r="A94" s="21">
        <v>42795</v>
      </c>
      <c r="B94" s="21"/>
      <c r="C94" s="24"/>
      <c r="D94" s="24"/>
      <c r="E94" s="21" t="s">
        <v>53</v>
      </c>
      <c r="F94" s="3" t="s">
        <v>53</v>
      </c>
      <c r="G94" s="11"/>
      <c r="H94" s="12"/>
      <c r="I94" s="14"/>
      <c r="J94" s="11">
        <f t="shared" si="7"/>
        <v>0</v>
      </c>
      <c r="K94" s="11">
        <f>(J65+J67+J69+J66)*0.07*N2+(J40+J41+J29+J45+J44+J30+J42)*0.03*N2+(J13+J14)*0.06*N2</f>
        <v>0</v>
      </c>
      <c r="L94" s="11"/>
      <c r="M94" s="11"/>
      <c r="N94" s="21"/>
    </row>
    <row r="95" spans="1:14">
      <c r="A95" s="21">
        <v>42795</v>
      </c>
      <c r="B95" s="21"/>
      <c r="C95" s="24"/>
      <c r="D95" s="24"/>
      <c r="E95" s="21" t="s">
        <v>192</v>
      </c>
      <c r="F95" s="3" t="s">
        <v>192</v>
      </c>
      <c r="G95" s="11"/>
      <c r="H95" s="12"/>
      <c r="I95" s="14"/>
      <c r="J95" s="11">
        <v>0</v>
      </c>
      <c r="K95" s="11">
        <f>(J7+J8+J12+J20)*0.06*N2</f>
        <v>0</v>
      </c>
      <c r="L95" s="11"/>
      <c r="M95" s="11"/>
      <c r="N95" s="21"/>
    </row>
    <row r="96" spans="1:14">
      <c r="A96" s="21"/>
      <c r="B96" s="21"/>
      <c r="C96" s="24"/>
      <c r="D96" s="24"/>
      <c r="E96" s="21" t="s">
        <v>55</v>
      </c>
      <c r="F96" s="3" t="s">
        <v>55</v>
      </c>
      <c r="G96" s="11"/>
      <c r="H96" s="12"/>
      <c r="I96" s="14"/>
      <c r="J96" s="11">
        <v>0</v>
      </c>
      <c r="K96" s="11">
        <f>(J27+J54+J53+J50+J52+J63+J51+J64)*0.07*N2+(J31+J32+J85+J86+J89+J90)*0.03*N2+(0)*0.06*N2</f>
        <v>0</v>
      </c>
      <c r="L96" s="11"/>
      <c r="M96" s="11"/>
      <c r="N96" s="21"/>
    </row>
    <row r="97" spans="1:14">
      <c r="A97" s="21"/>
      <c r="B97" s="21"/>
      <c r="C97" s="24"/>
      <c r="D97" s="24"/>
      <c r="E97" s="21" t="s">
        <v>56</v>
      </c>
      <c r="F97" s="3" t="s">
        <v>56</v>
      </c>
      <c r="G97" s="11"/>
      <c r="H97" s="12"/>
      <c r="I97" s="14"/>
      <c r="J97" s="11">
        <v>0</v>
      </c>
      <c r="K97" s="11">
        <f>(J55+J56+J57+J61+J62)*0.07*N2+(J9+J10)*0.06*N2+(J33+J34+J46+J47+J37)*0.03*N2</f>
        <v>0</v>
      </c>
      <c r="L97" s="11"/>
      <c r="M97" s="11"/>
      <c r="N97" s="21"/>
    </row>
    <row r="98" spans="1:14">
      <c r="A98" s="21">
        <v>42795</v>
      </c>
      <c r="B98" s="21"/>
      <c r="C98" s="21"/>
      <c r="D98" s="21"/>
      <c r="E98" s="21"/>
      <c r="F98" s="4" t="s">
        <v>57</v>
      </c>
      <c r="G98" s="15">
        <f>SUM(G3:G94)</f>
        <v>0</v>
      </c>
      <c r="H98" s="16"/>
      <c r="I98" s="17">
        <f>SUM(I3:I92)</f>
        <v>0</v>
      </c>
      <c r="J98" s="15">
        <f>SUM(J3:J97)</f>
        <v>0</v>
      </c>
      <c r="K98" s="15">
        <f>J98*N2</f>
        <v>0</v>
      </c>
      <c r="L98" s="11"/>
      <c r="M98" s="11"/>
      <c r="N98" s="21"/>
    </row>
    <row r="99" spans="1:14">
      <c r="A99" s="21"/>
      <c r="B99" s="21"/>
      <c r="C99" s="21"/>
      <c r="D99" s="21"/>
      <c r="E99" s="21"/>
      <c r="F99" s="4" t="s">
        <v>58</v>
      </c>
      <c r="G99" s="15"/>
      <c r="H99" s="16"/>
      <c r="I99" s="17"/>
      <c r="J99" s="15"/>
      <c r="K99" s="15">
        <f>K98*0.4</f>
        <v>0</v>
      </c>
      <c r="L99" s="11"/>
      <c r="M99" s="11"/>
      <c r="N99" s="21"/>
    </row>
    <row r="100" spans="1:14">
      <c r="A100" s="21"/>
      <c r="B100" s="21"/>
      <c r="C100" s="21"/>
      <c r="D100" s="21"/>
      <c r="E100" s="21"/>
      <c r="F100" s="4" t="s">
        <v>59</v>
      </c>
      <c r="G100" s="15"/>
      <c r="H100" s="16"/>
      <c r="I100" s="17"/>
      <c r="J100" s="15"/>
      <c r="K100" s="15">
        <f>K98*0.6</f>
        <v>0</v>
      </c>
      <c r="L100" s="11"/>
      <c r="M100" s="11"/>
      <c r="N100" s="21"/>
    </row>
  </sheetData>
  <mergeCells count="6">
    <mergeCell ref="C3:C25"/>
    <mergeCell ref="C26:C28"/>
    <mergeCell ref="C29:C49"/>
    <mergeCell ref="C50:C81"/>
    <mergeCell ref="C85:C90"/>
    <mergeCell ref="C91:D97"/>
  </mergeCells>
  <phoneticPr fontId="1" type="noConversion"/>
  <conditionalFormatting sqref="E97">
    <cfRule type="containsText" dxfId="16" priority="1" operator="containsText" text="方泽斯">
      <formula>NOT(ISERROR(SEARCH("方泽斯",E97)))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P169"/>
  <sheetViews>
    <sheetView workbookViewId="0">
      <selection activeCell="F14" sqref="F14"/>
    </sheetView>
  </sheetViews>
  <sheetFormatPr defaultRowHeight="13.5"/>
  <sheetData>
    <row r="1" spans="1:68">
      <c r="A1" s="102"/>
      <c r="B1" s="102"/>
      <c r="C1" s="102" t="s">
        <v>340</v>
      </c>
      <c r="D1" s="102" t="s">
        <v>340</v>
      </c>
      <c r="E1" s="102" t="s">
        <v>340</v>
      </c>
      <c r="F1" s="102" t="s">
        <v>341</v>
      </c>
      <c r="G1" s="102" t="s">
        <v>342</v>
      </c>
      <c r="H1" s="102" t="s">
        <v>342</v>
      </c>
      <c r="I1" s="102" t="s">
        <v>340</v>
      </c>
      <c r="J1" s="102" t="s">
        <v>340</v>
      </c>
      <c r="K1" s="102" t="s">
        <v>341</v>
      </c>
      <c r="L1" s="102" t="s">
        <v>342</v>
      </c>
      <c r="M1" s="102" t="s">
        <v>340</v>
      </c>
      <c r="N1" s="102" t="s">
        <v>340</v>
      </c>
      <c r="O1" s="102" t="s">
        <v>342</v>
      </c>
      <c r="P1" s="102" t="s">
        <v>340</v>
      </c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</row>
    <row r="2" spans="1:68">
      <c r="A2" s="103" t="s">
        <v>343</v>
      </c>
      <c r="B2" s="103" t="s">
        <v>344</v>
      </c>
      <c r="C2" s="103" t="s">
        <v>345</v>
      </c>
      <c r="D2" s="103" t="s">
        <v>346</v>
      </c>
      <c r="E2" s="103" t="s">
        <v>347</v>
      </c>
      <c r="F2" s="103" t="s">
        <v>348</v>
      </c>
      <c r="G2" s="103" t="s">
        <v>342</v>
      </c>
      <c r="H2" s="103" t="s">
        <v>349</v>
      </c>
      <c r="I2" s="103" t="s">
        <v>350</v>
      </c>
      <c r="J2" s="103" t="s">
        <v>351</v>
      </c>
      <c r="K2" s="103" t="s">
        <v>352</v>
      </c>
      <c r="L2" s="103" t="s">
        <v>353</v>
      </c>
      <c r="M2" s="103" t="s">
        <v>354</v>
      </c>
      <c r="N2" s="103" t="s">
        <v>355</v>
      </c>
      <c r="O2" s="103" t="s">
        <v>356</v>
      </c>
      <c r="P2" s="103" t="s">
        <v>318</v>
      </c>
      <c r="Q2" s="103" t="s">
        <v>323</v>
      </c>
      <c r="R2" s="103" t="s">
        <v>325</v>
      </c>
      <c r="S2" s="103" t="s">
        <v>357</v>
      </c>
      <c r="T2" s="103" t="s">
        <v>197</v>
      </c>
      <c r="U2" s="103" t="s">
        <v>0</v>
      </c>
      <c r="V2" s="103" t="s">
        <v>358</v>
      </c>
      <c r="W2" s="103" t="s">
        <v>359</v>
      </c>
      <c r="X2" s="103" t="s">
        <v>360</v>
      </c>
      <c r="Y2" s="103" t="s">
        <v>361</v>
      </c>
      <c r="Z2" s="102" t="s">
        <v>342</v>
      </c>
      <c r="AA2" s="102" t="s">
        <v>341</v>
      </c>
      <c r="AB2" s="102" t="s">
        <v>340</v>
      </c>
      <c r="AC2" s="102" t="s">
        <v>325</v>
      </c>
      <c r="AD2" s="102" t="s">
        <v>197</v>
      </c>
      <c r="AE2" s="102" t="s">
        <v>357</v>
      </c>
      <c r="AF2" s="102" t="s">
        <v>0</v>
      </c>
      <c r="AG2" s="102" t="s">
        <v>361</v>
      </c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</row>
    <row r="3" spans="1:68">
      <c r="A3" s="104" t="s">
        <v>244</v>
      </c>
      <c r="B3" s="104" t="s">
        <v>362</v>
      </c>
      <c r="C3" s="105" t="e">
        <f>SUMIF(#REF!,A3,#REF!)</f>
        <v>#REF!</v>
      </c>
      <c r="D3" s="105" t="e">
        <f>SUMIF(#REF!,A3,#REF!)</f>
        <v>#REF!</v>
      </c>
      <c r="E3" s="105" t="e">
        <f>SUMIF(#REF!,A3,#REF!)</f>
        <v>#REF!</v>
      </c>
      <c r="F3" s="105" t="e">
        <f>SUMIF(#REF!,A3,#REF!)</f>
        <v>#REF!</v>
      </c>
      <c r="G3" s="105" t="e">
        <f>SUMIF(#REF!,A3,#REF!)</f>
        <v>#REF!</v>
      </c>
      <c r="H3" s="105" t="e">
        <f>SUMIF(#REF!,A3,#REF!)</f>
        <v>#REF!</v>
      </c>
      <c r="I3" s="105" t="e">
        <f>SUMIF(#REF!,A3,#REF!)</f>
        <v>#REF!</v>
      </c>
      <c r="J3" s="105" t="e">
        <f>SUMIF(#REF!,A3,#REF!)</f>
        <v>#REF!</v>
      </c>
      <c r="K3" s="105" t="e">
        <f>SUMIF(#REF!,A3,#REF!)</f>
        <v>#REF!</v>
      </c>
      <c r="L3" s="105" t="e">
        <f>SUMIF(#REF!,A3,#REF!)</f>
        <v>#REF!</v>
      </c>
      <c r="M3" s="105" t="e">
        <f>SUMIF(#REF!,A3,#REF!)</f>
        <v>#REF!</v>
      </c>
      <c r="N3" s="105" t="e">
        <f>SUMIF(#REF!,A3,#REF!)</f>
        <v>#REF!</v>
      </c>
      <c r="O3" s="105" t="e">
        <f>SUMIF(#REF!,A3,#REF!)</f>
        <v>#REF!</v>
      </c>
      <c r="P3" s="105" t="e">
        <f>SUMIF(#REF!,A3,#REF!)</f>
        <v>#REF!</v>
      </c>
      <c r="Q3" s="105" t="e">
        <f>SUMIF(#REF!,A3,#REF!)</f>
        <v>#REF!</v>
      </c>
      <c r="R3" s="105" t="e">
        <f>SUMIF(#REF!,A3,#REF!)</f>
        <v>#REF!</v>
      </c>
      <c r="S3" s="105" t="e">
        <f>SUMIF(#REF!,A3,#REF!)</f>
        <v>#REF!</v>
      </c>
      <c r="T3" s="105" t="e">
        <f>SUMIF(#REF!,A3,#REF!)</f>
        <v>#REF!</v>
      </c>
      <c r="U3" s="105" t="e">
        <f>SUMIF(#REF!,A3,#REF!)</f>
        <v>#REF!</v>
      </c>
      <c r="V3" s="105" t="e">
        <f t="shared" ref="V3:V18" si="0">SUM(C3:U3)</f>
        <v>#REF!</v>
      </c>
      <c r="W3" s="105"/>
      <c r="X3" s="105"/>
      <c r="Y3" s="106" t="e">
        <f t="shared" ref="Y3:Y31" si="1">SUM(V3:X3)</f>
        <v>#REF!</v>
      </c>
      <c r="Z3" s="102" t="e">
        <f>G3+H3+L3+O3</f>
        <v>#REF!</v>
      </c>
      <c r="AA3" s="102" t="e">
        <f>F3+K3</f>
        <v>#REF!</v>
      </c>
      <c r="AB3" s="102" t="e">
        <f>C3+D3+E3+I3+J3+M3+P3+Q3+N3</f>
        <v>#REF!</v>
      </c>
      <c r="AC3" s="102" t="e">
        <f>R3</f>
        <v>#REF!</v>
      </c>
      <c r="AD3" s="102" t="e">
        <f>T3</f>
        <v>#REF!</v>
      </c>
      <c r="AE3" s="102" t="e">
        <f>S3</f>
        <v>#REF!</v>
      </c>
      <c r="AF3" s="102" t="e">
        <f t="shared" ref="AF3:AF6" si="2">U3</f>
        <v>#REF!</v>
      </c>
      <c r="AG3" s="107" t="e">
        <f t="shared" ref="AG3:AG6" si="3">SUM(Z3:AF3)</f>
        <v>#REF!</v>
      </c>
      <c r="AH3" s="102" t="e">
        <f>Y3-AG3</f>
        <v>#REF!</v>
      </c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</row>
    <row r="4" spans="1:68">
      <c r="A4" s="104" t="s">
        <v>124</v>
      </c>
      <c r="B4" s="104" t="s">
        <v>362</v>
      </c>
      <c r="C4" s="105" t="e">
        <f>SUMIF(#REF!,A4,#REF!)</f>
        <v>#REF!</v>
      </c>
      <c r="D4" s="105" t="e">
        <f>SUMIF(#REF!,A4,#REF!)</f>
        <v>#REF!</v>
      </c>
      <c r="E4" s="105" t="e">
        <f>SUMIF(#REF!,A4,#REF!)</f>
        <v>#REF!</v>
      </c>
      <c r="F4" s="105" t="e">
        <f>SUMIF(#REF!,A4,#REF!)</f>
        <v>#REF!</v>
      </c>
      <c r="G4" s="105" t="e">
        <f>SUMIF(#REF!,A4,#REF!)</f>
        <v>#REF!</v>
      </c>
      <c r="H4" s="105" t="e">
        <f>SUMIF(#REF!,A4,#REF!)</f>
        <v>#REF!</v>
      </c>
      <c r="I4" s="105" t="e">
        <f>SUMIF(#REF!,A4,#REF!)</f>
        <v>#REF!</v>
      </c>
      <c r="J4" s="105" t="e">
        <f>SUMIF(#REF!,A4,#REF!)</f>
        <v>#REF!</v>
      </c>
      <c r="K4" s="105" t="e">
        <f>SUMIF(#REF!,A4,#REF!)</f>
        <v>#REF!</v>
      </c>
      <c r="L4" s="105" t="e">
        <f>SUMIF(#REF!,A4,#REF!)</f>
        <v>#REF!</v>
      </c>
      <c r="M4" s="105" t="e">
        <f>SUMIF(#REF!,A4,#REF!)</f>
        <v>#REF!</v>
      </c>
      <c r="N4" s="105" t="e">
        <f>SUMIF(#REF!,A4,#REF!)</f>
        <v>#REF!</v>
      </c>
      <c r="O4" s="105" t="e">
        <f>SUMIF(#REF!,A4,#REF!)</f>
        <v>#REF!</v>
      </c>
      <c r="P4" s="105" t="e">
        <f>SUMIF(#REF!,A4,#REF!)</f>
        <v>#REF!</v>
      </c>
      <c r="Q4" s="105" t="e">
        <f>SUMIF(#REF!,A4,#REF!)</f>
        <v>#REF!</v>
      </c>
      <c r="R4" s="105" t="e">
        <f>SUMIF(#REF!,A4,#REF!)</f>
        <v>#REF!</v>
      </c>
      <c r="S4" s="105" t="e">
        <f>SUMIF(#REF!,A4,#REF!)</f>
        <v>#REF!</v>
      </c>
      <c r="T4" s="105" t="e">
        <f>SUMIF(#REF!,A4,#REF!)</f>
        <v>#REF!</v>
      </c>
      <c r="U4" s="105" t="e">
        <f>SUMIF(#REF!,A4,#REF!)</f>
        <v>#REF!</v>
      </c>
      <c r="V4" s="105" t="e">
        <f t="shared" si="0"/>
        <v>#REF!</v>
      </c>
      <c r="W4" s="105"/>
      <c r="X4" s="105"/>
      <c r="Y4" s="106" t="e">
        <f t="shared" si="1"/>
        <v>#REF!</v>
      </c>
      <c r="Z4" s="102" t="e">
        <f>G4+H4+L4+O4</f>
        <v>#REF!</v>
      </c>
      <c r="AA4" s="102" t="e">
        <f>F4+K4</f>
        <v>#REF!</v>
      </c>
      <c r="AB4" s="102" t="e">
        <f>C4+D4+E4+I4+J4+M4+P4+Q4+N4</f>
        <v>#REF!</v>
      </c>
      <c r="AC4" s="102" t="e">
        <f>R4</f>
        <v>#REF!</v>
      </c>
      <c r="AD4" s="102" t="e">
        <f>T4</f>
        <v>#REF!</v>
      </c>
      <c r="AE4" s="102" t="e">
        <f>S4</f>
        <v>#REF!</v>
      </c>
      <c r="AF4" s="102" t="e">
        <f t="shared" si="2"/>
        <v>#REF!</v>
      </c>
      <c r="AG4" s="107" t="e">
        <f t="shared" si="3"/>
        <v>#REF!</v>
      </c>
      <c r="AH4" s="102" t="e">
        <f>Y4-AG4</f>
        <v>#REF!</v>
      </c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</row>
    <row r="5" spans="1:68">
      <c r="A5" s="104" t="s">
        <v>103</v>
      </c>
      <c r="B5" s="104" t="s">
        <v>362</v>
      </c>
      <c r="C5" s="105" t="e">
        <f>SUMIF(#REF!,A5,#REF!)</f>
        <v>#REF!</v>
      </c>
      <c r="D5" s="105" t="e">
        <f>SUMIF(#REF!,A5,#REF!)</f>
        <v>#REF!</v>
      </c>
      <c r="E5" s="105" t="e">
        <f>SUMIF(#REF!,A5,#REF!)</f>
        <v>#REF!</v>
      </c>
      <c r="F5" s="105" t="e">
        <f>SUMIF(#REF!,A5,#REF!)</f>
        <v>#REF!</v>
      </c>
      <c r="G5" s="105" t="e">
        <f>SUMIF(#REF!,A5,#REF!)</f>
        <v>#REF!</v>
      </c>
      <c r="H5" s="105" t="e">
        <f>SUMIF(#REF!,A5,#REF!)</f>
        <v>#REF!</v>
      </c>
      <c r="I5" s="105" t="e">
        <f>SUMIF(#REF!,A5,#REF!)</f>
        <v>#REF!</v>
      </c>
      <c r="J5" s="105" t="e">
        <f>SUMIF(#REF!,A5,#REF!)</f>
        <v>#REF!</v>
      </c>
      <c r="K5" s="105" t="e">
        <f>SUMIF(#REF!,A5,#REF!)</f>
        <v>#REF!</v>
      </c>
      <c r="L5" s="105" t="e">
        <f>SUMIF(#REF!,A5,#REF!)</f>
        <v>#REF!</v>
      </c>
      <c r="M5" s="105" t="e">
        <f>SUMIF(#REF!,A5,#REF!)</f>
        <v>#REF!</v>
      </c>
      <c r="N5" s="105" t="e">
        <f>SUMIF(#REF!,A5,#REF!)</f>
        <v>#REF!</v>
      </c>
      <c r="O5" s="105" t="e">
        <f>SUMIF(#REF!,A5,#REF!)</f>
        <v>#REF!</v>
      </c>
      <c r="P5" s="105" t="e">
        <f>SUMIF(#REF!,A5,#REF!)</f>
        <v>#REF!</v>
      </c>
      <c r="Q5" s="105" t="e">
        <f>SUMIF(#REF!,A5,#REF!)</f>
        <v>#REF!</v>
      </c>
      <c r="R5" s="105" t="e">
        <f>SUMIF(#REF!,A5,#REF!)</f>
        <v>#REF!</v>
      </c>
      <c r="S5" s="105" t="e">
        <f>SUMIF(#REF!,A5,#REF!)</f>
        <v>#REF!</v>
      </c>
      <c r="T5" s="105" t="e">
        <f>SUMIF(#REF!,A5,#REF!)</f>
        <v>#REF!</v>
      </c>
      <c r="U5" s="105" t="e">
        <f>SUMIF(#REF!,A5,#REF!)</f>
        <v>#REF!</v>
      </c>
      <c r="V5" s="105" t="e">
        <f t="shared" si="0"/>
        <v>#REF!</v>
      </c>
      <c r="W5" s="105"/>
      <c r="X5" s="105"/>
      <c r="Y5" s="106" t="e">
        <f t="shared" si="1"/>
        <v>#REF!</v>
      </c>
      <c r="Z5" s="102" t="e">
        <f>G5+H5+L5+O5</f>
        <v>#REF!</v>
      </c>
      <c r="AA5" s="102" t="e">
        <f>F5+K5</f>
        <v>#REF!</v>
      </c>
      <c r="AB5" s="102" t="e">
        <f>C5+D5+E5+I5+J5+M5+P5+Q5+N5</f>
        <v>#REF!</v>
      </c>
      <c r="AC5" s="102" t="e">
        <f>R5</f>
        <v>#REF!</v>
      </c>
      <c r="AD5" s="102" t="e">
        <f>T5</f>
        <v>#REF!</v>
      </c>
      <c r="AE5" s="102" t="e">
        <f>S5</f>
        <v>#REF!</v>
      </c>
      <c r="AF5" s="102" t="e">
        <f t="shared" si="2"/>
        <v>#REF!</v>
      </c>
      <c r="AG5" s="107" t="e">
        <f t="shared" si="3"/>
        <v>#REF!</v>
      </c>
      <c r="AH5" s="102" t="e">
        <f>Y5-AG5</f>
        <v>#REF!</v>
      </c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</row>
    <row r="6" spans="1:68">
      <c r="A6" s="104" t="s">
        <v>202</v>
      </c>
      <c r="B6" s="104" t="s">
        <v>362</v>
      </c>
      <c r="C6" s="105" t="e">
        <f>SUMIF(#REF!,A6,#REF!)</f>
        <v>#REF!</v>
      </c>
      <c r="D6" s="105" t="e">
        <f>SUMIF(#REF!,A6,#REF!)</f>
        <v>#REF!</v>
      </c>
      <c r="E6" s="105" t="e">
        <f>SUMIF(#REF!,A6,#REF!)</f>
        <v>#REF!</v>
      </c>
      <c r="F6" s="105" t="e">
        <f>SUMIF(#REF!,A6,#REF!)</f>
        <v>#REF!</v>
      </c>
      <c r="G6" s="105" t="e">
        <f>SUMIF(#REF!,A6,#REF!)</f>
        <v>#REF!</v>
      </c>
      <c r="H6" s="105" t="e">
        <f>SUMIF(#REF!,A6,#REF!)</f>
        <v>#REF!</v>
      </c>
      <c r="I6" s="105" t="e">
        <f>SUMIF(#REF!,A6,#REF!)</f>
        <v>#REF!</v>
      </c>
      <c r="J6" s="105" t="e">
        <f>SUMIF(#REF!,A6,#REF!)</f>
        <v>#REF!</v>
      </c>
      <c r="K6" s="105" t="e">
        <f>SUMIF(#REF!,A6,#REF!)</f>
        <v>#REF!</v>
      </c>
      <c r="L6" s="105" t="e">
        <f>SUMIF(#REF!,A6,#REF!)</f>
        <v>#REF!</v>
      </c>
      <c r="M6" s="105" t="e">
        <f>SUMIF(#REF!,A6,#REF!)</f>
        <v>#REF!</v>
      </c>
      <c r="N6" s="105" t="e">
        <f>SUMIF(#REF!,A6,#REF!)</f>
        <v>#REF!</v>
      </c>
      <c r="O6" s="105" t="e">
        <f>SUMIF(#REF!,A6,#REF!)</f>
        <v>#REF!</v>
      </c>
      <c r="P6" s="105" t="e">
        <f>SUMIF(#REF!,A6,#REF!)</f>
        <v>#REF!</v>
      </c>
      <c r="Q6" s="105" t="e">
        <f>SUMIF(#REF!,A6,#REF!)</f>
        <v>#REF!</v>
      </c>
      <c r="R6" s="105" t="e">
        <f>SUMIF(#REF!,A6,#REF!)</f>
        <v>#REF!</v>
      </c>
      <c r="S6" s="105" t="e">
        <f>SUMIF(#REF!,A6,#REF!)</f>
        <v>#REF!</v>
      </c>
      <c r="T6" s="105" t="e">
        <f>SUMIF(#REF!,A6,#REF!)</f>
        <v>#REF!</v>
      </c>
      <c r="U6" s="105" t="e">
        <f>SUMIF(#REF!,A6,#REF!)</f>
        <v>#REF!</v>
      </c>
      <c r="V6" s="105" t="e">
        <f t="shared" si="0"/>
        <v>#REF!</v>
      </c>
      <c r="W6" s="105"/>
      <c r="X6" s="105"/>
      <c r="Y6" s="106" t="e">
        <f t="shared" si="1"/>
        <v>#REF!</v>
      </c>
      <c r="Z6" s="102" t="e">
        <f>G6+H6+L6+O6</f>
        <v>#REF!</v>
      </c>
      <c r="AA6" s="102" t="e">
        <f>F6+K6</f>
        <v>#REF!</v>
      </c>
      <c r="AB6" s="102" t="e">
        <f>C6+D6+E6+I6+J6+M6+P6+Q6+N6</f>
        <v>#REF!</v>
      </c>
      <c r="AC6" s="102" t="e">
        <f>R6</f>
        <v>#REF!</v>
      </c>
      <c r="AD6" s="102" t="e">
        <f>T6</f>
        <v>#REF!</v>
      </c>
      <c r="AE6" s="102" t="e">
        <f>S6</f>
        <v>#REF!</v>
      </c>
      <c r="AF6" s="102" t="e">
        <f t="shared" si="2"/>
        <v>#REF!</v>
      </c>
      <c r="AG6" s="107" t="e">
        <f t="shared" si="3"/>
        <v>#REF!</v>
      </c>
      <c r="AH6" s="102" t="e">
        <f>Y6-AG6</f>
        <v>#REF!</v>
      </c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</row>
    <row r="7" spans="1:68">
      <c r="A7" s="103" t="s">
        <v>9</v>
      </c>
      <c r="B7" s="103" t="s">
        <v>362</v>
      </c>
      <c r="C7" s="105" t="e">
        <f>SUMIF(#REF!,A7,#REF!)</f>
        <v>#REF!</v>
      </c>
      <c r="D7" s="105" t="e">
        <f>SUMIF(#REF!,A7,#REF!)</f>
        <v>#REF!</v>
      </c>
      <c r="E7" s="105" t="e">
        <f>SUMIF(#REF!,A7,#REF!)</f>
        <v>#REF!</v>
      </c>
      <c r="F7" s="105" t="e">
        <f>SUMIF(#REF!,A7,#REF!)</f>
        <v>#REF!</v>
      </c>
      <c r="G7" s="105" t="e">
        <f>SUMIF(#REF!,A7,#REF!)</f>
        <v>#REF!</v>
      </c>
      <c r="H7" s="105" t="e">
        <f>SUMIF(#REF!,A7,#REF!)</f>
        <v>#REF!</v>
      </c>
      <c r="I7" s="105" t="e">
        <f>SUMIF(#REF!,A7,#REF!)</f>
        <v>#REF!</v>
      </c>
      <c r="J7" s="105" t="e">
        <f>SUMIF(#REF!,A7,#REF!)</f>
        <v>#REF!</v>
      </c>
      <c r="K7" s="105" t="e">
        <f>SUMIF(#REF!,A7,#REF!)</f>
        <v>#REF!</v>
      </c>
      <c r="L7" s="105" t="e">
        <f>SUMIF(#REF!,A7,#REF!)</f>
        <v>#REF!</v>
      </c>
      <c r="M7" s="105" t="e">
        <f>SUMIF(#REF!,A7,#REF!)</f>
        <v>#REF!</v>
      </c>
      <c r="N7" s="105" t="e">
        <f>SUMIF(#REF!,A7,#REF!)</f>
        <v>#REF!</v>
      </c>
      <c r="O7" s="105" t="e">
        <f>SUMIF(#REF!,A7,#REF!)</f>
        <v>#REF!</v>
      </c>
      <c r="P7" s="105" t="e">
        <f>SUMIF(#REF!,A7,#REF!)</f>
        <v>#REF!</v>
      </c>
      <c r="Q7" s="105" t="e">
        <f>SUMIF(#REF!,A7,#REF!)</f>
        <v>#REF!</v>
      </c>
      <c r="R7" s="105" t="e">
        <f>SUMIF(#REF!,A7,#REF!)</f>
        <v>#REF!</v>
      </c>
      <c r="S7" s="105" t="e">
        <f>SUMIF(#REF!,A7,#REF!)</f>
        <v>#REF!</v>
      </c>
      <c r="T7" s="105" t="e">
        <f>SUMIF(#REF!,A7,#REF!)</f>
        <v>#REF!</v>
      </c>
      <c r="U7" s="105" t="e">
        <f>SUMIF(#REF!,A7,#REF!)</f>
        <v>#REF!</v>
      </c>
      <c r="V7" s="105" t="e">
        <f t="shared" si="0"/>
        <v>#REF!</v>
      </c>
      <c r="W7" s="105"/>
      <c r="X7" s="105"/>
      <c r="Y7" s="105" t="e">
        <f t="shared" si="1"/>
        <v>#REF!</v>
      </c>
      <c r="Z7" s="102" t="e">
        <f>SUM(Z3:Z6)</f>
        <v>#REF!</v>
      </c>
      <c r="AA7" s="102" t="e">
        <f t="shared" ref="AA7:AF7" si="4">SUM(AA3:AA6)</f>
        <v>#REF!</v>
      </c>
      <c r="AB7" s="102" t="e">
        <f t="shared" si="4"/>
        <v>#REF!</v>
      </c>
      <c r="AC7" s="102" t="e">
        <f t="shared" si="4"/>
        <v>#REF!</v>
      </c>
      <c r="AD7" s="102" t="e">
        <f t="shared" si="4"/>
        <v>#REF!</v>
      </c>
      <c r="AE7" s="102" t="e">
        <f t="shared" si="4"/>
        <v>#REF!</v>
      </c>
      <c r="AF7" s="102" t="e">
        <f t="shared" si="4"/>
        <v>#REF!</v>
      </c>
      <c r="AG7" s="102" t="e">
        <f>SUM(Z7:AE7)</f>
        <v>#REF!</v>
      </c>
      <c r="AH7" s="102" t="s">
        <v>361</v>
      </c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</row>
    <row r="8" spans="1:68">
      <c r="A8" s="103" t="s">
        <v>90</v>
      </c>
      <c r="B8" s="103" t="s">
        <v>362</v>
      </c>
      <c r="C8" s="105" t="e">
        <f>SUMIF(#REF!,A8,#REF!)</f>
        <v>#REF!</v>
      </c>
      <c r="D8" s="105" t="e">
        <f>SUMIF(#REF!,A8,#REF!)</f>
        <v>#REF!</v>
      </c>
      <c r="E8" s="105" t="e">
        <f>SUMIF(#REF!,A8,#REF!)</f>
        <v>#REF!</v>
      </c>
      <c r="F8" s="105" t="e">
        <f>SUMIF(#REF!,A8,#REF!)</f>
        <v>#REF!</v>
      </c>
      <c r="G8" s="105" t="e">
        <f>SUMIF(#REF!,A8,#REF!)</f>
        <v>#REF!</v>
      </c>
      <c r="H8" s="105" t="e">
        <f>SUMIF(#REF!,A8,#REF!)</f>
        <v>#REF!</v>
      </c>
      <c r="I8" s="105" t="e">
        <f>SUMIF(#REF!,A8,#REF!)</f>
        <v>#REF!</v>
      </c>
      <c r="J8" s="105" t="e">
        <f>SUMIF(#REF!,A8,#REF!)</f>
        <v>#REF!</v>
      </c>
      <c r="K8" s="105" t="e">
        <f>SUMIF(#REF!,A8,#REF!)</f>
        <v>#REF!</v>
      </c>
      <c r="L8" s="105" t="e">
        <f>SUMIF(#REF!,A8,#REF!)</f>
        <v>#REF!</v>
      </c>
      <c r="M8" s="105" t="e">
        <f>SUMIF(#REF!,A8,#REF!)</f>
        <v>#REF!</v>
      </c>
      <c r="N8" s="105" t="e">
        <f>SUMIF(#REF!,A8,#REF!)</f>
        <v>#REF!</v>
      </c>
      <c r="O8" s="105" t="e">
        <f>SUMIF(#REF!,A8,#REF!)</f>
        <v>#REF!</v>
      </c>
      <c r="P8" s="105" t="e">
        <f>SUMIF(#REF!,A8,#REF!)</f>
        <v>#REF!</v>
      </c>
      <c r="Q8" s="105" t="e">
        <f>SUMIF(#REF!,A8,#REF!)</f>
        <v>#REF!</v>
      </c>
      <c r="R8" s="105" t="e">
        <f>SUMIF(#REF!,A8,#REF!)</f>
        <v>#REF!</v>
      </c>
      <c r="S8" s="105" t="e">
        <f>SUMIF(#REF!,A8,#REF!)</f>
        <v>#REF!</v>
      </c>
      <c r="T8" s="105" t="e">
        <f>SUMIF(#REF!,A8,#REF!)</f>
        <v>#REF!</v>
      </c>
      <c r="U8" s="105" t="e">
        <f>SUMIF(#REF!,A8,#REF!)</f>
        <v>#REF!</v>
      </c>
      <c r="V8" s="105" t="e">
        <f t="shared" si="0"/>
        <v>#REF!</v>
      </c>
      <c r="W8" s="105"/>
      <c r="X8" s="105"/>
      <c r="Y8" s="105" t="e">
        <f t="shared" si="1"/>
        <v>#REF!</v>
      </c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</row>
    <row r="9" spans="1:68">
      <c r="A9" s="103" t="s">
        <v>108</v>
      </c>
      <c r="B9" s="103" t="s">
        <v>362</v>
      </c>
      <c r="C9" s="105" t="e">
        <f>SUMIF(#REF!,A9,#REF!)</f>
        <v>#REF!</v>
      </c>
      <c r="D9" s="105" t="e">
        <f>SUMIF(#REF!,A9,#REF!)</f>
        <v>#REF!</v>
      </c>
      <c r="E9" s="105" t="e">
        <f>SUMIF(#REF!,A9,#REF!)</f>
        <v>#REF!</v>
      </c>
      <c r="F9" s="105" t="e">
        <f>SUMIF(#REF!,A9,#REF!)</f>
        <v>#REF!</v>
      </c>
      <c r="G9" s="105" t="e">
        <f>SUMIF(#REF!,A9,#REF!)</f>
        <v>#REF!</v>
      </c>
      <c r="H9" s="105" t="e">
        <f>SUMIF(#REF!,A9,#REF!)</f>
        <v>#REF!</v>
      </c>
      <c r="I9" s="105" t="e">
        <f>SUMIF(#REF!,A9,#REF!)</f>
        <v>#REF!</v>
      </c>
      <c r="J9" s="105" t="e">
        <f>SUMIF(#REF!,A9,#REF!)</f>
        <v>#REF!</v>
      </c>
      <c r="K9" s="105" t="e">
        <f>SUMIF(#REF!,A9,#REF!)</f>
        <v>#REF!</v>
      </c>
      <c r="L9" s="105" t="e">
        <f>SUMIF(#REF!,A9,#REF!)</f>
        <v>#REF!</v>
      </c>
      <c r="M9" s="105" t="e">
        <f>SUMIF(#REF!,A9,#REF!)</f>
        <v>#REF!</v>
      </c>
      <c r="N9" s="105" t="e">
        <f>SUMIF(#REF!,A9,#REF!)</f>
        <v>#REF!</v>
      </c>
      <c r="O9" s="105" t="e">
        <f>SUMIF(#REF!,A9,#REF!)</f>
        <v>#REF!</v>
      </c>
      <c r="P9" s="105" t="e">
        <f>SUMIF(#REF!,A9,#REF!)</f>
        <v>#REF!</v>
      </c>
      <c r="Q9" s="105" t="e">
        <f>SUMIF(#REF!,A9,#REF!)</f>
        <v>#REF!</v>
      </c>
      <c r="R9" s="105" t="e">
        <f>SUMIF(#REF!,A9,#REF!)</f>
        <v>#REF!</v>
      </c>
      <c r="S9" s="105" t="e">
        <f>SUMIF(#REF!,A9,#REF!)</f>
        <v>#REF!</v>
      </c>
      <c r="T9" s="105" t="e">
        <f>SUMIF(#REF!,A9,#REF!)</f>
        <v>#REF!</v>
      </c>
      <c r="U9" s="105" t="e">
        <f>SUMIF(#REF!,A9,#REF!)</f>
        <v>#REF!</v>
      </c>
      <c r="V9" s="105" t="e">
        <f t="shared" si="0"/>
        <v>#REF!</v>
      </c>
      <c r="W9" s="105"/>
      <c r="X9" s="105"/>
      <c r="Y9" s="105" t="e">
        <f t="shared" si="1"/>
        <v>#REF!</v>
      </c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</row>
    <row r="10" spans="1:68">
      <c r="A10" s="103" t="s">
        <v>113</v>
      </c>
      <c r="B10" s="103" t="s">
        <v>362</v>
      </c>
      <c r="C10" s="105" t="e">
        <f>SUMIF(#REF!,A10,#REF!)</f>
        <v>#REF!</v>
      </c>
      <c r="D10" s="105" t="e">
        <f>SUMIF(#REF!,A10,#REF!)</f>
        <v>#REF!</v>
      </c>
      <c r="E10" s="105" t="e">
        <f>SUMIF(#REF!,A10,#REF!)</f>
        <v>#REF!</v>
      </c>
      <c r="F10" s="105" t="e">
        <f>SUMIF(#REF!,A10,#REF!)</f>
        <v>#REF!</v>
      </c>
      <c r="G10" s="105" t="e">
        <f>SUMIF(#REF!,A10,#REF!)</f>
        <v>#REF!</v>
      </c>
      <c r="H10" s="105" t="e">
        <f>SUMIF(#REF!,A10,#REF!)</f>
        <v>#REF!</v>
      </c>
      <c r="I10" s="105" t="e">
        <f>SUMIF(#REF!,A10,#REF!)</f>
        <v>#REF!</v>
      </c>
      <c r="J10" s="105" t="e">
        <f>SUMIF(#REF!,A10,#REF!)</f>
        <v>#REF!</v>
      </c>
      <c r="K10" s="105" t="e">
        <f>SUMIF(#REF!,A10,#REF!)</f>
        <v>#REF!</v>
      </c>
      <c r="L10" s="105" t="e">
        <f>SUMIF(#REF!,A10,#REF!)</f>
        <v>#REF!</v>
      </c>
      <c r="M10" s="105" t="e">
        <f>SUMIF(#REF!,A10,#REF!)</f>
        <v>#REF!</v>
      </c>
      <c r="N10" s="105" t="e">
        <f>SUMIF(#REF!,A10,#REF!)</f>
        <v>#REF!</v>
      </c>
      <c r="O10" s="105" t="e">
        <f>SUMIF(#REF!,A10,#REF!)</f>
        <v>#REF!</v>
      </c>
      <c r="P10" s="105" t="e">
        <f>SUMIF(#REF!,A10,#REF!)</f>
        <v>#REF!</v>
      </c>
      <c r="Q10" s="105" t="e">
        <f>SUMIF(#REF!,A10,#REF!)</f>
        <v>#REF!</v>
      </c>
      <c r="R10" s="105" t="e">
        <f>SUMIF(#REF!,A10,#REF!)</f>
        <v>#REF!</v>
      </c>
      <c r="S10" s="105" t="e">
        <f>SUMIF(#REF!,A10,#REF!)</f>
        <v>#REF!</v>
      </c>
      <c r="T10" s="105" t="e">
        <f>SUMIF(#REF!,A10,#REF!)</f>
        <v>#REF!</v>
      </c>
      <c r="U10" s="105" t="e">
        <f>SUMIF(#REF!,A10,#REF!)</f>
        <v>#REF!</v>
      </c>
      <c r="V10" s="105" t="e">
        <f t="shared" si="0"/>
        <v>#REF!</v>
      </c>
      <c r="W10" s="105"/>
      <c r="X10" s="105"/>
      <c r="Y10" s="105" t="e">
        <f t="shared" si="1"/>
        <v>#REF!</v>
      </c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</row>
    <row r="11" spans="1:68">
      <c r="A11" s="103" t="s">
        <v>121</v>
      </c>
      <c r="B11" s="103" t="s">
        <v>362</v>
      </c>
      <c r="C11" s="105" t="e">
        <f>SUMIF(#REF!,A11,#REF!)</f>
        <v>#REF!</v>
      </c>
      <c r="D11" s="105" t="e">
        <f>SUMIF(#REF!,A11,#REF!)</f>
        <v>#REF!</v>
      </c>
      <c r="E11" s="105" t="e">
        <f>SUMIF(#REF!,A11,#REF!)</f>
        <v>#REF!</v>
      </c>
      <c r="F11" s="105" t="e">
        <f>SUMIF(#REF!,A11,#REF!)</f>
        <v>#REF!</v>
      </c>
      <c r="G11" s="105" t="e">
        <f>SUMIF(#REF!,A11,#REF!)</f>
        <v>#REF!</v>
      </c>
      <c r="H11" s="105" t="e">
        <f>SUMIF(#REF!,A11,#REF!)</f>
        <v>#REF!</v>
      </c>
      <c r="I11" s="105" t="e">
        <f>SUMIF(#REF!,A11,#REF!)</f>
        <v>#REF!</v>
      </c>
      <c r="J11" s="105" t="e">
        <f>SUMIF(#REF!,A11,#REF!)</f>
        <v>#REF!</v>
      </c>
      <c r="K11" s="105" t="e">
        <f>SUMIF(#REF!,A11,#REF!)</f>
        <v>#REF!</v>
      </c>
      <c r="L11" s="105" t="e">
        <f>SUMIF(#REF!,A11,#REF!)</f>
        <v>#REF!</v>
      </c>
      <c r="M11" s="105" t="e">
        <f>SUMIF(#REF!,A11,#REF!)</f>
        <v>#REF!</v>
      </c>
      <c r="N11" s="105" t="e">
        <f>SUMIF(#REF!,A11,#REF!)</f>
        <v>#REF!</v>
      </c>
      <c r="O11" s="105" t="e">
        <f>SUMIF(#REF!,A11,#REF!)</f>
        <v>#REF!</v>
      </c>
      <c r="P11" s="105" t="e">
        <f>SUMIF(#REF!,A11,#REF!)</f>
        <v>#REF!</v>
      </c>
      <c r="Q11" s="105" t="e">
        <f>SUMIF(#REF!,A11,#REF!)</f>
        <v>#REF!</v>
      </c>
      <c r="R11" s="105" t="e">
        <f>SUMIF(#REF!,A11,#REF!)</f>
        <v>#REF!</v>
      </c>
      <c r="S11" s="105" t="e">
        <f>SUMIF(#REF!,A11,#REF!)</f>
        <v>#REF!</v>
      </c>
      <c r="T11" s="105" t="e">
        <f>SUMIF(#REF!,A11,#REF!)</f>
        <v>#REF!</v>
      </c>
      <c r="U11" s="105" t="e">
        <f>SUMIF(#REF!,A11,#REF!)</f>
        <v>#REF!</v>
      </c>
      <c r="V11" s="105" t="e">
        <f t="shared" si="0"/>
        <v>#REF!</v>
      </c>
      <c r="W11" s="105"/>
      <c r="X11" s="105"/>
      <c r="Y11" s="105" t="e">
        <f t="shared" si="1"/>
        <v>#REF!</v>
      </c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</row>
    <row r="12" spans="1:68">
      <c r="A12" s="103" t="s">
        <v>6</v>
      </c>
      <c r="B12" s="103" t="s">
        <v>362</v>
      </c>
      <c r="C12" s="105" t="e">
        <f>SUMIF(#REF!,A12,#REF!)</f>
        <v>#REF!</v>
      </c>
      <c r="D12" s="105" t="e">
        <f>SUMIF(#REF!,A12,#REF!)</f>
        <v>#REF!</v>
      </c>
      <c r="E12" s="105" t="e">
        <f>SUMIF(#REF!,A12,#REF!)</f>
        <v>#REF!</v>
      </c>
      <c r="F12" s="105" t="e">
        <f>SUMIF(#REF!,A12,#REF!)</f>
        <v>#REF!</v>
      </c>
      <c r="G12" s="105" t="e">
        <f>SUMIF(#REF!,A12,#REF!)</f>
        <v>#REF!</v>
      </c>
      <c r="H12" s="105" t="e">
        <f>SUMIF(#REF!,A12,#REF!)</f>
        <v>#REF!</v>
      </c>
      <c r="I12" s="105" t="e">
        <f>SUMIF(#REF!,A12,#REF!)</f>
        <v>#REF!</v>
      </c>
      <c r="J12" s="105" t="e">
        <f>SUMIF(#REF!,A12,#REF!)</f>
        <v>#REF!</v>
      </c>
      <c r="K12" s="105" t="e">
        <f>SUMIF(#REF!,A12,#REF!)</f>
        <v>#REF!</v>
      </c>
      <c r="L12" s="105" t="e">
        <f>SUMIF(#REF!,A12,#REF!)</f>
        <v>#REF!</v>
      </c>
      <c r="M12" s="105" t="e">
        <f>SUMIF(#REF!,A12,#REF!)</f>
        <v>#REF!</v>
      </c>
      <c r="N12" s="105" t="e">
        <f>SUMIF(#REF!,A12,#REF!)</f>
        <v>#REF!</v>
      </c>
      <c r="O12" s="105" t="e">
        <f>SUMIF(#REF!,A12,#REF!)</f>
        <v>#REF!</v>
      </c>
      <c r="P12" s="105" t="e">
        <f>SUMIF(#REF!,A12,#REF!)</f>
        <v>#REF!</v>
      </c>
      <c r="Q12" s="105" t="e">
        <f>SUMIF(#REF!,A12,#REF!)</f>
        <v>#REF!</v>
      </c>
      <c r="R12" s="105" t="e">
        <f>SUMIF(#REF!,A12,#REF!)</f>
        <v>#REF!</v>
      </c>
      <c r="S12" s="105" t="e">
        <f>SUMIF(#REF!,A12,#REF!)</f>
        <v>#REF!</v>
      </c>
      <c r="T12" s="105" t="e">
        <f>SUMIF(#REF!,A12,#REF!)</f>
        <v>#REF!</v>
      </c>
      <c r="U12" s="105" t="e">
        <f>SUMIF(#REF!,A12,#REF!)</f>
        <v>#REF!</v>
      </c>
      <c r="V12" s="105" t="e">
        <f t="shared" si="0"/>
        <v>#REF!</v>
      </c>
      <c r="W12" s="105"/>
      <c r="X12" s="105"/>
      <c r="Y12" s="105" t="e">
        <f t="shared" si="1"/>
        <v>#REF!</v>
      </c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</row>
    <row r="13" spans="1:68">
      <c r="A13" s="103" t="s">
        <v>82</v>
      </c>
      <c r="B13" s="103" t="s">
        <v>362</v>
      </c>
      <c r="C13" s="105" t="e">
        <f>SUMIF(#REF!,A13,#REF!)</f>
        <v>#REF!</v>
      </c>
      <c r="D13" s="105" t="e">
        <f>SUMIF(#REF!,A13,#REF!)</f>
        <v>#REF!</v>
      </c>
      <c r="E13" s="105" t="e">
        <f>SUMIF(#REF!,A13,#REF!)</f>
        <v>#REF!</v>
      </c>
      <c r="F13" s="105" t="e">
        <f>SUMIF(#REF!,A13,#REF!)</f>
        <v>#REF!</v>
      </c>
      <c r="G13" s="105" t="e">
        <f>SUMIF(#REF!,A13,#REF!)</f>
        <v>#REF!</v>
      </c>
      <c r="H13" s="105" t="e">
        <f>SUMIF(#REF!,A13,#REF!)</f>
        <v>#REF!</v>
      </c>
      <c r="I13" s="105" t="e">
        <f>SUMIF(#REF!,A13,#REF!)</f>
        <v>#REF!</v>
      </c>
      <c r="J13" s="105" t="e">
        <f>SUMIF(#REF!,A13,#REF!)</f>
        <v>#REF!</v>
      </c>
      <c r="K13" s="105" t="e">
        <f>SUMIF(#REF!,A13,#REF!)</f>
        <v>#REF!</v>
      </c>
      <c r="L13" s="105" t="e">
        <f>SUMIF(#REF!,A13,#REF!)</f>
        <v>#REF!</v>
      </c>
      <c r="M13" s="105" t="e">
        <f>SUMIF(#REF!,A13,#REF!)</f>
        <v>#REF!</v>
      </c>
      <c r="N13" s="105" t="e">
        <f>SUMIF(#REF!,A13,#REF!)</f>
        <v>#REF!</v>
      </c>
      <c r="O13" s="105" t="e">
        <f>SUMIF(#REF!,A13,#REF!)</f>
        <v>#REF!</v>
      </c>
      <c r="P13" s="105" t="e">
        <f>SUMIF(#REF!,A13,#REF!)</f>
        <v>#REF!</v>
      </c>
      <c r="Q13" s="105" t="e">
        <f>SUMIF(#REF!,A13,#REF!)</f>
        <v>#REF!</v>
      </c>
      <c r="R13" s="105" t="e">
        <f>SUMIF(#REF!,A13,#REF!)</f>
        <v>#REF!</v>
      </c>
      <c r="S13" s="105" t="e">
        <f>SUMIF(#REF!,A13,#REF!)</f>
        <v>#REF!</v>
      </c>
      <c r="T13" s="105" t="e">
        <f>SUMIF(#REF!,A13,#REF!)</f>
        <v>#REF!</v>
      </c>
      <c r="U13" s="105" t="e">
        <f>SUMIF(#REF!,A13,#REF!)</f>
        <v>#REF!</v>
      </c>
      <c r="V13" s="105" t="e">
        <f t="shared" si="0"/>
        <v>#REF!</v>
      </c>
      <c r="W13" s="105"/>
      <c r="X13" s="105"/>
      <c r="Y13" s="105" t="e">
        <f t="shared" si="1"/>
        <v>#REF!</v>
      </c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</row>
    <row r="14" spans="1:68">
      <c r="A14" s="103" t="s">
        <v>77</v>
      </c>
      <c r="B14" s="103" t="s">
        <v>362</v>
      </c>
      <c r="C14" s="105" t="e">
        <f>SUMIF(#REF!,A14,#REF!)</f>
        <v>#REF!</v>
      </c>
      <c r="D14" s="105" t="e">
        <f>SUMIF(#REF!,A14,#REF!)</f>
        <v>#REF!</v>
      </c>
      <c r="E14" s="105" t="e">
        <f>SUMIF(#REF!,A14,#REF!)</f>
        <v>#REF!</v>
      </c>
      <c r="F14" s="105" t="e">
        <f>SUMIF(#REF!,A14,#REF!)</f>
        <v>#REF!</v>
      </c>
      <c r="G14" s="105" t="e">
        <f>SUMIF(#REF!,A14,#REF!)</f>
        <v>#REF!</v>
      </c>
      <c r="H14" s="105" t="e">
        <f>SUMIF(#REF!,A14,#REF!)</f>
        <v>#REF!</v>
      </c>
      <c r="I14" s="105" t="e">
        <f>SUMIF(#REF!,A14,#REF!)</f>
        <v>#REF!</v>
      </c>
      <c r="J14" s="105" t="e">
        <f>SUMIF(#REF!,A14,#REF!)</f>
        <v>#REF!</v>
      </c>
      <c r="K14" s="105" t="e">
        <f>SUMIF(#REF!,A14,#REF!)</f>
        <v>#REF!</v>
      </c>
      <c r="L14" s="105" t="e">
        <f>SUMIF(#REF!,A14,#REF!)</f>
        <v>#REF!</v>
      </c>
      <c r="M14" s="105" t="e">
        <f>SUMIF(#REF!,A14,#REF!)</f>
        <v>#REF!</v>
      </c>
      <c r="N14" s="105" t="e">
        <f>SUMIF(#REF!,A14,#REF!)</f>
        <v>#REF!</v>
      </c>
      <c r="O14" s="105" t="e">
        <f>SUMIF(#REF!,A14,#REF!)</f>
        <v>#REF!</v>
      </c>
      <c r="P14" s="105" t="e">
        <f>SUMIF(#REF!,A14,#REF!)</f>
        <v>#REF!</v>
      </c>
      <c r="Q14" s="105" t="e">
        <f>SUMIF(#REF!,A14,#REF!)</f>
        <v>#REF!</v>
      </c>
      <c r="R14" s="105" t="e">
        <f>SUMIF(#REF!,A14,#REF!)</f>
        <v>#REF!</v>
      </c>
      <c r="S14" s="105" t="e">
        <f>SUMIF(#REF!,A14,#REF!)</f>
        <v>#REF!</v>
      </c>
      <c r="T14" s="105" t="e">
        <f>SUMIF(#REF!,A14,#REF!)</f>
        <v>#REF!</v>
      </c>
      <c r="U14" s="105" t="e">
        <f>SUMIF(#REF!,A14,#REF!)</f>
        <v>#REF!</v>
      </c>
      <c r="V14" s="105" t="e">
        <f t="shared" si="0"/>
        <v>#REF!</v>
      </c>
      <c r="W14" s="105"/>
      <c r="X14" s="105"/>
      <c r="Y14" s="105" t="e">
        <f t="shared" si="1"/>
        <v>#REF!</v>
      </c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</row>
    <row r="15" spans="1:68">
      <c r="A15" s="103" t="s">
        <v>115</v>
      </c>
      <c r="B15" s="103" t="s">
        <v>362</v>
      </c>
      <c r="C15" s="105" t="e">
        <f>SUMIF(#REF!,A15,#REF!)</f>
        <v>#REF!</v>
      </c>
      <c r="D15" s="105" t="e">
        <f>SUMIF(#REF!,A15,#REF!)</f>
        <v>#REF!</v>
      </c>
      <c r="E15" s="105" t="e">
        <f>SUMIF(#REF!,A15,#REF!)</f>
        <v>#REF!</v>
      </c>
      <c r="F15" s="105" t="e">
        <f>SUMIF(#REF!,A15,#REF!)</f>
        <v>#REF!</v>
      </c>
      <c r="G15" s="105" t="e">
        <f>SUMIF(#REF!,A15,#REF!)</f>
        <v>#REF!</v>
      </c>
      <c r="H15" s="105" t="e">
        <f>SUMIF(#REF!,A15,#REF!)</f>
        <v>#REF!</v>
      </c>
      <c r="I15" s="105" t="e">
        <f>SUMIF(#REF!,A15,#REF!)</f>
        <v>#REF!</v>
      </c>
      <c r="J15" s="105" t="e">
        <f>SUMIF(#REF!,A15,#REF!)</f>
        <v>#REF!</v>
      </c>
      <c r="K15" s="105" t="e">
        <f>SUMIF(#REF!,A15,#REF!)</f>
        <v>#REF!</v>
      </c>
      <c r="L15" s="105" t="e">
        <f>SUMIF(#REF!,A15,#REF!)</f>
        <v>#REF!</v>
      </c>
      <c r="M15" s="105" t="e">
        <f>SUMIF(#REF!,A15,#REF!)</f>
        <v>#REF!</v>
      </c>
      <c r="N15" s="105" t="e">
        <f>SUMIF(#REF!,A15,#REF!)</f>
        <v>#REF!</v>
      </c>
      <c r="O15" s="105" t="e">
        <f>SUMIF(#REF!,A15,#REF!)</f>
        <v>#REF!</v>
      </c>
      <c r="P15" s="105" t="e">
        <f>SUMIF(#REF!,A15,#REF!)</f>
        <v>#REF!</v>
      </c>
      <c r="Q15" s="105" t="e">
        <f>SUMIF(#REF!,A15,#REF!)</f>
        <v>#REF!</v>
      </c>
      <c r="R15" s="105" t="e">
        <f>SUMIF(#REF!,A15,#REF!)</f>
        <v>#REF!</v>
      </c>
      <c r="S15" s="105" t="e">
        <f>SUMIF(#REF!,A15,#REF!)</f>
        <v>#REF!</v>
      </c>
      <c r="T15" s="105" t="e">
        <f>SUMIF(#REF!,A15,#REF!)</f>
        <v>#REF!</v>
      </c>
      <c r="U15" s="105" t="e">
        <f>SUMIF(#REF!,A15,#REF!)</f>
        <v>#REF!</v>
      </c>
      <c r="V15" s="105" t="e">
        <f t="shared" si="0"/>
        <v>#REF!</v>
      </c>
      <c r="W15" s="105"/>
      <c r="X15" s="105"/>
      <c r="Y15" s="105" t="e">
        <f t="shared" si="1"/>
        <v>#REF!</v>
      </c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</row>
    <row r="16" spans="1:68">
      <c r="A16" s="103" t="s">
        <v>99</v>
      </c>
      <c r="B16" s="103" t="s">
        <v>362</v>
      </c>
      <c r="C16" s="105" t="e">
        <f>SUMIF(#REF!,A16,#REF!)</f>
        <v>#REF!</v>
      </c>
      <c r="D16" s="105" t="e">
        <f>SUMIF(#REF!,A16,#REF!)</f>
        <v>#REF!</v>
      </c>
      <c r="E16" s="105" t="e">
        <f>SUMIF(#REF!,A16,#REF!)</f>
        <v>#REF!</v>
      </c>
      <c r="F16" s="105" t="e">
        <f>SUMIF(#REF!,A16,#REF!)</f>
        <v>#REF!</v>
      </c>
      <c r="G16" s="105" t="e">
        <f>SUMIF(#REF!,A16,#REF!)</f>
        <v>#REF!</v>
      </c>
      <c r="H16" s="105" t="e">
        <f>SUMIF(#REF!,A16,#REF!)</f>
        <v>#REF!</v>
      </c>
      <c r="I16" s="105" t="e">
        <f>SUMIF(#REF!,A16,#REF!)</f>
        <v>#REF!</v>
      </c>
      <c r="J16" s="105" t="e">
        <f>SUMIF(#REF!,A16,#REF!)</f>
        <v>#REF!</v>
      </c>
      <c r="K16" s="105" t="e">
        <f>SUMIF(#REF!,A16,#REF!)</f>
        <v>#REF!</v>
      </c>
      <c r="L16" s="105" t="e">
        <f>SUMIF(#REF!,A16,#REF!)</f>
        <v>#REF!</v>
      </c>
      <c r="M16" s="105" t="e">
        <f>SUMIF(#REF!,A16,#REF!)</f>
        <v>#REF!</v>
      </c>
      <c r="N16" s="105" t="e">
        <f>SUMIF(#REF!,A16,#REF!)</f>
        <v>#REF!</v>
      </c>
      <c r="O16" s="105" t="e">
        <f>SUMIF(#REF!,A16,#REF!)</f>
        <v>#REF!</v>
      </c>
      <c r="P16" s="105" t="e">
        <f>SUMIF(#REF!,A16,#REF!)</f>
        <v>#REF!</v>
      </c>
      <c r="Q16" s="105" t="e">
        <f>SUMIF(#REF!,A16,#REF!)</f>
        <v>#REF!</v>
      </c>
      <c r="R16" s="105" t="e">
        <f>SUMIF(#REF!,A16,#REF!)</f>
        <v>#REF!</v>
      </c>
      <c r="S16" s="105" t="e">
        <f>SUMIF(#REF!,A16,#REF!)</f>
        <v>#REF!</v>
      </c>
      <c r="T16" s="105" t="e">
        <f>SUMIF(#REF!,A16,#REF!)</f>
        <v>#REF!</v>
      </c>
      <c r="U16" s="105" t="e">
        <f>SUMIF(#REF!,A16,#REF!)</f>
        <v>#REF!</v>
      </c>
      <c r="V16" s="105" t="e">
        <f t="shared" si="0"/>
        <v>#REF!</v>
      </c>
      <c r="W16" s="105"/>
      <c r="X16" s="105"/>
      <c r="Y16" s="105" t="e">
        <f t="shared" si="1"/>
        <v>#REF!</v>
      </c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</row>
    <row r="17" spans="1:68">
      <c r="A17" s="103" t="s">
        <v>246</v>
      </c>
      <c r="B17" s="103" t="s">
        <v>362</v>
      </c>
      <c r="C17" s="105" t="e">
        <f>SUMIF(#REF!,A17,#REF!)</f>
        <v>#REF!</v>
      </c>
      <c r="D17" s="105" t="e">
        <f>SUMIF(#REF!,A17,#REF!)</f>
        <v>#REF!</v>
      </c>
      <c r="E17" s="105" t="e">
        <f>SUMIF(#REF!,A17,#REF!)</f>
        <v>#REF!</v>
      </c>
      <c r="F17" s="105" t="e">
        <f>SUMIF(#REF!,A17,#REF!)</f>
        <v>#REF!</v>
      </c>
      <c r="G17" s="105" t="e">
        <f>SUMIF(#REF!,A17,#REF!)</f>
        <v>#REF!</v>
      </c>
      <c r="H17" s="105" t="e">
        <f>SUMIF(#REF!,A17,#REF!)</f>
        <v>#REF!</v>
      </c>
      <c r="I17" s="105" t="e">
        <f>SUMIF(#REF!,A17,#REF!)</f>
        <v>#REF!</v>
      </c>
      <c r="J17" s="105" t="e">
        <f>SUMIF(#REF!,A17,#REF!)</f>
        <v>#REF!</v>
      </c>
      <c r="K17" s="105" t="e">
        <f>SUMIF(#REF!,A17,#REF!)</f>
        <v>#REF!</v>
      </c>
      <c r="L17" s="105" t="e">
        <f>SUMIF(#REF!,A17,#REF!)</f>
        <v>#REF!</v>
      </c>
      <c r="M17" s="105" t="e">
        <f>SUMIF(#REF!,A17,#REF!)</f>
        <v>#REF!</v>
      </c>
      <c r="N17" s="105" t="e">
        <f>SUMIF(#REF!,A17,#REF!)</f>
        <v>#REF!</v>
      </c>
      <c r="O17" s="105" t="e">
        <f>SUMIF(#REF!,A17,#REF!)</f>
        <v>#REF!</v>
      </c>
      <c r="P17" s="105" t="e">
        <f>SUMIF(#REF!,A17,#REF!)</f>
        <v>#REF!</v>
      </c>
      <c r="Q17" s="105" t="e">
        <f>SUMIF(#REF!,A17,#REF!)</f>
        <v>#REF!</v>
      </c>
      <c r="R17" s="105" t="e">
        <f>SUMIF(#REF!,A17,#REF!)</f>
        <v>#REF!</v>
      </c>
      <c r="S17" s="105" t="e">
        <f>SUMIF(#REF!,A17,#REF!)</f>
        <v>#REF!</v>
      </c>
      <c r="T17" s="105" t="e">
        <f>SUMIF(#REF!,A17,#REF!)</f>
        <v>#REF!</v>
      </c>
      <c r="U17" s="105" t="e">
        <f>SUMIF(#REF!,A17,#REF!)</f>
        <v>#REF!</v>
      </c>
      <c r="V17" s="105" t="e">
        <f t="shared" si="0"/>
        <v>#REF!</v>
      </c>
      <c r="W17" s="105"/>
      <c r="X17" s="105"/>
      <c r="Y17" s="105" t="e">
        <f t="shared" si="1"/>
        <v>#REF!</v>
      </c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</row>
    <row r="18" spans="1:68">
      <c r="A18" s="103" t="s">
        <v>96</v>
      </c>
      <c r="B18" s="103" t="s">
        <v>362</v>
      </c>
      <c r="C18" s="105" t="e">
        <f>SUMIF(#REF!,A18,#REF!)</f>
        <v>#REF!</v>
      </c>
      <c r="D18" s="105" t="e">
        <f>SUMIF(#REF!,A18,#REF!)</f>
        <v>#REF!</v>
      </c>
      <c r="E18" s="105" t="e">
        <f>SUMIF(#REF!,A18,#REF!)</f>
        <v>#REF!</v>
      </c>
      <c r="F18" s="105" t="e">
        <f>SUMIF(#REF!,A18,#REF!)</f>
        <v>#REF!</v>
      </c>
      <c r="G18" s="105" t="e">
        <f>SUMIF(#REF!,A18,#REF!)</f>
        <v>#REF!</v>
      </c>
      <c r="H18" s="105" t="e">
        <f>SUMIF(#REF!,A18,#REF!)</f>
        <v>#REF!</v>
      </c>
      <c r="I18" s="105" t="e">
        <f>SUMIF(#REF!,A18,#REF!)</f>
        <v>#REF!</v>
      </c>
      <c r="J18" s="105" t="e">
        <f>SUMIF(#REF!,A18,#REF!)</f>
        <v>#REF!</v>
      </c>
      <c r="K18" s="105" t="e">
        <f>SUMIF(#REF!,A18,#REF!)</f>
        <v>#REF!</v>
      </c>
      <c r="L18" s="105" t="e">
        <f>SUMIF(#REF!,A18,#REF!)</f>
        <v>#REF!</v>
      </c>
      <c r="M18" s="105" t="e">
        <f>SUMIF(#REF!,A18,#REF!)</f>
        <v>#REF!</v>
      </c>
      <c r="N18" s="105" t="e">
        <f>SUMIF(#REF!,A18,#REF!)</f>
        <v>#REF!</v>
      </c>
      <c r="O18" s="105" t="e">
        <f>SUMIF(#REF!,A18,#REF!)</f>
        <v>#REF!</v>
      </c>
      <c r="P18" s="105" t="e">
        <f>SUMIF(#REF!,A18,#REF!)</f>
        <v>#REF!</v>
      </c>
      <c r="Q18" s="105" t="e">
        <f>SUMIF(#REF!,A18,#REF!)</f>
        <v>#REF!</v>
      </c>
      <c r="R18" s="105" t="e">
        <f>SUMIF(#REF!,A18,#REF!)</f>
        <v>#REF!</v>
      </c>
      <c r="S18" s="105" t="e">
        <f>SUMIF(#REF!,A18,#REF!)</f>
        <v>#REF!</v>
      </c>
      <c r="T18" s="105" t="e">
        <f>SUMIF(#REF!,A18,#REF!)</f>
        <v>#REF!</v>
      </c>
      <c r="U18" s="105" t="e">
        <f>SUMIF(#REF!,A18,#REF!)</f>
        <v>#REF!</v>
      </c>
      <c r="V18" s="105" t="e">
        <f t="shared" si="0"/>
        <v>#REF!</v>
      </c>
      <c r="W18" s="105"/>
      <c r="X18" s="105"/>
      <c r="Y18" s="105" t="e">
        <f t="shared" si="1"/>
        <v>#REF!</v>
      </c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</row>
    <row r="19" spans="1:68">
      <c r="A19" s="103" t="s">
        <v>206</v>
      </c>
      <c r="B19" s="103" t="s">
        <v>362</v>
      </c>
      <c r="C19" s="105" t="e">
        <f>SUMIF(#REF!,A19,#REF!)</f>
        <v>#REF!</v>
      </c>
      <c r="D19" s="105" t="e">
        <f>SUMIF(#REF!,A19,#REF!)</f>
        <v>#REF!</v>
      </c>
      <c r="E19" s="105" t="e">
        <f>SUMIF(#REF!,A19,#REF!)</f>
        <v>#REF!</v>
      </c>
      <c r="F19" s="105" t="e">
        <f>SUMIF(#REF!,A19,#REF!)</f>
        <v>#REF!</v>
      </c>
      <c r="G19" s="105" t="e">
        <f>SUMIF(#REF!,A19,#REF!)</f>
        <v>#REF!</v>
      </c>
      <c r="H19" s="105" t="e">
        <f>SUMIF(#REF!,A19,#REF!)</f>
        <v>#REF!</v>
      </c>
      <c r="I19" s="105" t="e">
        <f>SUMIF(#REF!,A19,#REF!)</f>
        <v>#REF!</v>
      </c>
      <c r="J19" s="105" t="e">
        <f>SUMIF(#REF!,A19,#REF!)</f>
        <v>#REF!</v>
      </c>
      <c r="K19" s="105" t="e">
        <f>SUMIF(#REF!,A19,#REF!)</f>
        <v>#REF!</v>
      </c>
      <c r="L19" s="105" t="e">
        <f>SUMIF(#REF!,A19,#REF!)</f>
        <v>#REF!</v>
      </c>
      <c r="M19" s="105" t="e">
        <f>SUMIF(#REF!,A19,#REF!)</f>
        <v>#REF!</v>
      </c>
      <c r="N19" s="105" t="e">
        <f>SUMIF(#REF!,A19,#REF!)</f>
        <v>#REF!</v>
      </c>
      <c r="O19" s="105" t="e">
        <f>SUMIF(#REF!,A19,#REF!)</f>
        <v>#REF!</v>
      </c>
      <c r="P19" s="105" t="e">
        <f>SUMIF(#REF!,A19,#REF!)</f>
        <v>#REF!</v>
      </c>
      <c r="Q19" s="105" t="e">
        <f>SUMIF(#REF!,A19,#REF!)</f>
        <v>#REF!</v>
      </c>
      <c r="R19" s="105" t="e">
        <f>SUMIF(#REF!,A19,#REF!)</f>
        <v>#REF!</v>
      </c>
      <c r="S19" s="105" t="e">
        <f>SUMIF(#REF!,A19,#REF!)</f>
        <v>#REF!</v>
      </c>
      <c r="T19" s="105" t="e">
        <f>SUMIF(#REF!,A19,#REF!)</f>
        <v>#REF!</v>
      </c>
      <c r="U19" s="105" t="e">
        <f>SUMIF(#REF!,A19,#REF!)</f>
        <v>#REF!</v>
      </c>
      <c r="V19" s="105" t="e">
        <f t="shared" ref="V19:V57" si="5">SUM(C19:U19)</f>
        <v>#REF!</v>
      </c>
      <c r="W19" s="105"/>
      <c r="X19" s="105"/>
      <c r="Y19" s="105" t="e">
        <f t="shared" si="1"/>
        <v>#REF!</v>
      </c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</row>
    <row r="20" spans="1:68">
      <c r="A20" s="103" t="s">
        <v>46</v>
      </c>
      <c r="B20" s="103" t="s">
        <v>363</v>
      </c>
      <c r="C20" s="105" t="e">
        <f>SUMIF(#REF!,A20,#REF!)</f>
        <v>#REF!</v>
      </c>
      <c r="D20" s="105" t="e">
        <f>SUMIF(#REF!,A20,#REF!)</f>
        <v>#REF!</v>
      </c>
      <c r="E20" s="105" t="e">
        <f>SUMIF(#REF!,A20,#REF!)</f>
        <v>#REF!</v>
      </c>
      <c r="F20" s="105" t="e">
        <f>SUMIF(#REF!,A20,#REF!)</f>
        <v>#REF!</v>
      </c>
      <c r="G20" s="105" t="e">
        <f>SUMIF(#REF!,A20,#REF!)</f>
        <v>#REF!</v>
      </c>
      <c r="H20" s="105" t="e">
        <f>SUMIF(#REF!,A20,#REF!)</f>
        <v>#REF!</v>
      </c>
      <c r="I20" s="105" t="e">
        <f>SUMIF(#REF!,A20,#REF!)</f>
        <v>#REF!</v>
      </c>
      <c r="J20" s="105" t="e">
        <f>SUMIF(#REF!,A20,#REF!)</f>
        <v>#REF!</v>
      </c>
      <c r="K20" s="105" t="e">
        <f>SUMIF(#REF!,A20,#REF!)</f>
        <v>#REF!</v>
      </c>
      <c r="L20" s="105" t="e">
        <f>SUMIF(#REF!,A20,#REF!)</f>
        <v>#REF!</v>
      </c>
      <c r="M20" s="105" t="e">
        <f>SUMIF(#REF!,A20,#REF!)</f>
        <v>#REF!</v>
      </c>
      <c r="N20" s="105" t="e">
        <f>SUMIF(#REF!,A20,#REF!)</f>
        <v>#REF!</v>
      </c>
      <c r="O20" s="105" t="e">
        <f>SUMIF(#REF!,A20,#REF!)</f>
        <v>#REF!</v>
      </c>
      <c r="P20" s="105" t="e">
        <f>SUMIF(#REF!,A20,#REF!)</f>
        <v>#REF!</v>
      </c>
      <c r="Q20" s="105" t="e">
        <f>SUMIF(#REF!,A20,#REF!)</f>
        <v>#REF!</v>
      </c>
      <c r="R20" s="105" t="e">
        <f>SUMIF(#REF!,A20,#REF!)</f>
        <v>#REF!</v>
      </c>
      <c r="S20" s="105" t="e">
        <f>SUMIF(#REF!,A20,#REF!)</f>
        <v>#REF!</v>
      </c>
      <c r="T20" s="105" t="e">
        <f>SUMIF(#REF!,A20,#REF!)</f>
        <v>#REF!</v>
      </c>
      <c r="U20" s="105" t="e">
        <f>SUMIF(#REF!,A20,#REF!)</f>
        <v>#REF!</v>
      </c>
      <c r="V20" s="105" t="e">
        <f t="shared" si="5"/>
        <v>#REF!</v>
      </c>
      <c r="W20" s="105"/>
      <c r="X20" s="105"/>
      <c r="Y20" s="105" t="e">
        <f t="shared" si="1"/>
        <v>#REF!</v>
      </c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</row>
    <row r="21" spans="1:68">
      <c r="A21" s="103" t="s">
        <v>13</v>
      </c>
      <c r="B21" s="103" t="s">
        <v>363</v>
      </c>
      <c r="C21" s="105" t="e">
        <f>SUMIF(#REF!,A21,#REF!)</f>
        <v>#REF!</v>
      </c>
      <c r="D21" s="105" t="e">
        <f>SUMIF(#REF!,A21,#REF!)</f>
        <v>#REF!</v>
      </c>
      <c r="E21" s="105" t="e">
        <f>SUMIF(#REF!,A21,#REF!)</f>
        <v>#REF!</v>
      </c>
      <c r="F21" s="105" t="e">
        <f>SUMIF(#REF!,A21,#REF!)</f>
        <v>#REF!</v>
      </c>
      <c r="G21" s="105" t="e">
        <f>SUMIF(#REF!,A21,#REF!)</f>
        <v>#REF!</v>
      </c>
      <c r="H21" s="105" t="e">
        <f>SUMIF(#REF!,A21,#REF!)</f>
        <v>#REF!</v>
      </c>
      <c r="I21" s="105" t="e">
        <f>SUMIF(#REF!,A21,#REF!)</f>
        <v>#REF!</v>
      </c>
      <c r="J21" s="105" t="e">
        <f>SUMIF(#REF!,A21,#REF!)</f>
        <v>#REF!</v>
      </c>
      <c r="K21" s="105" t="e">
        <f>SUMIF(#REF!,A21,#REF!)</f>
        <v>#REF!</v>
      </c>
      <c r="L21" s="105" t="e">
        <f>SUMIF(#REF!,A21,#REF!)</f>
        <v>#REF!</v>
      </c>
      <c r="M21" s="105" t="e">
        <f>SUMIF(#REF!,A21,#REF!)</f>
        <v>#REF!</v>
      </c>
      <c r="N21" s="105" t="e">
        <f>SUMIF(#REF!,A21,#REF!)</f>
        <v>#REF!</v>
      </c>
      <c r="O21" s="105" t="e">
        <f>SUMIF(#REF!,A21,#REF!)</f>
        <v>#REF!</v>
      </c>
      <c r="P21" s="105" t="e">
        <f>SUMIF(#REF!,A21,#REF!)</f>
        <v>#REF!</v>
      </c>
      <c r="Q21" s="105" t="e">
        <f>SUMIF(#REF!,A21,#REF!)</f>
        <v>#REF!</v>
      </c>
      <c r="R21" s="105" t="e">
        <f>SUMIF(#REF!,A21,#REF!)</f>
        <v>#REF!</v>
      </c>
      <c r="S21" s="105" t="e">
        <f>SUMIF(#REF!,A21,#REF!)</f>
        <v>#REF!</v>
      </c>
      <c r="T21" s="105" t="e">
        <f>SUMIF(#REF!,A21,#REF!)</f>
        <v>#REF!</v>
      </c>
      <c r="U21" s="105" t="e">
        <f>SUMIF(#REF!,A21,#REF!)</f>
        <v>#REF!</v>
      </c>
      <c r="V21" s="105" t="e">
        <f t="shared" si="5"/>
        <v>#REF!</v>
      </c>
      <c r="W21" s="105"/>
      <c r="X21" s="105"/>
      <c r="Y21" s="105" t="e">
        <f t="shared" si="1"/>
        <v>#REF!</v>
      </c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</row>
    <row r="22" spans="1:68">
      <c r="A22" s="103" t="s">
        <v>261</v>
      </c>
      <c r="B22" s="103" t="s">
        <v>363</v>
      </c>
      <c r="C22" s="105" t="e">
        <f>SUMIF(#REF!,A22,#REF!)</f>
        <v>#REF!</v>
      </c>
      <c r="D22" s="105" t="e">
        <f>SUMIF(#REF!,A22,#REF!)</f>
        <v>#REF!</v>
      </c>
      <c r="E22" s="105" t="e">
        <f>SUMIF(#REF!,A22,#REF!)</f>
        <v>#REF!</v>
      </c>
      <c r="F22" s="105" t="e">
        <f>SUMIF(#REF!,A22,#REF!)</f>
        <v>#REF!</v>
      </c>
      <c r="G22" s="105" t="e">
        <f>SUMIF(#REF!,A22,#REF!)</f>
        <v>#REF!</v>
      </c>
      <c r="H22" s="105" t="e">
        <f>SUMIF(#REF!,A22,#REF!)</f>
        <v>#REF!</v>
      </c>
      <c r="I22" s="105" t="e">
        <f>SUMIF(#REF!,A22,#REF!)</f>
        <v>#REF!</v>
      </c>
      <c r="J22" s="105" t="e">
        <f>SUMIF(#REF!,A22,#REF!)</f>
        <v>#REF!</v>
      </c>
      <c r="K22" s="105" t="e">
        <f>SUMIF(#REF!,A22,#REF!)</f>
        <v>#REF!</v>
      </c>
      <c r="L22" s="105" t="e">
        <f>SUMIF(#REF!,A22,#REF!)</f>
        <v>#REF!</v>
      </c>
      <c r="M22" s="105" t="e">
        <f>SUMIF(#REF!,A22,#REF!)</f>
        <v>#REF!</v>
      </c>
      <c r="N22" s="105" t="e">
        <f>SUMIF(#REF!,A22,#REF!)</f>
        <v>#REF!</v>
      </c>
      <c r="O22" s="105" t="e">
        <f>SUMIF(#REF!,A22,#REF!)</f>
        <v>#REF!</v>
      </c>
      <c r="P22" s="105" t="e">
        <f>SUMIF(#REF!,A22,#REF!)</f>
        <v>#REF!</v>
      </c>
      <c r="Q22" s="105" t="e">
        <f>SUMIF(#REF!,A22,#REF!)</f>
        <v>#REF!</v>
      </c>
      <c r="R22" s="105" t="e">
        <f>SUMIF(#REF!,A22,#REF!)</f>
        <v>#REF!</v>
      </c>
      <c r="S22" s="105" t="e">
        <f>SUMIF(#REF!,A22,#REF!)</f>
        <v>#REF!</v>
      </c>
      <c r="T22" s="105" t="e">
        <f>SUMIF(#REF!,A22,#REF!)</f>
        <v>#REF!</v>
      </c>
      <c r="U22" s="105" t="e">
        <f>SUMIF(#REF!,A22,#REF!)</f>
        <v>#REF!</v>
      </c>
      <c r="V22" s="105" t="e">
        <f t="shared" si="5"/>
        <v>#REF!</v>
      </c>
      <c r="W22" s="105"/>
      <c r="X22" s="105"/>
      <c r="Y22" s="105" t="e">
        <f t="shared" si="1"/>
        <v>#REF!</v>
      </c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</row>
    <row r="23" spans="1:68">
      <c r="A23" s="103" t="s">
        <v>144</v>
      </c>
      <c r="B23" s="103" t="s">
        <v>363</v>
      </c>
      <c r="C23" s="105" t="e">
        <f>SUMIF(#REF!,A23,#REF!)</f>
        <v>#REF!</v>
      </c>
      <c r="D23" s="105" t="e">
        <f>SUMIF(#REF!,A23,#REF!)</f>
        <v>#REF!</v>
      </c>
      <c r="E23" s="105" t="e">
        <f>SUMIF(#REF!,A23,#REF!)</f>
        <v>#REF!</v>
      </c>
      <c r="F23" s="105" t="e">
        <f>SUMIF(#REF!,A23,#REF!)</f>
        <v>#REF!</v>
      </c>
      <c r="G23" s="105" t="e">
        <f>SUMIF(#REF!,A23,#REF!)</f>
        <v>#REF!</v>
      </c>
      <c r="H23" s="105" t="e">
        <f>SUMIF(#REF!,A23,#REF!)</f>
        <v>#REF!</v>
      </c>
      <c r="I23" s="105" t="e">
        <f>SUMIF(#REF!,A23,#REF!)</f>
        <v>#REF!</v>
      </c>
      <c r="J23" s="105" t="e">
        <f>SUMIF(#REF!,A23,#REF!)</f>
        <v>#REF!</v>
      </c>
      <c r="K23" s="105" t="e">
        <f>SUMIF(#REF!,A23,#REF!)</f>
        <v>#REF!</v>
      </c>
      <c r="L23" s="105" t="e">
        <f>SUMIF(#REF!,A23,#REF!)</f>
        <v>#REF!</v>
      </c>
      <c r="M23" s="105" t="e">
        <f>SUMIF(#REF!,A23,#REF!)</f>
        <v>#REF!</v>
      </c>
      <c r="N23" s="105" t="e">
        <f>SUMIF(#REF!,A23,#REF!)</f>
        <v>#REF!</v>
      </c>
      <c r="O23" s="105" t="e">
        <f>SUMIF(#REF!,A23,#REF!)</f>
        <v>#REF!</v>
      </c>
      <c r="P23" s="105" t="e">
        <f>SUMIF(#REF!,A23,#REF!)</f>
        <v>#REF!</v>
      </c>
      <c r="Q23" s="105" t="e">
        <f>SUMIF(#REF!,A23,#REF!)</f>
        <v>#REF!</v>
      </c>
      <c r="R23" s="105" t="e">
        <f>SUMIF(#REF!,A23,#REF!)</f>
        <v>#REF!</v>
      </c>
      <c r="S23" s="105" t="e">
        <f>SUMIF(#REF!,A23,#REF!)</f>
        <v>#REF!</v>
      </c>
      <c r="T23" s="105" t="e">
        <f>SUMIF(#REF!,A23,#REF!)</f>
        <v>#REF!</v>
      </c>
      <c r="U23" s="105" t="e">
        <f>SUMIF(#REF!,A23,#REF!)</f>
        <v>#REF!</v>
      </c>
      <c r="V23" s="105" t="e">
        <f t="shared" si="5"/>
        <v>#REF!</v>
      </c>
      <c r="W23" s="105"/>
      <c r="X23" s="105"/>
      <c r="Y23" s="105" t="e">
        <f t="shared" si="1"/>
        <v>#REF!</v>
      </c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</row>
    <row r="24" spans="1:68">
      <c r="A24" s="103" t="s">
        <v>25</v>
      </c>
      <c r="B24" s="103" t="s">
        <v>364</v>
      </c>
      <c r="C24" s="105" t="e">
        <f>SUMIF(#REF!,A24,#REF!)</f>
        <v>#REF!</v>
      </c>
      <c r="D24" s="105" t="e">
        <f>SUMIF(#REF!,A24,#REF!)</f>
        <v>#REF!</v>
      </c>
      <c r="E24" s="105" t="e">
        <f>SUMIF(#REF!,A24,#REF!)</f>
        <v>#REF!</v>
      </c>
      <c r="F24" s="105" t="e">
        <f>SUMIF(#REF!,A24,#REF!)</f>
        <v>#REF!</v>
      </c>
      <c r="G24" s="105" t="e">
        <f>SUMIF(#REF!,A24,#REF!)</f>
        <v>#REF!</v>
      </c>
      <c r="H24" s="105" t="e">
        <f>SUMIF(#REF!,A24,#REF!)</f>
        <v>#REF!</v>
      </c>
      <c r="I24" s="105" t="e">
        <f>SUMIF(#REF!,A24,#REF!)</f>
        <v>#REF!</v>
      </c>
      <c r="J24" s="105" t="e">
        <f>SUMIF(#REF!,A24,#REF!)</f>
        <v>#REF!</v>
      </c>
      <c r="K24" s="105" t="e">
        <f>SUMIF(#REF!,A24,#REF!)</f>
        <v>#REF!</v>
      </c>
      <c r="L24" s="105" t="e">
        <f>SUMIF(#REF!,A24,#REF!)</f>
        <v>#REF!</v>
      </c>
      <c r="M24" s="105" t="e">
        <f>SUMIF(#REF!,A24,#REF!)</f>
        <v>#REF!</v>
      </c>
      <c r="N24" s="105" t="e">
        <f>SUMIF(#REF!,A24,#REF!)</f>
        <v>#REF!</v>
      </c>
      <c r="O24" s="105" t="e">
        <f>SUMIF(#REF!,A24,#REF!)</f>
        <v>#REF!</v>
      </c>
      <c r="P24" s="105" t="e">
        <f>SUMIF(#REF!,A24,#REF!)</f>
        <v>#REF!</v>
      </c>
      <c r="Q24" s="105" t="e">
        <f>SUMIF(#REF!,A24,#REF!)</f>
        <v>#REF!</v>
      </c>
      <c r="R24" s="105" t="e">
        <f>SUMIF(#REF!,A24,#REF!)</f>
        <v>#REF!</v>
      </c>
      <c r="S24" s="105" t="e">
        <f>SUMIF(#REF!,A24,#REF!)</f>
        <v>#REF!</v>
      </c>
      <c r="T24" s="105" t="e">
        <f>SUMIF(#REF!,A24,#REF!)</f>
        <v>#REF!</v>
      </c>
      <c r="U24" s="105" t="e">
        <f>SUMIF(#REF!,A24,#REF!)</f>
        <v>#REF!</v>
      </c>
      <c r="V24" s="105" t="e">
        <f t="shared" si="5"/>
        <v>#REF!</v>
      </c>
      <c r="W24" s="105"/>
      <c r="X24" s="105"/>
      <c r="Y24" s="105" t="e">
        <f t="shared" si="1"/>
        <v>#REF!</v>
      </c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</row>
    <row r="25" spans="1:68">
      <c r="A25" s="103" t="s">
        <v>20</v>
      </c>
      <c r="B25" s="103" t="s">
        <v>364</v>
      </c>
      <c r="C25" s="105" t="e">
        <f>SUMIF(#REF!,A25,#REF!)</f>
        <v>#REF!</v>
      </c>
      <c r="D25" s="105" t="e">
        <f>SUMIF(#REF!,A25,#REF!)</f>
        <v>#REF!</v>
      </c>
      <c r="E25" s="105" t="e">
        <f>SUMIF(#REF!,A25,#REF!)</f>
        <v>#REF!</v>
      </c>
      <c r="F25" s="105" t="e">
        <f>SUMIF(#REF!,A25,#REF!)</f>
        <v>#REF!</v>
      </c>
      <c r="G25" s="105" t="e">
        <f>SUMIF(#REF!,A25,#REF!)</f>
        <v>#REF!</v>
      </c>
      <c r="H25" s="105" t="e">
        <f>SUMIF(#REF!,A25,#REF!)</f>
        <v>#REF!</v>
      </c>
      <c r="I25" s="105" t="e">
        <f>SUMIF(#REF!,A25,#REF!)</f>
        <v>#REF!</v>
      </c>
      <c r="J25" s="105" t="e">
        <f>SUMIF(#REF!,A25,#REF!)</f>
        <v>#REF!</v>
      </c>
      <c r="K25" s="105" t="e">
        <f>SUMIF(#REF!,A25,#REF!)</f>
        <v>#REF!</v>
      </c>
      <c r="L25" s="105" t="e">
        <f>SUMIF(#REF!,A25,#REF!)</f>
        <v>#REF!</v>
      </c>
      <c r="M25" s="105" t="e">
        <f>SUMIF(#REF!,A25,#REF!)</f>
        <v>#REF!</v>
      </c>
      <c r="N25" s="105" t="e">
        <f>SUMIF(#REF!,A25,#REF!)</f>
        <v>#REF!</v>
      </c>
      <c r="O25" s="105" t="e">
        <f>SUMIF(#REF!,A25,#REF!)</f>
        <v>#REF!</v>
      </c>
      <c r="P25" s="105" t="e">
        <f>SUMIF(#REF!,A25,#REF!)</f>
        <v>#REF!</v>
      </c>
      <c r="Q25" s="105" t="e">
        <f>SUMIF(#REF!,A25,#REF!)</f>
        <v>#REF!</v>
      </c>
      <c r="R25" s="105" t="e">
        <f>SUMIF(#REF!,A25,#REF!)</f>
        <v>#REF!</v>
      </c>
      <c r="S25" s="105" t="e">
        <f>SUMIF(#REF!,A25,#REF!)</f>
        <v>#REF!</v>
      </c>
      <c r="T25" s="105" t="e">
        <f>SUMIF(#REF!,A25,#REF!)</f>
        <v>#REF!</v>
      </c>
      <c r="U25" s="105" t="e">
        <f>SUMIF(#REF!,A25,#REF!)</f>
        <v>#REF!</v>
      </c>
      <c r="V25" s="105" t="e">
        <f t="shared" si="5"/>
        <v>#REF!</v>
      </c>
      <c r="W25" s="105"/>
      <c r="X25" s="105"/>
      <c r="Y25" s="105" t="e">
        <f t="shared" si="1"/>
        <v>#REF!</v>
      </c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</row>
    <row r="26" spans="1:68">
      <c r="A26" s="103" t="s">
        <v>38</v>
      </c>
      <c r="B26" s="103" t="s">
        <v>364</v>
      </c>
      <c r="C26" s="105" t="e">
        <f>SUMIF(#REF!,A26,#REF!)</f>
        <v>#REF!</v>
      </c>
      <c r="D26" s="105" t="e">
        <f>SUMIF(#REF!,A26,#REF!)</f>
        <v>#REF!</v>
      </c>
      <c r="E26" s="105" t="e">
        <f>SUMIF(#REF!,A26,#REF!)</f>
        <v>#REF!</v>
      </c>
      <c r="F26" s="105" t="e">
        <f>SUMIF(#REF!,A26,#REF!)</f>
        <v>#REF!</v>
      </c>
      <c r="G26" s="105" t="e">
        <f>SUMIF(#REF!,A26,#REF!)</f>
        <v>#REF!</v>
      </c>
      <c r="H26" s="105" t="e">
        <f>SUMIF(#REF!,A26,#REF!)</f>
        <v>#REF!</v>
      </c>
      <c r="I26" s="105" t="e">
        <f>SUMIF(#REF!,A26,#REF!)</f>
        <v>#REF!</v>
      </c>
      <c r="J26" s="105" t="e">
        <f>SUMIF(#REF!,A26,#REF!)</f>
        <v>#REF!</v>
      </c>
      <c r="K26" s="105" t="e">
        <f>SUMIF(#REF!,A26,#REF!)</f>
        <v>#REF!</v>
      </c>
      <c r="L26" s="105" t="e">
        <f>SUMIF(#REF!,A26,#REF!)</f>
        <v>#REF!</v>
      </c>
      <c r="M26" s="105" t="e">
        <f>SUMIF(#REF!,A26,#REF!)</f>
        <v>#REF!</v>
      </c>
      <c r="N26" s="105" t="e">
        <f>SUMIF(#REF!,A26,#REF!)</f>
        <v>#REF!</v>
      </c>
      <c r="O26" s="105" t="e">
        <f>SUMIF(#REF!,A26,#REF!)</f>
        <v>#REF!</v>
      </c>
      <c r="P26" s="105" t="e">
        <f>SUMIF(#REF!,A26,#REF!)</f>
        <v>#REF!</v>
      </c>
      <c r="Q26" s="105" t="e">
        <f>SUMIF(#REF!,A26,#REF!)</f>
        <v>#REF!</v>
      </c>
      <c r="R26" s="105" t="e">
        <f>SUMIF(#REF!,A26,#REF!)</f>
        <v>#REF!</v>
      </c>
      <c r="S26" s="105" t="e">
        <f>SUMIF(#REF!,A26,#REF!)</f>
        <v>#REF!</v>
      </c>
      <c r="T26" s="105" t="e">
        <f>SUMIF(#REF!,A26,#REF!)</f>
        <v>#REF!</v>
      </c>
      <c r="U26" s="105" t="e">
        <f>SUMIF(#REF!,A26,#REF!)</f>
        <v>#REF!</v>
      </c>
      <c r="V26" s="105" t="e">
        <f t="shared" si="5"/>
        <v>#REF!</v>
      </c>
      <c r="W26" s="105"/>
      <c r="X26" s="105"/>
      <c r="Y26" s="105" t="e">
        <f t="shared" si="1"/>
        <v>#REF!</v>
      </c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</row>
    <row r="27" spans="1:68">
      <c r="A27" s="103" t="s">
        <v>17</v>
      </c>
      <c r="B27" s="103" t="s">
        <v>364</v>
      </c>
      <c r="C27" s="105" t="e">
        <f>SUMIF(#REF!,A27,#REF!)</f>
        <v>#REF!</v>
      </c>
      <c r="D27" s="105" t="e">
        <f>SUMIF(#REF!,A27,#REF!)</f>
        <v>#REF!</v>
      </c>
      <c r="E27" s="105" t="e">
        <f>SUMIF(#REF!,A27,#REF!)</f>
        <v>#REF!</v>
      </c>
      <c r="F27" s="105" t="e">
        <f>SUMIF(#REF!,A27,#REF!)</f>
        <v>#REF!</v>
      </c>
      <c r="G27" s="105" t="e">
        <f>SUMIF(#REF!,A27,#REF!)</f>
        <v>#REF!</v>
      </c>
      <c r="H27" s="105" t="e">
        <f>SUMIF(#REF!,A27,#REF!)</f>
        <v>#REF!</v>
      </c>
      <c r="I27" s="105" t="e">
        <f>SUMIF(#REF!,A27,#REF!)</f>
        <v>#REF!</v>
      </c>
      <c r="J27" s="105" t="e">
        <f>SUMIF(#REF!,A27,#REF!)</f>
        <v>#REF!</v>
      </c>
      <c r="K27" s="105" t="e">
        <f>SUMIF(#REF!,A27,#REF!)</f>
        <v>#REF!</v>
      </c>
      <c r="L27" s="105" t="e">
        <f>SUMIF(#REF!,A27,#REF!)</f>
        <v>#REF!</v>
      </c>
      <c r="M27" s="105" t="e">
        <f>SUMIF(#REF!,A27,#REF!)</f>
        <v>#REF!</v>
      </c>
      <c r="N27" s="105" t="e">
        <f>SUMIF(#REF!,A27,#REF!)</f>
        <v>#REF!</v>
      </c>
      <c r="O27" s="105" t="e">
        <f>SUMIF(#REF!,A27,#REF!)</f>
        <v>#REF!</v>
      </c>
      <c r="P27" s="105" t="e">
        <f>SUMIF(#REF!,A27,#REF!)</f>
        <v>#REF!</v>
      </c>
      <c r="Q27" s="105" t="e">
        <f>SUMIF(#REF!,A27,#REF!)</f>
        <v>#REF!</v>
      </c>
      <c r="R27" s="105" t="e">
        <f>SUMIF(#REF!,A27,#REF!)</f>
        <v>#REF!</v>
      </c>
      <c r="S27" s="105" t="e">
        <f>SUMIF(#REF!,A27,#REF!)</f>
        <v>#REF!</v>
      </c>
      <c r="T27" s="105" t="e">
        <f>SUMIF(#REF!,A27,#REF!)</f>
        <v>#REF!</v>
      </c>
      <c r="U27" s="105" t="e">
        <f>SUMIF(#REF!,A27,#REF!)</f>
        <v>#REF!</v>
      </c>
      <c r="V27" s="105" t="e">
        <f t="shared" si="5"/>
        <v>#REF!</v>
      </c>
      <c r="W27" s="105"/>
      <c r="X27" s="105"/>
      <c r="Y27" s="105" t="e">
        <f t="shared" si="1"/>
        <v>#REF!</v>
      </c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</row>
    <row r="28" spans="1:68">
      <c r="A28" s="103" t="s">
        <v>29</v>
      </c>
      <c r="B28" s="103" t="s">
        <v>364</v>
      </c>
      <c r="C28" s="105" t="e">
        <f>SUMIF(#REF!,A28,#REF!)</f>
        <v>#REF!</v>
      </c>
      <c r="D28" s="105" t="e">
        <f>SUMIF(#REF!,A28,#REF!)</f>
        <v>#REF!</v>
      </c>
      <c r="E28" s="105" t="e">
        <f>SUMIF(#REF!,A28,#REF!)</f>
        <v>#REF!</v>
      </c>
      <c r="F28" s="105" t="e">
        <f>SUMIF(#REF!,A28,#REF!)</f>
        <v>#REF!</v>
      </c>
      <c r="G28" s="105" t="e">
        <f>SUMIF(#REF!,A28,#REF!)</f>
        <v>#REF!</v>
      </c>
      <c r="H28" s="105" t="e">
        <f>SUMIF(#REF!,A28,#REF!)</f>
        <v>#REF!</v>
      </c>
      <c r="I28" s="105" t="e">
        <f>SUMIF(#REF!,A28,#REF!)</f>
        <v>#REF!</v>
      </c>
      <c r="J28" s="105" t="e">
        <f>SUMIF(#REF!,A28,#REF!)</f>
        <v>#REF!</v>
      </c>
      <c r="K28" s="105" t="e">
        <f>SUMIF(#REF!,A28,#REF!)</f>
        <v>#REF!</v>
      </c>
      <c r="L28" s="105" t="e">
        <f>SUMIF(#REF!,A28,#REF!)</f>
        <v>#REF!</v>
      </c>
      <c r="M28" s="105" t="e">
        <f>SUMIF(#REF!,A28,#REF!)</f>
        <v>#REF!</v>
      </c>
      <c r="N28" s="105" t="e">
        <f>SUMIF(#REF!,A28,#REF!)</f>
        <v>#REF!</v>
      </c>
      <c r="O28" s="105" t="e">
        <f>SUMIF(#REF!,A28,#REF!)</f>
        <v>#REF!</v>
      </c>
      <c r="P28" s="105" t="e">
        <f>SUMIF(#REF!,A28,#REF!)</f>
        <v>#REF!</v>
      </c>
      <c r="Q28" s="105" t="e">
        <f>SUMIF(#REF!,A28,#REF!)</f>
        <v>#REF!</v>
      </c>
      <c r="R28" s="105" t="e">
        <f>SUMIF(#REF!,A28,#REF!)</f>
        <v>#REF!</v>
      </c>
      <c r="S28" s="105" t="e">
        <f>SUMIF(#REF!,A28,#REF!)</f>
        <v>#REF!</v>
      </c>
      <c r="T28" s="105" t="e">
        <f>SUMIF(#REF!,A28,#REF!)</f>
        <v>#REF!</v>
      </c>
      <c r="U28" s="105" t="e">
        <f>SUMIF(#REF!,A28,#REF!)</f>
        <v>#REF!</v>
      </c>
      <c r="V28" s="105" t="e">
        <f t="shared" si="5"/>
        <v>#REF!</v>
      </c>
      <c r="W28" s="105"/>
      <c r="X28" s="105"/>
      <c r="Y28" s="105" t="e">
        <f t="shared" si="1"/>
        <v>#REF!</v>
      </c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</row>
    <row r="29" spans="1:68">
      <c r="A29" s="103" t="s">
        <v>32</v>
      </c>
      <c r="B29" s="103" t="s">
        <v>364</v>
      </c>
      <c r="C29" s="105" t="e">
        <f>SUMIF(#REF!,A29,#REF!)</f>
        <v>#REF!</v>
      </c>
      <c r="D29" s="105" t="e">
        <f>SUMIF(#REF!,A29,#REF!)</f>
        <v>#REF!</v>
      </c>
      <c r="E29" s="105" t="e">
        <f>SUMIF(#REF!,A29,#REF!)</f>
        <v>#REF!</v>
      </c>
      <c r="F29" s="105" t="e">
        <f>SUMIF(#REF!,A29,#REF!)</f>
        <v>#REF!</v>
      </c>
      <c r="G29" s="105" t="e">
        <f>SUMIF(#REF!,A29,#REF!)</f>
        <v>#REF!</v>
      </c>
      <c r="H29" s="105" t="e">
        <f>SUMIF(#REF!,A29,#REF!)</f>
        <v>#REF!</v>
      </c>
      <c r="I29" s="105" t="e">
        <f>SUMIF(#REF!,A29,#REF!)</f>
        <v>#REF!</v>
      </c>
      <c r="J29" s="105" t="e">
        <f>SUMIF(#REF!,A29,#REF!)</f>
        <v>#REF!</v>
      </c>
      <c r="K29" s="105" t="e">
        <f>SUMIF(#REF!,A29,#REF!)</f>
        <v>#REF!</v>
      </c>
      <c r="L29" s="105" t="e">
        <f>SUMIF(#REF!,A29,#REF!)</f>
        <v>#REF!</v>
      </c>
      <c r="M29" s="105" t="e">
        <f>SUMIF(#REF!,A29,#REF!)</f>
        <v>#REF!</v>
      </c>
      <c r="N29" s="105" t="e">
        <f>SUMIF(#REF!,A29,#REF!)</f>
        <v>#REF!</v>
      </c>
      <c r="O29" s="105" t="e">
        <f>SUMIF(#REF!,A29,#REF!)</f>
        <v>#REF!</v>
      </c>
      <c r="P29" s="105" t="e">
        <f>SUMIF(#REF!,A29,#REF!)</f>
        <v>#REF!</v>
      </c>
      <c r="Q29" s="105" t="e">
        <f>SUMIF(#REF!,A29,#REF!)</f>
        <v>#REF!</v>
      </c>
      <c r="R29" s="105" t="e">
        <f>SUMIF(#REF!,A29,#REF!)</f>
        <v>#REF!</v>
      </c>
      <c r="S29" s="105" t="e">
        <f>SUMIF(#REF!,A29,#REF!)</f>
        <v>#REF!</v>
      </c>
      <c r="T29" s="105" t="e">
        <f>SUMIF(#REF!,A29,#REF!)</f>
        <v>#REF!</v>
      </c>
      <c r="U29" s="105" t="e">
        <f>SUMIF(#REF!,A29,#REF!)</f>
        <v>#REF!</v>
      </c>
      <c r="V29" s="105" t="e">
        <f t="shared" si="5"/>
        <v>#REF!</v>
      </c>
      <c r="W29" s="105"/>
      <c r="X29" s="105"/>
      <c r="Y29" s="105" t="e">
        <f t="shared" si="1"/>
        <v>#REF!</v>
      </c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</row>
    <row r="30" spans="1:68">
      <c r="A30" s="103" t="s">
        <v>160</v>
      </c>
      <c r="B30" s="103" t="s">
        <v>365</v>
      </c>
      <c r="C30" s="105" t="e">
        <f>SUMIF(#REF!,A30,#REF!)</f>
        <v>#REF!</v>
      </c>
      <c r="D30" s="105" t="e">
        <f>SUMIF(#REF!,A30,#REF!)</f>
        <v>#REF!</v>
      </c>
      <c r="E30" s="105" t="e">
        <f>SUMIF(#REF!,A30,#REF!)</f>
        <v>#REF!</v>
      </c>
      <c r="F30" s="105" t="e">
        <f>SUMIF(#REF!,A30,#REF!)</f>
        <v>#REF!</v>
      </c>
      <c r="G30" s="105" t="e">
        <f>SUMIF(#REF!,A30,#REF!)</f>
        <v>#REF!</v>
      </c>
      <c r="H30" s="105" t="e">
        <f>SUMIF(#REF!,A30,#REF!)</f>
        <v>#REF!</v>
      </c>
      <c r="I30" s="105" t="e">
        <f>SUMIF(#REF!,A30,#REF!)</f>
        <v>#REF!</v>
      </c>
      <c r="J30" s="105" t="e">
        <f>SUMIF(#REF!,A30,#REF!)</f>
        <v>#REF!</v>
      </c>
      <c r="K30" s="105" t="e">
        <f>SUMIF(#REF!,A30,#REF!)</f>
        <v>#REF!</v>
      </c>
      <c r="L30" s="105" t="e">
        <f>SUMIF(#REF!,A30,#REF!)</f>
        <v>#REF!</v>
      </c>
      <c r="M30" s="105" t="e">
        <f>SUMIF(#REF!,A30,#REF!)</f>
        <v>#REF!</v>
      </c>
      <c r="N30" s="105" t="e">
        <f>SUMIF(#REF!,A30,#REF!)</f>
        <v>#REF!</v>
      </c>
      <c r="O30" s="105" t="e">
        <f>SUMIF(#REF!,A30,#REF!)</f>
        <v>#REF!</v>
      </c>
      <c r="P30" s="105" t="e">
        <f>SUMIF(#REF!,A30,#REF!)</f>
        <v>#REF!</v>
      </c>
      <c r="Q30" s="105" t="e">
        <f>SUMIF(#REF!,A30,#REF!)</f>
        <v>#REF!</v>
      </c>
      <c r="R30" s="105" t="e">
        <f>SUMIF(#REF!,A30,#REF!)</f>
        <v>#REF!</v>
      </c>
      <c r="S30" s="105" t="e">
        <f>SUMIF(#REF!,A30,#REF!)</f>
        <v>#REF!</v>
      </c>
      <c r="T30" s="105" t="e">
        <f>SUMIF(#REF!,A30,#REF!)</f>
        <v>#REF!</v>
      </c>
      <c r="U30" s="105" t="e">
        <f>SUMIF(#REF!,A30,#REF!)</f>
        <v>#REF!</v>
      </c>
      <c r="V30" s="105" t="e">
        <f t="shared" si="5"/>
        <v>#REF!</v>
      </c>
      <c r="W30" s="105"/>
      <c r="X30" s="105"/>
      <c r="Y30" s="105" t="e">
        <f t="shared" si="1"/>
        <v>#REF!</v>
      </c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</row>
    <row r="31" spans="1:68">
      <c r="A31" s="103" t="s">
        <v>42</v>
      </c>
      <c r="B31" s="103" t="s">
        <v>365</v>
      </c>
      <c r="C31" s="105" t="e">
        <f>SUMIF(#REF!,A31,#REF!)</f>
        <v>#REF!</v>
      </c>
      <c r="D31" s="105" t="e">
        <f>SUMIF(#REF!,A31,#REF!)</f>
        <v>#REF!</v>
      </c>
      <c r="E31" s="105" t="e">
        <f>SUMIF(#REF!,A31,#REF!)</f>
        <v>#REF!</v>
      </c>
      <c r="F31" s="105" t="e">
        <f>SUMIF(#REF!,A31,#REF!)</f>
        <v>#REF!</v>
      </c>
      <c r="G31" s="105" t="e">
        <f>SUMIF(#REF!,A31,#REF!)</f>
        <v>#REF!</v>
      </c>
      <c r="H31" s="105" t="e">
        <f>SUMIF(#REF!,A31,#REF!)</f>
        <v>#REF!</v>
      </c>
      <c r="I31" s="105" t="e">
        <f>SUMIF(#REF!,A31,#REF!)</f>
        <v>#REF!</v>
      </c>
      <c r="J31" s="105" t="e">
        <f>SUMIF(#REF!,A31,#REF!)</f>
        <v>#REF!</v>
      </c>
      <c r="K31" s="105" t="e">
        <f>SUMIF(#REF!,A31,#REF!)</f>
        <v>#REF!</v>
      </c>
      <c r="L31" s="105" t="e">
        <f>SUMIF(#REF!,A31,#REF!)</f>
        <v>#REF!</v>
      </c>
      <c r="M31" s="105" t="e">
        <f>SUMIF(#REF!,A31,#REF!)</f>
        <v>#REF!</v>
      </c>
      <c r="N31" s="105" t="e">
        <f>SUMIF(#REF!,A31,#REF!)</f>
        <v>#REF!</v>
      </c>
      <c r="O31" s="105" t="e">
        <f>SUMIF(#REF!,A31,#REF!)</f>
        <v>#REF!</v>
      </c>
      <c r="P31" s="105" t="e">
        <f>SUMIF(#REF!,A31,#REF!)</f>
        <v>#REF!</v>
      </c>
      <c r="Q31" s="105" t="e">
        <f>SUMIF(#REF!,A31,#REF!)</f>
        <v>#REF!</v>
      </c>
      <c r="R31" s="105" t="e">
        <f>SUMIF(#REF!,A31,#REF!)</f>
        <v>#REF!</v>
      </c>
      <c r="S31" s="105" t="e">
        <f>SUMIF(#REF!,A31,#REF!)</f>
        <v>#REF!</v>
      </c>
      <c r="T31" s="105" t="e">
        <f>SUMIF(#REF!,A31,#REF!)</f>
        <v>#REF!</v>
      </c>
      <c r="U31" s="105" t="e">
        <f>SUMIF(#REF!,A31,#REF!)</f>
        <v>#REF!</v>
      </c>
      <c r="V31" s="105" t="e">
        <f t="shared" si="5"/>
        <v>#REF!</v>
      </c>
      <c r="W31" s="105"/>
      <c r="X31" s="105"/>
      <c r="Y31" s="105" t="e">
        <f t="shared" si="1"/>
        <v>#REF!</v>
      </c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</row>
    <row r="32" spans="1:68">
      <c r="A32" s="103" t="s">
        <v>293</v>
      </c>
      <c r="B32" s="103" t="s">
        <v>365</v>
      </c>
      <c r="C32" s="105" t="e">
        <f>SUMIF(#REF!,A32,#REF!)</f>
        <v>#REF!</v>
      </c>
      <c r="D32" s="105" t="e">
        <f>SUMIF(#REF!,A32,#REF!)</f>
        <v>#REF!</v>
      </c>
      <c r="E32" s="105" t="e">
        <f>SUMIF(#REF!,A32,#REF!)</f>
        <v>#REF!</v>
      </c>
      <c r="F32" s="105" t="e">
        <f>SUMIF(#REF!,A32,#REF!)</f>
        <v>#REF!</v>
      </c>
      <c r="G32" s="105" t="e">
        <f>SUMIF(#REF!,A32,#REF!)</f>
        <v>#REF!</v>
      </c>
      <c r="H32" s="105" t="e">
        <f>SUMIF(#REF!,A32,#REF!)</f>
        <v>#REF!</v>
      </c>
      <c r="I32" s="105" t="e">
        <f>SUMIF(#REF!,A32,#REF!)</f>
        <v>#REF!</v>
      </c>
      <c r="J32" s="105" t="e">
        <f>SUMIF(#REF!,A32,#REF!)</f>
        <v>#REF!</v>
      </c>
      <c r="K32" s="105" t="e">
        <f>SUMIF(#REF!,A32,#REF!)</f>
        <v>#REF!</v>
      </c>
      <c r="L32" s="105" t="e">
        <f>SUMIF(#REF!,A32,#REF!)</f>
        <v>#REF!</v>
      </c>
      <c r="M32" s="105" t="e">
        <f>SUMIF(#REF!,A32,#REF!)</f>
        <v>#REF!</v>
      </c>
      <c r="N32" s="105" t="e">
        <f>SUMIF(#REF!,A32,#REF!)</f>
        <v>#REF!</v>
      </c>
      <c r="O32" s="105" t="e">
        <f>SUMIF(#REF!,A32,#REF!)</f>
        <v>#REF!</v>
      </c>
      <c r="P32" s="105" t="e">
        <f>SUMIF(#REF!,A32,#REF!)</f>
        <v>#REF!</v>
      </c>
      <c r="Q32" s="105" t="e">
        <f>SUMIF(#REF!,A32,#REF!)</f>
        <v>#REF!</v>
      </c>
      <c r="R32" s="105" t="e">
        <f>SUMIF(#REF!,A32,#REF!)</f>
        <v>#REF!</v>
      </c>
      <c r="S32" s="105" t="e">
        <f>SUMIF(#REF!,A32,#REF!)</f>
        <v>#REF!</v>
      </c>
      <c r="T32" s="105" t="e">
        <f>SUMIF(#REF!,A32,#REF!)</f>
        <v>#REF!</v>
      </c>
      <c r="U32" s="105" t="e">
        <f>SUMIF(#REF!,A32,#REF!)</f>
        <v>#REF!</v>
      </c>
      <c r="V32" s="105" t="e">
        <f t="shared" si="5"/>
        <v>#REF!</v>
      </c>
      <c r="W32" s="105"/>
      <c r="X32" s="105"/>
      <c r="Y32" s="105" t="e">
        <f t="shared" ref="Y32:Y57" si="6">SUM(V32:X32)</f>
        <v>#REF!</v>
      </c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</row>
    <row r="33" spans="1:68">
      <c r="A33" s="103" t="s">
        <v>172</v>
      </c>
      <c r="B33" s="103" t="s">
        <v>365</v>
      </c>
      <c r="C33" s="105" t="e">
        <f>SUMIF(#REF!,A33,#REF!)</f>
        <v>#REF!</v>
      </c>
      <c r="D33" s="105" t="e">
        <f>SUMIF(#REF!,A33,#REF!)</f>
        <v>#REF!</v>
      </c>
      <c r="E33" s="105" t="e">
        <f>SUMIF(#REF!,A33,#REF!)</f>
        <v>#REF!</v>
      </c>
      <c r="F33" s="105" t="e">
        <f>SUMIF(#REF!,A33,#REF!)</f>
        <v>#REF!</v>
      </c>
      <c r="G33" s="105" t="e">
        <f>SUMIF(#REF!,A33,#REF!)</f>
        <v>#REF!</v>
      </c>
      <c r="H33" s="105" t="e">
        <f>SUMIF(#REF!,A33,#REF!)</f>
        <v>#REF!</v>
      </c>
      <c r="I33" s="105" t="e">
        <f>SUMIF(#REF!,A33,#REF!)</f>
        <v>#REF!</v>
      </c>
      <c r="J33" s="105" t="e">
        <f>SUMIF(#REF!,A33,#REF!)</f>
        <v>#REF!</v>
      </c>
      <c r="K33" s="105" t="e">
        <f>SUMIF(#REF!,A33,#REF!)</f>
        <v>#REF!</v>
      </c>
      <c r="L33" s="105" t="e">
        <f>SUMIF(#REF!,A33,#REF!)</f>
        <v>#REF!</v>
      </c>
      <c r="M33" s="105" t="e">
        <f>SUMIF(#REF!,A33,#REF!)</f>
        <v>#REF!</v>
      </c>
      <c r="N33" s="105" t="e">
        <f>SUMIF(#REF!,A33,#REF!)</f>
        <v>#REF!</v>
      </c>
      <c r="O33" s="105" t="e">
        <f>SUMIF(#REF!,A33,#REF!)</f>
        <v>#REF!</v>
      </c>
      <c r="P33" s="105" t="e">
        <f>SUMIF(#REF!,A33,#REF!)</f>
        <v>#REF!</v>
      </c>
      <c r="Q33" s="105" t="e">
        <f>SUMIF(#REF!,A33,#REF!)</f>
        <v>#REF!</v>
      </c>
      <c r="R33" s="105" t="e">
        <f>SUMIF(#REF!,A33,#REF!)</f>
        <v>#REF!</v>
      </c>
      <c r="S33" s="105" t="e">
        <f>SUMIF(#REF!,A33,#REF!)</f>
        <v>#REF!</v>
      </c>
      <c r="T33" s="105" t="e">
        <f>SUMIF(#REF!,A33,#REF!)</f>
        <v>#REF!</v>
      </c>
      <c r="U33" s="105" t="e">
        <f>SUMIF(#REF!,A33,#REF!)</f>
        <v>#REF!</v>
      </c>
      <c r="V33" s="105" t="e">
        <f t="shared" si="5"/>
        <v>#REF!</v>
      </c>
      <c r="W33" s="105"/>
      <c r="X33" s="105"/>
      <c r="Y33" s="105" t="e">
        <f t="shared" si="6"/>
        <v>#REF!</v>
      </c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</row>
    <row r="34" spans="1:68">
      <c r="A34" s="103" t="s">
        <v>223</v>
      </c>
      <c r="B34" s="103" t="s">
        <v>365</v>
      </c>
      <c r="C34" s="105" t="e">
        <f>SUMIF(#REF!,A34,#REF!)</f>
        <v>#REF!</v>
      </c>
      <c r="D34" s="105" t="e">
        <f>SUMIF(#REF!,A34,#REF!)</f>
        <v>#REF!</v>
      </c>
      <c r="E34" s="105" t="e">
        <f>SUMIF(#REF!,A34,#REF!)</f>
        <v>#REF!</v>
      </c>
      <c r="F34" s="105" t="e">
        <f>SUMIF(#REF!,A34,#REF!)</f>
        <v>#REF!</v>
      </c>
      <c r="G34" s="105" t="e">
        <f>SUMIF(#REF!,A34,#REF!)</f>
        <v>#REF!</v>
      </c>
      <c r="H34" s="105" t="e">
        <f>SUMIF(#REF!,A34,#REF!)</f>
        <v>#REF!</v>
      </c>
      <c r="I34" s="105" t="e">
        <f>SUMIF(#REF!,A34,#REF!)</f>
        <v>#REF!</v>
      </c>
      <c r="J34" s="105" t="e">
        <f>SUMIF(#REF!,A34,#REF!)</f>
        <v>#REF!</v>
      </c>
      <c r="K34" s="105" t="e">
        <f>SUMIF(#REF!,A34,#REF!)</f>
        <v>#REF!</v>
      </c>
      <c r="L34" s="105" t="e">
        <f>SUMIF(#REF!,A34,#REF!)</f>
        <v>#REF!</v>
      </c>
      <c r="M34" s="105" t="e">
        <f>SUMIF(#REF!,A34,#REF!)</f>
        <v>#REF!</v>
      </c>
      <c r="N34" s="105" t="e">
        <f>SUMIF(#REF!,A34,#REF!)</f>
        <v>#REF!</v>
      </c>
      <c r="O34" s="105" t="e">
        <f>SUMIF(#REF!,A34,#REF!)</f>
        <v>#REF!</v>
      </c>
      <c r="P34" s="105" t="e">
        <f>SUMIF(#REF!,A34,#REF!)</f>
        <v>#REF!</v>
      </c>
      <c r="Q34" s="105" t="e">
        <f>SUMIF(#REF!,A34,#REF!)</f>
        <v>#REF!</v>
      </c>
      <c r="R34" s="105" t="e">
        <f>SUMIF(#REF!,A34,#REF!)</f>
        <v>#REF!</v>
      </c>
      <c r="S34" s="105" t="e">
        <f>SUMIF(#REF!,A34,#REF!)</f>
        <v>#REF!</v>
      </c>
      <c r="T34" s="105" t="e">
        <f>SUMIF(#REF!,A34,#REF!)</f>
        <v>#REF!</v>
      </c>
      <c r="U34" s="105" t="e">
        <f>SUMIF(#REF!,A34,#REF!)</f>
        <v>#REF!</v>
      </c>
      <c r="V34" s="105" t="e">
        <f t="shared" si="5"/>
        <v>#REF!</v>
      </c>
      <c r="W34" s="105"/>
      <c r="X34" s="105"/>
      <c r="Y34" s="105" t="e">
        <f t="shared" si="6"/>
        <v>#REF!</v>
      </c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</row>
    <row r="35" spans="1:68">
      <c r="A35" s="103" t="s">
        <v>177</v>
      </c>
      <c r="B35" s="103" t="s">
        <v>365</v>
      </c>
      <c r="C35" s="105" t="e">
        <f>SUMIF(#REF!,A35,#REF!)</f>
        <v>#REF!</v>
      </c>
      <c r="D35" s="105" t="e">
        <f>SUMIF(#REF!,A35,#REF!)</f>
        <v>#REF!</v>
      </c>
      <c r="E35" s="105" t="e">
        <f>SUMIF(#REF!,A35,#REF!)</f>
        <v>#REF!</v>
      </c>
      <c r="F35" s="105" t="e">
        <f>SUMIF(#REF!,A35,#REF!)</f>
        <v>#REF!</v>
      </c>
      <c r="G35" s="105" t="e">
        <f>SUMIF(#REF!,A35,#REF!)</f>
        <v>#REF!</v>
      </c>
      <c r="H35" s="105" t="e">
        <f>SUMIF(#REF!,A35,#REF!)</f>
        <v>#REF!</v>
      </c>
      <c r="I35" s="105" t="e">
        <f>SUMIF(#REF!,A35,#REF!)</f>
        <v>#REF!</v>
      </c>
      <c r="J35" s="105" t="e">
        <f>SUMIF(#REF!,A35,#REF!)</f>
        <v>#REF!</v>
      </c>
      <c r="K35" s="105" t="e">
        <f>SUMIF(#REF!,A35,#REF!)</f>
        <v>#REF!</v>
      </c>
      <c r="L35" s="105" t="e">
        <f>SUMIF(#REF!,A35,#REF!)</f>
        <v>#REF!</v>
      </c>
      <c r="M35" s="105" t="e">
        <f>SUMIF(#REF!,A35,#REF!)</f>
        <v>#REF!</v>
      </c>
      <c r="N35" s="105" t="e">
        <f>SUMIF(#REF!,A35,#REF!)</f>
        <v>#REF!</v>
      </c>
      <c r="O35" s="105" t="e">
        <f>SUMIF(#REF!,A35,#REF!)</f>
        <v>#REF!</v>
      </c>
      <c r="P35" s="105" t="e">
        <f>SUMIF(#REF!,A35,#REF!)</f>
        <v>#REF!</v>
      </c>
      <c r="Q35" s="105" t="e">
        <f>SUMIF(#REF!,A35,#REF!)</f>
        <v>#REF!</v>
      </c>
      <c r="R35" s="105" t="e">
        <f>SUMIF(#REF!,A35,#REF!)</f>
        <v>#REF!</v>
      </c>
      <c r="S35" s="105" t="e">
        <f>SUMIF(#REF!,A35,#REF!)</f>
        <v>#REF!</v>
      </c>
      <c r="T35" s="105" t="e">
        <f>SUMIF(#REF!,A35,#REF!)</f>
        <v>#REF!</v>
      </c>
      <c r="U35" s="105" t="e">
        <f>SUMIF(#REF!,A35,#REF!)</f>
        <v>#REF!</v>
      </c>
      <c r="V35" s="105" t="e">
        <f t="shared" si="5"/>
        <v>#REF!</v>
      </c>
      <c r="W35" s="105"/>
      <c r="X35" s="105"/>
      <c r="Y35" s="105" t="e">
        <f t="shared" si="6"/>
        <v>#REF!</v>
      </c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</row>
    <row r="36" spans="1:68">
      <c r="A36" s="103" t="s">
        <v>366</v>
      </c>
      <c r="B36" s="103" t="s">
        <v>365</v>
      </c>
      <c r="C36" s="105" t="e">
        <f>SUMIF(#REF!,A36,#REF!)</f>
        <v>#REF!</v>
      </c>
      <c r="D36" s="105" t="e">
        <f>SUMIF(#REF!,A36,#REF!)</f>
        <v>#REF!</v>
      </c>
      <c r="E36" s="105" t="e">
        <f>SUMIF(#REF!,A36,#REF!)</f>
        <v>#REF!</v>
      </c>
      <c r="F36" s="105" t="e">
        <f>SUMIF(#REF!,A36,#REF!)</f>
        <v>#REF!</v>
      </c>
      <c r="G36" s="105" t="e">
        <f>SUMIF(#REF!,A36,#REF!)</f>
        <v>#REF!</v>
      </c>
      <c r="H36" s="105" t="e">
        <f>SUMIF(#REF!,A36,#REF!)</f>
        <v>#REF!</v>
      </c>
      <c r="I36" s="105" t="e">
        <f>SUMIF(#REF!,A36,#REF!)</f>
        <v>#REF!</v>
      </c>
      <c r="J36" s="105" t="e">
        <f>SUMIF(#REF!,A36,#REF!)</f>
        <v>#REF!</v>
      </c>
      <c r="K36" s="105" t="e">
        <f>SUMIF(#REF!,A36,#REF!)</f>
        <v>#REF!</v>
      </c>
      <c r="L36" s="105" t="e">
        <f>SUMIF(#REF!,A36,#REF!)</f>
        <v>#REF!</v>
      </c>
      <c r="M36" s="105" t="e">
        <f>SUMIF(#REF!,A36,#REF!)</f>
        <v>#REF!</v>
      </c>
      <c r="N36" s="105" t="e">
        <f>SUMIF(#REF!,A36,#REF!)</f>
        <v>#REF!</v>
      </c>
      <c r="O36" s="105" t="e">
        <f>SUMIF(#REF!,A36,#REF!)</f>
        <v>#REF!</v>
      </c>
      <c r="P36" s="105" t="e">
        <f>SUMIF(#REF!,A36,#REF!)</f>
        <v>#REF!</v>
      </c>
      <c r="Q36" s="105" t="e">
        <f>SUMIF(#REF!,A36,#REF!)</f>
        <v>#REF!</v>
      </c>
      <c r="R36" s="105" t="e">
        <f>SUMIF(#REF!,A36,#REF!)</f>
        <v>#REF!</v>
      </c>
      <c r="S36" s="105" t="e">
        <f>SUMIF(#REF!,A36,#REF!)</f>
        <v>#REF!</v>
      </c>
      <c r="T36" s="105" t="e">
        <f>SUMIF(#REF!,A36,#REF!)</f>
        <v>#REF!</v>
      </c>
      <c r="U36" s="105" t="e">
        <f>SUMIF(#REF!,A36,#REF!)</f>
        <v>#REF!</v>
      </c>
      <c r="V36" s="105" t="e">
        <f t="shared" si="5"/>
        <v>#REF!</v>
      </c>
      <c r="W36" s="105"/>
      <c r="X36" s="105"/>
      <c r="Y36" s="105" t="e">
        <f t="shared" si="6"/>
        <v>#REF!</v>
      </c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</row>
    <row r="37" spans="1:68">
      <c r="A37" s="103" t="s">
        <v>167</v>
      </c>
      <c r="B37" s="103" t="s">
        <v>365</v>
      </c>
      <c r="C37" s="105" t="e">
        <f>SUMIF(#REF!,A37,#REF!)</f>
        <v>#REF!</v>
      </c>
      <c r="D37" s="105" t="e">
        <f>SUMIF(#REF!,A37,#REF!)</f>
        <v>#REF!</v>
      </c>
      <c r="E37" s="105" t="e">
        <f>SUMIF(#REF!,A37,#REF!)</f>
        <v>#REF!</v>
      </c>
      <c r="F37" s="105" t="e">
        <f>SUMIF(#REF!,A37,#REF!)</f>
        <v>#REF!</v>
      </c>
      <c r="G37" s="105" t="e">
        <f>SUMIF(#REF!,A37,#REF!)</f>
        <v>#REF!</v>
      </c>
      <c r="H37" s="105" t="e">
        <f>SUMIF(#REF!,A37,#REF!)</f>
        <v>#REF!</v>
      </c>
      <c r="I37" s="105" t="e">
        <f>SUMIF(#REF!,A37,#REF!)</f>
        <v>#REF!</v>
      </c>
      <c r="J37" s="105" t="e">
        <f>SUMIF(#REF!,A37,#REF!)</f>
        <v>#REF!</v>
      </c>
      <c r="K37" s="105" t="e">
        <f>SUMIF(#REF!,A37,#REF!)</f>
        <v>#REF!</v>
      </c>
      <c r="L37" s="105" t="e">
        <f>SUMIF(#REF!,A37,#REF!)</f>
        <v>#REF!</v>
      </c>
      <c r="M37" s="105" t="e">
        <f>SUMIF(#REF!,A37,#REF!)</f>
        <v>#REF!</v>
      </c>
      <c r="N37" s="105" t="e">
        <f>SUMIF(#REF!,A37,#REF!)</f>
        <v>#REF!</v>
      </c>
      <c r="O37" s="105" t="e">
        <f>SUMIF(#REF!,A37,#REF!)</f>
        <v>#REF!</v>
      </c>
      <c r="P37" s="105" t="e">
        <f>SUMIF(#REF!,A37,#REF!)</f>
        <v>#REF!</v>
      </c>
      <c r="Q37" s="105" t="e">
        <f>SUMIF(#REF!,A37,#REF!)</f>
        <v>#REF!</v>
      </c>
      <c r="R37" s="105" t="e">
        <f>SUMIF(#REF!,A37,#REF!)</f>
        <v>#REF!</v>
      </c>
      <c r="S37" s="105" t="e">
        <f>SUMIF(#REF!,A37,#REF!)</f>
        <v>#REF!</v>
      </c>
      <c r="T37" s="105" t="e">
        <f>SUMIF(#REF!,A37,#REF!)</f>
        <v>#REF!</v>
      </c>
      <c r="U37" s="105" t="e">
        <f>SUMIF(#REF!,A37,#REF!)</f>
        <v>#REF!</v>
      </c>
      <c r="V37" s="105" t="e">
        <f t="shared" si="5"/>
        <v>#REF!</v>
      </c>
      <c r="W37" s="105"/>
      <c r="X37" s="105"/>
      <c r="Y37" s="105" t="e">
        <f t="shared" si="6"/>
        <v>#REF!</v>
      </c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</row>
    <row r="38" spans="1:68">
      <c r="A38" s="103" t="s">
        <v>187</v>
      </c>
      <c r="B38" s="103" t="s">
        <v>367</v>
      </c>
      <c r="C38" s="105" t="e">
        <f>SUMIF(#REF!,A38,#REF!)</f>
        <v>#REF!</v>
      </c>
      <c r="D38" s="105" t="e">
        <f>SUMIF(#REF!,A38,#REF!)</f>
        <v>#REF!</v>
      </c>
      <c r="E38" s="105" t="e">
        <f>SUMIF(#REF!,A38,#REF!)</f>
        <v>#REF!</v>
      </c>
      <c r="F38" s="105" t="e">
        <f>SUMIF(#REF!,A38,#REF!)</f>
        <v>#REF!</v>
      </c>
      <c r="G38" s="105" t="e">
        <f>SUMIF(#REF!,A38,#REF!)</f>
        <v>#REF!</v>
      </c>
      <c r="H38" s="105" t="e">
        <f>SUMIF(#REF!,A38,#REF!)</f>
        <v>#REF!</v>
      </c>
      <c r="I38" s="105" t="e">
        <f>SUMIF(#REF!,A38,#REF!)</f>
        <v>#REF!</v>
      </c>
      <c r="J38" s="105" t="e">
        <f>SUMIF(#REF!,A38,#REF!)</f>
        <v>#REF!</v>
      </c>
      <c r="K38" s="105" t="e">
        <f>SUMIF(#REF!,A38,#REF!)</f>
        <v>#REF!</v>
      </c>
      <c r="L38" s="105" t="e">
        <f>SUMIF(#REF!,A38,#REF!)</f>
        <v>#REF!</v>
      </c>
      <c r="M38" s="105" t="e">
        <f>SUMIF(#REF!,A38,#REF!)</f>
        <v>#REF!</v>
      </c>
      <c r="N38" s="105" t="e">
        <f>SUMIF(#REF!,A38,#REF!)</f>
        <v>#REF!</v>
      </c>
      <c r="O38" s="105" t="e">
        <f>SUMIF(#REF!,A38,#REF!)</f>
        <v>#REF!</v>
      </c>
      <c r="P38" s="105" t="e">
        <f>SUMIF(#REF!,A38,#REF!)</f>
        <v>#REF!</v>
      </c>
      <c r="Q38" s="105" t="e">
        <f>SUMIF(#REF!,A38,#REF!)</f>
        <v>#REF!</v>
      </c>
      <c r="R38" s="105" t="e">
        <f>SUMIF(#REF!,A38,#REF!)</f>
        <v>#REF!</v>
      </c>
      <c r="S38" s="105" t="e">
        <f>SUMIF(#REF!,A38,#REF!)</f>
        <v>#REF!</v>
      </c>
      <c r="T38" s="105" t="e">
        <f>SUMIF(#REF!,A38,#REF!)</f>
        <v>#REF!</v>
      </c>
      <c r="U38" s="105" t="e">
        <f>SUMIF(#REF!,A38,#REF!)</f>
        <v>#REF!</v>
      </c>
      <c r="V38" s="105" t="e">
        <f t="shared" si="5"/>
        <v>#REF!</v>
      </c>
      <c r="W38" s="105"/>
      <c r="X38" s="105"/>
      <c r="Y38" s="105" t="e">
        <f t="shared" si="6"/>
        <v>#REF!</v>
      </c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</row>
    <row r="39" spans="1:68">
      <c r="A39" s="103" t="s">
        <v>183</v>
      </c>
      <c r="B39" s="103" t="s">
        <v>367</v>
      </c>
      <c r="C39" s="105" t="e">
        <f>SUMIF(#REF!,A39,#REF!)</f>
        <v>#REF!</v>
      </c>
      <c r="D39" s="105" t="e">
        <f>SUMIF(#REF!,A39,#REF!)</f>
        <v>#REF!</v>
      </c>
      <c r="E39" s="105" t="e">
        <f>SUMIF(#REF!,A39,#REF!)</f>
        <v>#REF!</v>
      </c>
      <c r="F39" s="105" t="e">
        <f>SUMIF(#REF!,A39,#REF!)</f>
        <v>#REF!</v>
      </c>
      <c r="G39" s="105" t="e">
        <f>SUMIF(#REF!,A39,#REF!)</f>
        <v>#REF!</v>
      </c>
      <c r="H39" s="105" t="e">
        <f>SUMIF(#REF!,A39,#REF!)</f>
        <v>#REF!</v>
      </c>
      <c r="I39" s="105" t="e">
        <f>SUMIF(#REF!,A39,#REF!)</f>
        <v>#REF!</v>
      </c>
      <c r="J39" s="105" t="e">
        <f>SUMIF(#REF!,A39,#REF!)</f>
        <v>#REF!</v>
      </c>
      <c r="K39" s="105" t="e">
        <f>SUMIF(#REF!,A39,#REF!)</f>
        <v>#REF!</v>
      </c>
      <c r="L39" s="105" t="e">
        <f>SUMIF(#REF!,A39,#REF!)</f>
        <v>#REF!</v>
      </c>
      <c r="M39" s="105" t="e">
        <f>SUMIF(#REF!,A39,#REF!)</f>
        <v>#REF!</v>
      </c>
      <c r="N39" s="105" t="e">
        <f>SUMIF(#REF!,A39,#REF!)</f>
        <v>#REF!</v>
      </c>
      <c r="O39" s="105" t="e">
        <f>SUMIF(#REF!,A39,#REF!)</f>
        <v>#REF!</v>
      </c>
      <c r="P39" s="105" t="e">
        <f>SUMIF(#REF!,A39,#REF!)</f>
        <v>#REF!</v>
      </c>
      <c r="Q39" s="105" t="e">
        <f>SUMIF(#REF!,A39,#REF!)</f>
        <v>#REF!</v>
      </c>
      <c r="R39" s="105" t="e">
        <f>SUMIF(#REF!,A39,#REF!)</f>
        <v>#REF!</v>
      </c>
      <c r="S39" s="105" t="e">
        <f>SUMIF(#REF!,A39,#REF!)</f>
        <v>#REF!</v>
      </c>
      <c r="T39" s="105" t="e">
        <f>SUMIF(#REF!,A39,#REF!)</f>
        <v>#REF!</v>
      </c>
      <c r="U39" s="105" t="e">
        <f>SUMIF(#REF!,A39,#REF!)</f>
        <v>#REF!</v>
      </c>
      <c r="V39" s="105" t="e">
        <f t="shared" si="5"/>
        <v>#REF!</v>
      </c>
      <c r="W39" s="105"/>
      <c r="X39" s="105"/>
      <c r="Y39" s="105" t="e">
        <f t="shared" si="6"/>
        <v>#REF!</v>
      </c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</row>
    <row r="40" spans="1:68">
      <c r="A40" s="103" t="s">
        <v>237</v>
      </c>
      <c r="B40" s="103" t="s">
        <v>367</v>
      </c>
      <c r="C40" s="105" t="e">
        <f>SUMIF(#REF!,A40,#REF!)</f>
        <v>#REF!</v>
      </c>
      <c r="D40" s="105" t="e">
        <f>SUMIF(#REF!,A40,#REF!)</f>
        <v>#REF!</v>
      </c>
      <c r="E40" s="105" t="e">
        <f>SUMIF(#REF!,A40,#REF!)</f>
        <v>#REF!</v>
      </c>
      <c r="F40" s="105" t="e">
        <f>SUMIF(#REF!,A40,#REF!)</f>
        <v>#REF!</v>
      </c>
      <c r="G40" s="105" t="e">
        <f>SUMIF(#REF!,A40,#REF!)</f>
        <v>#REF!</v>
      </c>
      <c r="H40" s="105" t="e">
        <f>SUMIF(#REF!,A40,#REF!)</f>
        <v>#REF!</v>
      </c>
      <c r="I40" s="105" t="e">
        <f>SUMIF(#REF!,A40,#REF!)</f>
        <v>#REF!</v>
      </c>
      <c r="J40" s="105" t="e">
        <f>SUMIF(#REF!,A40,#REF!)</f>
        <v>#REF!</v>
      </c>
      <c r="K40" s="105" t="e">
        <f>SUMIF(#REF!,A40,#REF!)</f>
        <v>#REF!</v>
      </c>
      <c r="L40" s="105" t="e">
        <f>SUMIF(#REF!,A40,#REF!)</f>
        <v>#REF!</v>
      </c>
      <c r="M40" s="105" t="e">
        <f>SUMIF(#REF!,A40,#REF!)</f>
        <v>#REF!</v>
      </c>
      <c r="N40" s="105" t="e">
        <f>SUMIF(#REF!,A40,#REF!)</f>
        <v>#REF!</v>
      </c>
      <c r="O40" s="105" t="e">
        <f>SUMIF(#REF!,A40,#REF!)</f>
        <v>#REF!</v>
      </c>
      <c r="P40" s="105" t="e">
        <f>SUMIF(#REF!,A40,#REF!)</f>
        <v>#REF!</v>
      </c>
      <c r="Q40" s="105" t="e">
        <f>SUMIF(#REF!,A40,#REF!)</f>
        <v>#REF!</v>
      </c>
      <c r="R40" s="105" t="e">
        <f>SUMIF(#REF!,A40,#REF!)</f>
        <v>#REF!</v>
      </c>
      <c r="S40" s="105" t="e">
        <f>SUMIF(#REF!,A40,#REF!)</f>
        <v>#REF!</v>
      </c>
      <c r="T40" s="105" t="e">
        <f>SUMIF(#REF!,A40,#REF!)</f>
        <v>#REF!</v>
      </c>
      <c r="U40" s="105" t="e">
        <f>SUMIF(#REF!,A40,#REF!)</f>
        <v>#REF!</v>
      </c>
      <c r="V40" s="105" t="e">
        <f t="shared" si="5"/>
        <v>#REF!</v>
      </c>
      <c r="W40" s="105"/>
      <c r="X40" s="105"/>
      <c r="Y40" s="105" t="e">
        <f t="shared" si="6"/>
        <v>#REF!</v>
      </c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</row>
    <row r="41" spans="1:68">
      <c r="A41" s="103" t="s">
        <v>50</v>
      </c>
      <c r="B41" s="103" t="s">
        <v>368</v>
      </c>
      <c r="C41" s="105" t="e">
        <f>SUMIF(#REF!,A41,#REF!)</f>
        <v>#REF!</v>
      </c>
      <c r="D41" s="105" t="e">
        <f>SUMIF(#REF!,A41,#REF!)</f>
        <v>#REF!</v>
      </c>
      <c r="E41" s="105" t="e">
        <f>SUMIF(#REF!,A41,#REF!)</f>
        <v>#REF!</v>
      </c>
      <c r="F41" s="105" t="e">
        <f>SUMIF(#REF!,A41,#REF!)</f>
        <v>#REF!</v>
      </c>
      <c r="G41" s="105" t="e">
        <f>SUMIF(#REF!,A41,#REF!)</f>
        <v>#REF!</v>
      </c>
      <c r="H41" s="105" t="e">
        <f>SUMIF(#REF!,A41,#REF!)</f>
        <v>#REF!</v>
      </c>
      <c r="I41" s="105" t="e">
        <f>SUMIF(#REF!,A41,#REF!)</f>
        <v>#REF!</v>
      </c>
      <c r="J41" s="105" t="e">
        <f>SUMIF(#REF!,A41,#REF!)</f>
        <v>#REF!</v>
      </c>
      <c r="K41" s="105" t="e">
        <f>SUMIF(#REF!,A41,#REF!)</f>
        <v>#REF!</v>
      </c>
      <c r="L41" s="105" t="e">
        <f>SUMIF(#REF!,A41,#REF!)</f>
        <v>#REF!</v>
      </c>
      <c r="M41" s="105" t="e">
        <f>SUMIF(#REF!,A41,#REF!)</f>
        <v>#REF!</v>
      </c>
      <c r="N41" s="105" t="e">
        <f>SUMIF(#REF!,A41,#REF!)</f>
        <v>#REF!</v>
      </c>
      <c r="O41" s="105" t="e">
        <f>SUMIF(#REF!,A41,#REF!)</f>
        <v>#REF!</v>
      </c>
      <c r="P41" s="105" t="e">
        <f>SUMIF(#REF!,A41,#REF!)</f>
        <v>#REF!</v>
      </c>
      <c r="Q41" s="105" t="e">
        <f>SUMIF(#REF!,A41,#REF!)</f>
        <v>#REF!</v>
      </c>
      <c r="R41" s="105" t="e">
        <f>SUMIF(#REF!,A41,#REF!)</f>
        <v>#REF!</v>
      </c>
      <c r="S41" s="105" t="e">
        <f>SUMIF(#REF!,A41,#REF!)</f>
        <v>#REF!</v>
      </c>
      <c r="T41" s="105" t="e">
        <f>SUMIF(#REF!,A41,#REF!)</f>
        <v>#REF!</v>
      </c>
      <c r="U41" s="105" t="e">
        <f>SUMIF(#REF!,A41,#REF!)</f>
        <v>#REF!</v>
      </c>
      <c r="V41" s="105" t="e">
        <f t="shared" si="5"/>
        <v>#REF!</v>
      </c>
      <c r="W41" s="105"/>
      <c r="X41" s="105"/>
      <c r="Y41" s="105" t="e">
        <f t="shared" si="6"/>
        <v>#REF!</v>
      </c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</row>
    <row r="42" spans="1:68">
      <c r="A42" s="103" t="s">
        <v>51</v>
      </c>
      <c r="B42" s="103" t="s">
        <v>368</v>
      </c>
      <c r="C42" s="105" t="e">
        <f>SUMIF(#REF!,A42,#REF!)</f>
        <v>#REF!</v>
      </c>
      <c r="D42" s="105" t="e">
        <f>SUMIF(#REF!,A42,#REF!)</f>
        <v>#REF!</v>
      </c>
      <c r="E42" s="105" t="e">
        <f>SUMIF(#REF!,A42,#REF!)</f>
        <v>#REF!</v>
      </c>
      <c r="F42" s="105" t="e">
        <f>SUMIF(#REF!,A42,#REF!)</f>
        <v>#REF!</v>
      </c>
      <c r="G42" s="105" t="e">
        <f>SUMIF(#REF!,A42,#REF!)</f>
        <v>#REF!</v>
      </c>
      <c r="H42" s="105" t="e">
        <f>SUMIF(#REF!,A42,#REF!)</f>
        <v>#REF!</v>
      </c>
      <c r="I42" s="105" t="e">
        <f>SUMIF(#REF!,A42,#REF!)</f>
        <v>#REF!</v>
      </c>
      <c r="J42" s="105" t="e">
        <f>SUMIF(#REF!,A42,#REF!)</f>
        <v>#REF!</v>
      </c>
      <c r="K42" s="105" t="e">
        <f>SUMIF(#REF!,A42,#REF!)</f>
        <v>#REF!</v>
      </c>
      <c r="L42" s="105" t="e">
        <f>SUMIF(#REF!,A42,#REF!)</f>
        <v>#REF!</v>
      </c>
      <c r="M42" s="105" t="e">
        <f>SUMIF(#REF!,A42,#REF!)</f>
        <v>#REF!</v>
      </c>
      <c r="N42" s="105" t="e">
        <f>SUMIF(#REF!,A42,#REF!)</f>
        <v>#REF!</v>
      </c>
      <c r="O42" s="105" t="e">
        <f>SUMIF(#REF!,A42,#REF!)</f>
        <v>#REF!</v>
      </c>
      <c r="P42" s="105" t="e">
        <f>SUMIF(#REF!,A42,#REF!)</f>
        <v>#REF!</v>
      </c>
      <c r="Q42" s="105" t="e">
        <f>SUMIF(#REF!,A42,#REF!)</f>
        <v>#REF!</v>
      </c>
      <c r="R42" s="105" t="e">
        <f>SUMIF(#REF!,A42,#REF!)</f>
        <v>#REF!</v>
      </c>
      <c r="S42" s="105" t="e">
        <f>SUMIF(#REF!,A42,#REF!)</f>
        <v>#REF!</v>
      </c>
      <c r="T42" s="105" t="e">
        <f>SUMIF(#REF!,A42,#REF!)</f>
        <v>#REF!</v>
      </c>
      <c r="U42" s="105" t="e">
        <f>SUMIF(#REF!,A42,#REF!)</f>
        <v>#REF!</v>
      </c>
      <c r="V42" s="105" t="e">
        <f t="shared" si="5"/>
        <v>#REF!</v>
      </c>
      <c r="W42" s="105"/>
      <c r="X42" s="105"/>
      <c r="Y42" s="105" t="e">
        <f t="shared" si="6"/>
        <v>#REF!</v>
      </c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</row>
    <row r="43" spans="1:68">
      <c r="A43" s="103" t="s">
        <v>52</v>
      </c>
      <c r="B43" s="103" t="s">
        <v>368</v>
      </c>
      <c r="C43" s="105" t="e">
        <f>SUMIF(#REF!,A43,#REF!)</f>
        <v>#REF!</v>
      </c>
      <c r="D43" s="105" t="e">
        <f>SUMIF(#REF!,A43,#REF!)</f>
        <v>#REF!</v>
      </c>
      <c r="E43" s="105" t="e">
        <f>SUMIF(#REF!,A43,#REF!)</f>
        <v>#REF!</v>
      </c>
      <c r="F43" s="105" t="e">
        <f>SUMIF(#REF!,A43,#REF!)</f>
        <v>#REF!</v>
      </c>
      <c r="G43" s="105" t="e">
        <f>SUMIF(#REF!,A43,#REF!)</f>
        <v>#REF!</v>
      </c>
      <c r="H43" s="105" t="e">
        <f>SUMIF(#REF!,A43,#REF!)</f>
        <v>#REF!</v>
      </c>
      <c r="I43" s="105" t="e">
        <f>SUMIF(#REF!,A43,#REF!)</f>
        <v>#REF!</v>
      </c>
      <c r="J43" s="105" t="e">
        <f>SUMIF(#REF!,A43,#REF!)</f>
        <v>#REF!</v>
      </c>
      <c r="K43" s="105" t="e">
        <f>SUMIF(#REF!,A43,#REF!)</f>
        <v>#REF!</v>
      </c>
      <c r="L43" s="105" t="e">
        <f>SUMIF(#REF!,A43,#REF!)</f>
        <v>#REF!</v>
      </c>
      <c r="M43" s="105" t="e">
        <f>SUMIF(#REF!,A43,#REF!)</f>
        <v>#REF!</v>
      </c>
      <c r="N43" s="105" t="e">
        <f>SUMIF(#REF!,A43,#REF!)</f>
        <v>#REF!</v>
      </c>
      <c r="O43" s="105" t="e">
        <f>SUMIF(#REF!,A43,#REF!)</f>
        <v>#REF!</v>
      </c>
      <c r="P43" s="105" t="e">
        <f>SUMIF(#REF!,A43,#REF!)</f>
        <v>#REF!</v>
      </c>
      <c r="Q43" s="105" t="e">
        <f>SUMIF(#REF!,A43,#REF!)</f>
        <v>#REF!</v>
      </c>
      <c r="R43" s="105" t="e">
        <f>SUMIF(#REF!,A43,#REF!)</f>
        <v>#REF!</v>
      </c>
      <c r="S43" s="105" t="e">
        <f>SUMIF(#REF!,A43,#REF!)</f>
        <v>#REF!</v>
      </c>
      <c r="T43" s="105" t="e">
        <f>SUMIF(#REF!,A43,#REF!)</f>
        <v>#REF!</v>
      </c>
      <c r="U43" s="105" t="e">
        <f>SUMIF(#REF!,A43,#REF!)</f>
        <v>#REF!</v>
      </c>
      <c r="V43" s="105" t="e">
        <f t="shared" si="5"/>
        <v>#REF!</v>
      </c>
      <c r="W43" s="105"/>
      <c r="X43" s="105"/>
      <c r="Y43" s="105" t="e">
        <f t="shared" si="6"/>
        <v>#REF!</v>
      </c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</row>
    <row r="44" spans="1:68">
      <c r="A44" s="103" t="s">
        <v>55</v>
      </c>
      <c r="B44" s="103" t="s">
        <v>368</v>
      </c>
      <c r="C44" s="105" t="e">
        <f>SUMIF(#REF!,A44,#REF!)</f>
        <v>#REF!</v>
      </c>
      <c r="D44" s="105" t="e">
        <f>SUMIF(#REF!,A44,#REF!)</f>
        <v>#REF!</v>
      </c>
      <c r="E44" s="105" t="e">
        <f>SUMIF(#REF!,A44,#REF!)</f>
        <v>#REF!</v>
      </c>
      <c r="F44" s="105" t="e">
        <f>SUMIF(#REF!,A44,#REF!)</f>
        <v>#REF!</v>
      </c>
      <c r="G44" s="105" t="e">
        <f>SUMIF(#REF!,A44,#REF!)</f>
        <v>#REF!</v>
      </c>
      <c r="H44" s="105" t="e">
        <f>SUMIF(#REF!,A44,#REF!)</f>
        <v>#REF!</v>
      </c>
      <c r="I44" s="105" t="e">
        <f>SUMIF(#REF!,A44,#REF!)</f>
        <v>#REF!</v>
      </c>
      <c r="J44" s="105" t="e">
        <f>SUMIF(#REF!,A44,#REF!)</f>
        <v>#REF!</v>
      </c>
      <c r="K44" s="105" t="e">
        <f>SUMIF(#REF!,A44,#REF!)</f>
        <v>#REF!</v>
      </c>
      <c r="L44" s="105" t="e">
        <f>SUMIF(#REF!,A44,#REF!)</f>
        <v>#REF!</v>
      </c>
      <c r="M44" s="105" t="e">
        <f>SUMIF(#REF!,A44,#REF!)</f>
        <v>#REF!</v>
      </c>
      <c r="N44" s="105" t="e">
        <f>SUMIF(#REF!,A44,#REF!)</f>
        <v>#REF!</v>
      </c>
      <c r="O44" s="105" t="e">
        <f>SUMIF(#REF!,A44,#REF!)</f>
        <v>#REF!</v>
      </c>
      <c r="P44" s="105" t="e">
        <f>SUMIF(#REF!,A44,#REF!)</f>
        <v>#REF!</v>
      </c>
      <c r="Q44" s="105" t="e">
        <f>SUMIF(#REF!,A44,#REF!)</f>
        <v>#REF!</v>
      </c>
      <c r="R44" s="105" t="e">
        <f>SUMIF(#REF!,A44,#REF!)</f>
        <v>#REF!</v>
      </c>
      <c r="S44" s="105" t="e">
        <f>SUMIF(#REF!,A44,#REF!)</f>
        <v>#REF!</v>
      </c>
      <c r="T44" s="105" t="e">
        <f>SUMIF(#REF!,A44,#REF!)</f>
        <v>#REF!</v>
      </c>
      <c r="U44" s="105" t="e">
        <f>SUMIF(#REF!,A44,#REF!)</f>
        <v>#REF!</v>
      </c>
      <c r="V44" s="105" t="e">
        <f t="shared" si="5"/>
        <v>#REF!</v>
      </c>
      <c r="W44" s="105"/>
      <c r="X44" s="105"/>
      <c r="Y44" s="105" t="e">
        <f t="shared" si="6"/>
        <v>#REF!</v>
      </c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</row>
    <row r="45" spans="1:68">
      <c r="A45" s="103" t="s">
        <v>53</v>
      </c>
      <c r="B45" s="103" t="s">
        <v>368</v>
      </c>
      <c r="C45" s="105" t="e">
        <f>SUMIF(#REF!,A45,#REF!)</f>
        <v>#REF!</v>
      </c>
      <c r="D45" s="105" t="e">
        <f>SUMIF(#REF!,A45,#REF!)</f>
        <v>#REF!</v>
      </c>
      <c r="E45" s="105" t="e">
        <f>SUMIF(#REF!,A45,#REF!)</f>
        <v>#REF!</v>
      </c>
      <c r="F45" s="105" t="e">
        <f>SUMIF(#REF!,A45,#REF!)</f>
        <v>#REF!</v>
      </c>
      <c r="G45" s="105" t="e">
        <f>SUMIF(#REF!,A45,#REF!)</f>
        <v>#REF!</v>
      </c>
      <c r="H45" s="105" t="e">
        <f>SUMIF(#REF!,A45,#REF!)</f>
        <v>#REF!</v>
      </c>
      <c r="I45" s="105" t="e">
        <f>SUMIF(#REF!,A45,#REF!)</f>
        <v>#REF!</v>
      </c>
      <c r="J45" s="105" t="e">
        <f>SUMIF(#REF!,A45,#REF!)</f>
        <v>#REF!</v>
      </c>
      <c r="K45" s="105" t="e">
        <f>SUMIF(#REF!,A45,#REF!)</f>
        <v>#REF!</v>
      </c>
      <c r="L45" s="105" t="e">
        <f>SUMIF(#REF!,A45,#REF!)</f>
        <v>#REF!</v>
      </c>
      <c r="M45" s="105" t="e">
        <f>SUMIF(#REF!,A45,#REF!)</f>
        <v>#REF!</v>
      </c>
      <c r="N45" s="105" t="e">
        <f>SUMIF(#REF!,A45,#REF!)</f>
        <v>#REF!</v>
      </c>
      <c r="O45" s="105" t="e">
        <f>SUMIF(#REF!,A45,#REF!)</f>
        <v>#REF!</v>
      </c>
      <c r="P45" s="105" t="e">
        <f>SUMIF(#REF!,A45,#REF!)</f>
        <v>#REF!</v>
      </c>
      <c r="Q45" s="105" t="e">
        <f>SUMIF(#REF!,A45,#REF!)</f>
        <v>#REF!</v>
      </c>
      <c r="R45" s="105" t="e">
        <f>SUMIF(#REF!,A45,#REF!)</f>
        <v>#REF!</v>
      </c>
      <c r="S45" s="105" t="e">
        <f>SUMIF(#REF!,A45,#REF!)</f>
        <v>#REF!</v>
      </c>
      <c r="T45" s="105" t="e">
        <f>SUMIF(#REF!,A45,#REF!)</f>
        <v>#REF!</v>
      </c>
      <c r="U45" s="105" t="e">
        <f>SUMIF(#REF!,A45,#REF!)</f>
        <v>#REF!</v>
      </c>
      <c r="V45" s="105" t="e">
        <f t="shared" si="5"/>
        <v>#REF!</v>
      </c>
      <c r="W45" s="105"/>
      <c r="X45" s="105"/>
      <c r="Y45" s="105" t="e">
        <f t="shared" si="6"/>
        <v>#REF!</v>
      </c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</row>
    <row r="46" spans="1:68">
      <c r="A46" s="103" t="s">
        <v>192</v>
      </c>
      <c r="B46" s="103" t="s">
        <v>368</v>
      </c>
      <c r="C46" s="105" t="e">
        <f>SUMIF(#REF!,A46,#REF!)</f>
        <v>#REF!</v>
      </c>
      <c r="D46" s="105" t="e">
        <f>SUMIF(#REF!,A46,#REF!)</f>
        <v>#REF!</v>
      </c>
      <c r="E46" s="105" t="e">
        <f>SUMIF(#REF!,A46,#REF!)</f>
        <v>#REF!</v>
      </c>
      <c r="F46" s="105" t="e">
        <f>SUMIF(#REF!,A46,#REF!)</f>
        <v>#REF!</v>
      </c>
      <c r="G46" s="105" t="e">
        <f>SUMIF(#REF!,A46,#REF!)</f>
        <v>#REF!</v>
      </c>
      <c r="H46" s="105" t="e">
        <f>SUMIF(#REF!,A46,#REF!)</f>
        <v>#REF!</v>
      </c>
      <c r="I46" s="105" t="e">
        <f>SUMIF(#REF!,A46,#REF!)</f>
        <v>#REF!</v>
      </c>
      <c r="J46" s="105" t="e">
        <f>SUMIF(#REF!,A46,#REF!)</f>
        <v>#REF!</v>
      </c>
      <c r="K46" s="105" t="e">
        <f>SUMIF(#REF!,A46,#REF!)</f>
        <v>#REF!</v>
      </c>
      <c r="L46" s="105" t="e">
        <f>SUMIF(#REF!,A46,#REF!)</f>
        <v>#REF!</v>
      </c>
      <c r="M46" s="105" t="e">
        <f>SUMIF(#REF!,A46,#REF!)</f>
        <v>#REF!</v>
      </c>
      <c r="N46" s="105" t="e">
        <f>SUMIF(#REF!,A46,#REF!)</f>
        <v>#REF!</v>
      </c>
      <c r="O46" s="105" t="e">
        <f>SUMIF(#REF!,A46,#REF!)</f>
        <v>#REF!</v>
      </c>
      <c r="P46" s="105" t="e">
        <f>SUMIF(#REF!,A46,#REF!)</f>
        <v>#REF!</v>
      </c>
      <c r="Q46" s="105" t="e">
        <f>SUMIF(#REF!,A46,#REF!)</f>
        <v>#REF!</v>
      </c>
      <c r="R46" s="105" t="e">
        <f>SUMIF(#REF!,A46,#REF!)</f>
        <v>#REF!</v>
      </c>
      <c r="S46" s="105" t="e">
        <f>SUMIF(#REF!,A46,#REF!)</f>
        <v>#REF!</v>
      </c>
      <c r="T46" s="105" t="e">
        <f>SUMIF(#REF!,A46,#REF!)</f>
        <v>#REF!</v>
      </c>
      <c r="U46" s="105" t="e">
        <f>SUMIF(#REF!,A46,#REF!)</f>
        <v>#REF!</v>
      </c>
      <c r="V46" s="105" t="e">
        <f t="shared" si="5"/>
        <v>#REF!</v>
      </c>
      <c r="W46" s="105"/>
      <c r="X46" s="105"/>
      <c r="Y46" s="105" t="e">
        <f t="shared" si="6"/>
        <v>#REF!</v>
      </c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</row>
    <row r="47" spans="1:68">
      <c r="A47" s="103" t="s">
        <v>56</v>
      </c>
      <c r="B47" s="103" t="s">
        <v>368</v>
      </c>
      <c r="C47" s="105" t="e">
        <f>SUMIF(#REF!,A47,#REF!)</f>
        <v>#REF!</v>
      </c>
      <c r="D47" s="105" t="e">
        <f>SUMIF(#REF!,A47,#REF!)</f>
        <v>#REF!</v>
      </c>
      <c r="E47" s="105" t="e">
        <f>SUMIF(#REF!,A47,#REF!)</f>
        <v>#REF!</v>
      </c>
      <c r="F47" s="105" t="e">
        <f>SUMIF(#REF!,A47,#REF!)</f>
        <v>#REF!</v>
      </c>
      <c r="G47" s="105" t="e">
        <f>SUMIF(#REF!,A47,#REF!)</f>
        <v>#REF!</v>
      </c>
      <c r="H47" s="105" t="e">
        <f>SUMIF(#REF!,A47,#REF!)</f>
        <v>#REF!</v>
      </c>
      <c r="I47" s="105" t="e">
        <f>SUMIF(#REF!,A47,#REF!)</f>
        <v>#REF!</v>
      </c>
      <c r="J47" s="105" t="e">
        <f>SUMIF(#REF!,A47,#REF!)</f>
        <v>#REF!</v>
      </c>
      <c r="K47" s="105" t="e">
        <f>SUMIF(#REF!,A47,#REF!)</f>
        <v>#REF!</v>
      </c>
      <c r="L47" s="105" t="e">
        <f>SUMIF(#REF!,A47,#REF!)</f>
        <v>#REF!</v>
      </c>
      <c r="M47" s="105" t="e">
        <f>SUMIF(#REF!,A47,#REF!)</f>
        <v>#REF!</v>
      </c>
      <c r="N47" s="105" t="e">
        <f>SUMIF(#REF!,A47,#REF!)</f>
        <v>#REF!</v>
      </c>
      <c r="O47" s="105" t="e">
        <f>SUMIF(#REF!,A47,#REF!)</f>
        <v>#REF!</v>
      </c>
      <c r="P47" s="105" t="e">
        <f>SUMIF(#REF!,A47,#REF!)</f>
        <v>#REF!</v>
      </c>
      <c r="Q47" s="105" t="e">
        <f>SUMIF(#REF!,A47,#REF!)</f>
        <v>#REF!</v>
      </c>
      <c r="R47" s="105" t="e">
        <f>SUMIF(#REF!,A47,#REF!)</f>
        <v>#REF!</v>
      </c>
      <c r="S47" s="105" t="e">
        <f>SUMIF(#REF!,A47,#REF!)</f>
        <v>#REF!</v>
      </c>
      <c r="T47" s="105" t="e">
        <f>SUMIF(#REF!,A47,#REF!)</f>
        <v>#REF!</v>
      </c>
      <c r="U47" s="105" t="e">
        <f>SUMIF(#REF!,A47,#REF!)</f>
        <v>#REF!</v>
      </c>
      <c r="V47" s="105" t="e">
        <f t="shared" si="5"/>
        <v>#REF!</v>
      </c>
      <c r="W47" s="105"/>
      <c r="X47" s="105"/>
      <c r="Y47" s="105" t="e">
        <f t="shared" si="6"/>
        <v>#REF!</v>
      </c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</row>
    <row r="48" spans="1:68">
      <c r="A48" s="103" t="s">
        <v>54</v>
      </c>
      <c r="B48" s="103" t="s">
        <v>368</v>
      </c>
      <c r="C48" s="105" t="e">
        <f>SUMIF(#REF!,A48,#REF!)</f>
        <v>#REF!</v>
      </c>
      <c r="D48" s="105" t="e">
        <f>SUMIF(#REF!,A48,#REF!)</f>
        <v>#REF!</v>
      </c>
      <c r="E48" s="105" t="e">
        <f>SUMIF(#REF!,A48,#REF!)</f>
        <v>#REF!</v>
      </c>
      <c r="F48" s="105" t="e">
        <f>SUMIF(#REF!,A48,#REF!)</f>
        <v>#REF!</v>
      </c>
      <c r="G48" s="105" t="e">
        <f>SUMIF(#REF!,A48,#REF!)</f>
        <v>#REF!</v>
      </c>
      <c r="H48" s="105" t="e">
        <f>SUMIF(#REF!,A48,#REF!)</f>
        <v>#REF!</v>
      </c>
      <c r="I48" s="105" t="e">
        <f>SUMIF(#REF!,A48,#REF!)</f>
        <v>#REF!</v>
      </c>
      <c r="J48" s="105" t="e">
        <f>SUMIF(#REF!,A48,#REF!)</f>
        <v>#REF!</v>
      </c>
      <c r="K48" s="105" t="e">
        <f>SUMIF(#REF!,A48,#REF!)</f>
        <v>#REF!</v>
      </c>
      <c r="L48" s="105" t="e">
        <f>SUMIF(#REF!,A48,#REF!)</f>
        <v>#REF!</v>
      </c>
      <c r="M48" s="105" t="e">
        <f>SUMIF(#REF!,A48,#REF!)</f>
        <v>#REF!</v>
      </c>
      <c r="N48" s="105" t="e">
        <f>SUMIF(#REF!,A48,#REF!)</f>
        <v>#REF!</v>
      </c>
      <c r="O48" s="105" t="e">
        <f>SUMIF(#REF!,A48,#REF!)</f>
        <v>#REF!</v>
      </c>
      <c r="P48" s="105" t="e">
        <f>SUMIF(#REF!,A48,#REF!)</f>
        <v>#REF!</v>
      </c>
      <c r="Q48" s="105" t="e">
        <f>SUMIF(#REF!,A48,#REF!)</f>
        <v>#REF!</v>
      </c>
      <c r="R48" s="105" t="e">
        <f>SUMIF(#REF!,A48,#REF!)</f>
        <v>#REF!</v>
      </c>
      <c r="S48" s="105" t="e">
        <f>SUMIF(#REF!,A48,#REF!)</f>
        <v>#REF!</v>
      </c>
      <c r="T48" s="105" t="e">
        <f>SUMIF(#REF!,A48,#REF!)</f>
        <v>#REF!</v>
      </c>
      <c r="U48" s="105" t="e">
        <f>SUMIF(#REF!,A48,#REF!)</f>
        <v>#REF!</v>
      </c>
      <c r="V48" s="105" t="e">
        <f t="shared" si="5"/>
        <v>#REF!</v>
      </c>
      <c r="W48" s="105"/>
      <c r="X48" s="105"/>
      <c r="Y48" s="105" t="e">
        <f t="shared" si="6"/>
        <v>#REF!</v>
      </c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</row>
    <row r="49" spans="1:68">
      <c r="A49" s="108"/>
      <c r="B49" s="108" t="s">
        <v>302</v>
      </c>
      <c r="C49" s="105" t="e">
        <f>SUMIF(#REF!,A49,#REF!)</f>
        <v>#REF!</v>
      </c>
      <c r="D49" s="105" t="e">
        <f>SUMIF(#REF!,A49,#REF!)</f>
        <v>#REF!</v>
      </c>
      <c r="E49" s="105" t="e">
        <f>SUMIF(#REF!,A49,#REF!)</f>
        <v>#REF!</v>
      </c>
      <c r="F49" s="105" t="e">
        <f>SUMIF(#REF!,A49,#REF!)</f>
        <v>#REF!</v>
      </c>
      <c r="G49" s="105" t="e">
        <f>SUMIF(#REF!,A49,#REF!)</f>
        <v>#REF!</v>
      </c>
      <c r="H49" s="105" t="e">
        <f>SUMIF(#REF!,A49,#REF!)</f>
        <v>#REF!</v>
      </c>
      <c r="I49" s="105" t="e">
        <f>SUMIF(#REF!,A49,#REF!)</f>
        <v>#REF!</v>
      </c>
      <c r="J49" s="105" t="e">
        <f>SUMIF(#REF!,A49,#REF!)</f>
        <v>#REF!</v>
      </c>
      <c r="K49" s="105" t="e">
        <f>SUMIF(#REF!,A49,#REF!)</f>
        <v>#REF!</v>
      </c>
      <c r="L49" s="105" t="e">
        <f>SUMIF(#REF!,A49,#REF!)</f>
        <v>#REF!</v>
      </c>
      <c r="M49" s="105" t="e">
        <f>SUMIF(#REF!,A49,#REF!)</f>
        <v>#REF!</v>
      </c>
      <c r="N49" s="105" t="e">
        <f>SUMIF(#REF!,A49,#REF!)</f>
        <v>#REF!</v>
      </c>
      <c r="O49" s="105" t="e">
        <f>SUMIF(#REF!,A49,#REF!)</f>
        <v>#REF!</v>
      </c>
      <c r="P49" s="105" t="e">
        <f>SUMIF(#REF!,A49,#REF!)</f>
        <v>#REF!</v>
      </c>
      <c r="Q49" s="105" t="e">
        <f>SUMIF(#REF!,A49,#REF!)</f>
        <v>#REF!</v>
      </c>
      <c r="R49" s="105" t="e">
        <f>SUMIF(#REF!,A49,#REF!)</f>
        <v>#REF!</v>
      </c>
      <c r="S49" s="105" t="e">
        <f>SUMIF(#REF!,A49,#REF!)</f>
        <v>#REF!</v>
      </c>
      <c r="T49" s="105" t="e">
        <f>SUMIF(#REF!,A49,#REF!)</f>
        <v>#REF!</v>
      </c>
      <c r="U49" s="105" t="e">
        <f>SUMIF(#REF!,A49,#REF!)</f>
        <v>#REF!</v>
      </c>
      <c r="V49" s="105" t="e">
        <f t="shared" si="5"/>
        <v>#REF!</v>
      </c>
      <c r="W49" s="105"/>
      <c r="X49" s="105"/>
      <c r="Y49" s="105" t="e">
        <f t="shared" si="6"/>
        <v>#REF!</v>
      </c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</row>
    <row r="50" spans="1:68">
      <c r="A50" s="108"/>
      <c r="B50" s="108" t="s">
        <v>302</v>
      </c>
      <c r="C50" s="105" t="e">
        <f>SUMIF(#REF!,A50,#REF!)</f>
        <v>#REF!</v>
      </c>
      <c r="D50" s="105" t="e">
        <f>SUMIF(#REF!,A50,#REF!)</f>
        <v>#REF!</v>
      </c>
      <c r="E50" s="105" t="e">
        <f>SUMIF(#REF!,A50,#REF!)</f>
        <v>#REF!</v>
      </c>
      <c r="F50" s="105" t="e">
        <f>SUMIF(#REF!,A50,#REF!)</f>
        <v>#REF!</v>
      </c>
      <c r="G50" s="105" t="e">
        <f>SUMIF(#REF!,A50,#REF!)</f>
        <v>#REF!</v>
      </c>
      <c r="H50" s="105" t="e">
        <f>SUMIF(#REF!,A50,#REF!)</f>
        <v>#REF!</v>
      </c>
      <c r="I50" s="105" t="e">
        <f>SUMIF(#REF!,A50,#REF!)</f>
        <v>#REF!</v>
      </c>
      <c r="J50" s="105" t="e">
        <f>SUMIF(#REF!,A50,#REF!)</f>
        <v>#REF!</v>
      </c>
      <c r="K50" s="105" t="e">
        <f>SUMIF(#REF!,A50,#REF!)</f>
        <v>#REF!</v>
      </c>
      <c r="L50" s="105" t="e">
        <f>SUMIF(#REF!,A50,#REF!)</f>
        <v>#REF!</v>
      </c>
      <c r="M50" s="105" t="e">
        <f>SUMIF(#REF!,A50,#REF!)</f>
        <v>#REF!</v>
      </c>
      <c r="N50" s="105" t="e">
        <f>SUMIF(#REF!,A50,#REF!)</f>
        <v>#REF!</v>
      </c>
      <c r="O50" s="105" t="e">
        <f>SUMIF(#REF!,A50,#REF!)</f>
        <v>#REF!</v>
      </c>
      <c r="P50" s="105" t="e">
        <f>SUMIF(#REF!,A50,#REF!)</f>
        <v>#REF!</v>
      </c>
      <c r="Q50" s="105" t="e">
        <f>SUMIF(#REF!,A50,#REF!)</f>
        <v>#REF!</v>
      </c>
      <c r="R50" s="105" t="e">
        <f>SUMIF(#REF!,A50,#REF!)</f>
        <v>#REF!</v>
      </c>
      <c r="S50" s="105" t="e">
        <f>SUMIF(#REF!,A50,#REF!)</f>
        <v>#REF!</v>
      </c>
      <c r="T50" s="105" t="e">
        <f>SUMIF(#REF!,A50,#REF!)</f>
        <v>#REF!</v>
      </c>
      <c r="U50" s="105" t="e">
        <f>SUMIF(#REF!,A50,#REF!)</f>
        <v>#REF!</v>
      </c>
      <c r="V50" s="105" t="e">
        <f t="shared" si="5"/>
        <v>#REF!</v>
      </c>
      <c r="W50" s="105"/>
      <c r="X50" s="105"/>
      <c r="Y50" s="105" t="e">
        <f t="shared" si="6"/>
        <v>#REF!</v>
      </c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</row>
    <row r="51" spans="1:68">
      <c r="A51" s="108"/>
      <c r="B51" s="108" t="s">
        <v>302</v>
      </c>
      <c r="C51" s="105" t="e">
        <f>SUMIF(#REF!,A51,#REF!)</f>
        <v>#REF!</v>
      </c>
      <c r="D51" s="105" t="e">
        <f>SUMIF(#REF!,A51,#REF!)</f>
        <v>#REF!</v>
      </c>
      <c r="E51" s="105" t="e">
        <f>SUMIF(#REF!,A51,#REF!)</f>
        <v>#REF!</v>
      </c>
      <c r="F51" s="105" t="e">
        <f>SUMIF(#REF!,A51,#REF!)</f>
        <v>#REF!</v>
      </c>
      <c r="G51" s="105" t="e">
        <f>SUMIF(#REF!,A51,#REF!)</f>
        <v>#REF!</v>
      </c>
      <c r="H51" s="105" t="e">
        <f>SUMIF(#REF!,A51,#REF!)</f>
        <v>#REF!</v>
      </c>
      <c r="I51" s="105" t="e">
        <f>SUMIF(#REF!,A51,#REF!)</f>
        <v>#REF!</v>
      </c>
      <c r="J51" s="105" t="e">
        <f>SUMIF(#REF!,A51,#REF!)</f>
        <v>#REF!</v>
      </c>
      <c r="K51" s="105" t="e">
        <f>SUMIF(#REF!,A51,#REF!)</f>
        <v>#REF!</v>
      </c>
      <c r="L51" s="105" t="e">
        <f>SUMIF(#REF!,A51,#REF!)</f>
        <v>#REF!</v>
      </c>
      <c r="M51" s="105" t="e">
        <f>SUMIF(#REF!,A51,#REF!)</f>
        <v>#REF!</v>
      </c>
      <c r="N51" s="105" t="e">
        <f>SUMIF(#REF!,A51,#REF!)</f>
        <v>#REF!</v>
      </c>
      <c r="O51" s="105" t="e">
        <f>SUMIF(#REF!,A51,#REF!)</f>
        <v>#REF!</v>
      </c>
      <c r="P51" s="105" t="e">
        <f>SUMIF(#REF!,A51,#REF!)</f>
        <v>#REF!</v>
      </c>
      <c r="Q51" s="105" t="e">
        <f>SUMIF(#REF!,A51,#REF!)</f>
        <v>#REF!</v>
      </c>
      <c r="R51" s="105" t="e">
        <f>SUMIF(#REF!,A51,#REF!)</f>
        <v>#REF!</v>
      </c>
      <c r="S51" s="105" t="e">
        <f>SUMIF(#REF!,A51,#REF!)</f>
        <v>#REF!</v>
      </c>
      <c r="T51" s="105" t="e">
        <f>SUMIF(#REF!,A51,#REF!)</f>
        <v>#REF!</v>
      </c>
      <c r="U51" s="105" t="e">
        <f>SUMIF(#REF!,A51,#REF!)</f>
        <v>#REF!</v>
      </c>
      <c r="V51" s="105" t="e">
        <f t="shared" si="5"/>
        <v>#REF!</v>
      </c>
      <c r="W51" s="105"/>
      <c r="X51" s="105"/>
      <c r="Y51" s="105" t="e">
        <f t="shared" si="6"/>
        <v>#REF!</v>
      </c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2"/>
      <c r="BP51" s="102"/>
    </row>
    <row r="52" spans="1:68">
      <c r="A52" s="108"/>
      <c r="B52" s="108" t="s">
        <v>302</v>
      </c>
      <c r="C52" s="105" t="e">
        <f>SUMIF(#REF!,A52,#REF!)</f>
        <v>#REF!</v>
      </c>
      <c r="D52" s="105" t="e">
        <f>SUMIF(#REF!,A52,#REF!)</f>
        <v>#REF!</v>
      </c>
      <c r="E52" s="105" t="e">
        <f>SUMIF(#REF!,A52,#REF!)</f>
        <v>#REF!</v>
      </c>
      <c r="F52" s="105" t="e">
        <f>SUMIF(#REF!,A52,#REF!)</f>
        <v>#REF!</v>
      </c>
      <c r="G52" s="105" t="e">
        <f>SUMIF(#REF!,A52,#REF!)</f>
        <v>#REF!</v>
      </c>
      <c r="H52" s="105" t="e">
        <f>SUMIF(#REF!,A52,#REF!)</f>
        <v>#REF!</v>
      </c>
      <c r="I52" s="105" t="e">
        <f>SUMIF(#REF!,A52,#REF!)</f>
        <v>#REF!</v>
      </c>
      <c r="J52" s="105" t="e">
        <f>SUMIF(#REF!,A52,#REF!)</f>
        <v>#REF!</v>
      </c>
      <c r="K52" s="105" t="e">
        <f>SUMIF(#REF!,A52,#REF!)</f>
        <v>#REF!</v>
      </c>
      <c r="L52" s="105" t="e">
        <f>SUMIF(#REF!,A52,#REF!)</f>
        <v>#REF!</v>
      </c>
      <c r="M52" s="105" t="e">
        <f>SUMIF(#REF!,A52,#REF!)</f>
        <v>#REF!</v>
      </c>
      <c r="N52" s="105" t="e">
        <f>SUMIF(#REF!,A52,#REF!)</f>
        <v>#REF!</v>
      </c>
      <c r="O52" s="105" t="e">
        <f>SUMIF(#REF!,A52,#REF!)</f>
        <v>#REF!</v>
      </c>
      <c r="P52" s="105" t="e">
        <f>SUMIF(#REF!,A52,#REF!)</f>
        <v>#REF!</v>
      </c>
      <c r="Q52" s="105" t="e">
        <f>SUMIF(#REF!,A52,#REF!)</f>
        <v>#REF!</v>
      </c>
      <c r="R52" s="105" t="e">
        <f>SUMIF(#REF!,A52,#REF!)</f>
        <v>#REF!</v>
      </c>
      <c r="S52" s="105" t="e">
        <f>SUMIF(#REF!,A52,#REF!)</f>
        <v>#REF!</v>
      </c>
      <c r="T52" s="105" t="e">
        <f>SUMIF(#REF!,A52,#REF!)</f>
        <v>#REF!</v>
      </c>
      <c r="U52" s="105" t="e">
        <f>SUMIF(#REF!,A52,#REF!)</f>
        <v>#REF!</v>
      </c>
      <c r="V52" s="105" t="e">
        <f t="shared" si="5"/>
        <v>#REF!</v>
      </c>
      <c r="W52" s="105"/>
      <c r="X52" s="105"/>
      <c r="Y52" s="105" t="e">
        <f t="shared" si="6"/>
        <v>#REF!</v>
      </c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2"/>
      <c r="BP52" s="102"/>
    </row>
    <row r="53" spans="1:68">
      <c r="A53" s="108"/>
      <c r="B53" s="108" t="s">
        <v>302</v>
      </c>
      <c r="C53" s="105" t="e">
        <f>SUMIF(#REF!,A53,#REF!)</f>
        <v>#REF!</v>
      </c>
      <c r="D53" s="105" t="e">
        <f>SUMIF(#REF!,A53,#REF!)</f>
        <v>#REF!</v>
      </c>
      <c r="E53" s="105" t="e">
        <f>SUMIF(#REF!,A53,#REF!)</f>
        <v>#REF!</v>
      </c>
      <c r="F53" s="105" t="e">
        <f>SUMIF(#REF!,A53,#REF!)</f>
        <v>#REF!</v>
      </c>
      <c r="G53" s="105" t="e">
        <f>SUMIF(#REF!,A53,#REF!)</f>
        <v>#REF!</v>
      </c>
      <c r="H53" s="105" t="e">
        <f>SUMIF(#REF!,A53,#REF!)</f>
        <v>#REF!</v>
      </c>
      <c r="I53" s="105" t="e">
        <f>SUMIF(#REF!,A53,#REF!)</f>
        <v>#REF!</v>
      </c>
      <c r="J53" s="105" t="e">
        <f>SUMIF(#REF!,A53,#REF!)</f>
        <v>#REF!</v>
      </c>
      <c r="K53" s="105" t="e">
        <f>SUMIF(#REF!,A53,#REF!)</f>
        <v>#REF!</v>
      </c>
      <c r="L53" s="105" t="e">
        <f>SUMIF(#REF!,A53,#REF!)</f>
        <v>#REF!</v>
      </c>
      <c r="M53" s="105" t="e">
        <f>SUMIF(#REF!,A53,#REF!)</f>
        <v>#REF!</v>
      </c>
      <c r="N53" s="105" t="e">
        <f>SUMIF(#REF!,A53,#REF!)</f>
        <v>#REF!</v>
      </c>
      <c r="O53" s="105" t="e">
        <f>SUMIF(#REF!,A53,#REF!)</f>
        <v>#REF!</v>
      </c>
      <c r="P53" s="105" t="e">
        <f>SUMIF(#REF!,A53,#REF!)</f>
        <v>#REF!</v>
      </c>
      <c r="Q53" s="105" t="e">
        <f>SUMIF(#REF!,A53,#REF!)</f>
        <v>#REF!</v>
      </c>
      <c r="R53" s="105" t="e">
        <f>SUMIF(#REF!,A53,#REF!)</f>
        <v>#REF!</v>
      </c>
      <c r="S53" s="105" t="e">
        <f>SUMIF(#REF!,A53,#REF!)</f>
        <v>#REF!</v>
      </c>
      <c r="T53" s="105" t="e">
        <f>SUMIF(#REF!,A53,#REF!)</f>
        <v>#REF!</v>
      </c>
      <c r="U53" s="105" t="e">
        <f>SUMIF(#REF!,A53,#REF!)</f>
        <v>#REF!</v>
      </c>
      <c r="V53" s="105" t="e">
        <f t="shared" si="5"/>
        <v>#REF!</v>
      </c>
      <c r="W53" s="105"/>
      <c r="X53" s="105"/>
      <c r="Y53" s="105" t="e">
        <f t="shared" si="6"/>
        <v>#REF!</v>
      </c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2"/>
      <c r="BP53" s="102"/>
    </row>
    <row r="54" spans="1:68">
      <c r="A54" s="108"/>
      <c r="B54" s="108" t="s">
        <v>302</v>
      </c>
      <c r="C54" s="105" t="e">
        <f>SUMIF(#REF!,A54,#REF!)</f>
        <v>#REF!</v>
      </c>
      <c r="D54" s="105" t="e">
        <f>SUMIF(#REF!,A54,#REF!)</f>
        <v>#REF!</v>
      </c>
      <c r="E54" s="105" t="e">
        <f>SUMIF(#REF!,A54,#REF!)</f>
        <v>#REF!</v>
      </c>
      <c r="F54" s="105" t="e">
        <f>SUMIF(#REF!,A54,#REF!)</f>
        <v>#REF!</v>
      </c>
      <c r="G54" s="105" t="e">
        <f>SUMIF(#REF!,A54,#REF!)</f>
        <v>#REF!</v>
      </c>
      <c r="H54" s="105" t="e">
        <f>SUMIF(#REF!,A54,#REF!)</f>
        <v>#REF!</v>
      </c>
      <c r="I54" s="105" t="e">
        <f>SUMIF(#REF!,A54,#REF!)</f>
        <v>#REF!</v>
      </c>
      <c r="J54" s="105" t="e">
        <f>SUMIF(#REF!,A54,#REF!)</f>
        <v>#REF!</v>
      </c>
      <c r="K54" s="105" t="e">
        <f>SUMIF(#REF!,A54,#REF!)</f>
        <v>#REF!</v>
      </c>
      <c r="L54" s="105" t="e">
        <f>SUMIF(#REF!,A54,#REF!)</f>
        <v>#REF!</v>
      </c>
      <c r="M54" s="105" t="e">
        <f>SUMIF(#REF!,A54,#REF!)</f>
        <v>#REF!</v>
      </c>
      <c r="N54" s="105" t="e">
        <f>SUMIF(#REF!,A54,#REF!)</f>
        <v>#REF!</v>
      </c>
      <c r="O54" s="105" t="e">
        <f>SUMIF(#REF!,A54,#REF!)</f>
        <v>#REF!</v>
      </c>
      <c r="P54" s="105" t="e">
        <f>SUMIF(#REF!,A54,#REF!)</f>
        <v>#REF!</v>
      </c>
      <c r="Q54" s="105" t="e">
        <f>SUMIF(#REF!,A54,#REF!)</f>
        <v>#REF!</v>
      </c>
      <c r="R54" s="105" t="e">
        <f>SUMIF(#REF!,A54,#REF!)</f>
        <v>#REF!</v>
      </c>
      <c r="S54" s="105" t="e">
        <f>SUMIF(#REF!,A54,#REF!)</f>
        <v>#REF!</v>
      </c>
      <c r="T54" s="105" t="e">
        <f>SUMIF(#REF!,A54,#REF!)</f>
        <v>#REF!</v>
      </c>
      <c r="U54" s="105" t="e">
        <f>SUMIF(#REF!,A54,#REF!)</f>
        <v>#REF!</v>
      </c>
      <c r="V54" s="105" t="e">
        <f t="shared" si="5"/>
        <v>#REF!</v>
      </c>
      <c r="W54" s="105"/>
      <c r="X54" s="105"/>
      <c r="Y54" s="105" t="e">
        <f t="shared" si="6"/>
        <v>#REF!</v>
      </c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</row>
    <row r="55" spans="1:68">
      <c r="A55" s="108"/>
      <c r="B55" s="108" t="s">
        <v>302</v>
      </c>
      <c r="C55" s="105" t="e">
        <f>SUMIF(#REF!,A55,#REF!)</f>
        <v>#REF!</v>
      </c>
      <c r="D55" s="105" t="e">
        <f>SUMIF(#REF!,A55,#REF!)</f>
        <v>#REF!</v>
      </c>
      <c r="E55" s="105" t="e">
        <f>SUMIF(#REF!,A55,#REF!)</f>
        <v>#REF!</v>
      </c>
      <c r="F55" s="105" t="e">
        <f>SUMIF(#REF!,A55,#REF!)</f>
        <v>#REF!</v>
      </c>
      <c r="G55" s="105" t="e">
        <f>SUMIF(#REF!,A55,#REF!)</f>
        <v>#REF!</v>
      </c>
      <c r="H55" s="105" t="e">
        <f>SUMIF(#REF!,A55,#REF!)</f>
        <v>#REF!</v>
      </c>
      <c r="I55" s="105" t="e">
        <f>SUMIF(#REF!,A55,#REF!)</f>
        <v>#REF!</v>
      </c>
      <c r="J55" s="105" t="e">
        <f>SUMIF(#REF!,A55,#REF!)</f>
        <v>#REF!</v>
      </c>
      <c r="K55" s="105" t="e">
        <f>SUMIF(#REF!,A55,#REF!)</f>
        <v>#REF!</v>
      </c>
      <c r="L55" s="105" t="e">
        <f>SUMIF(#REF!,A55,#REF!)</f>
        <v>#REF!</v>
      </c>
      <c r="M55" s="105" t="e">
        <f>SUMIF(#REF!,A55,#REF!)</f>
        <v>#REF!</v>
      </c>
      <c r="N55" s="105" t="e">
        <f>SUMIF(#REF!,A55,#REF!)</f>
        <v>#REF!</v>
      </c>
      <c r="O55" s="105" t="e">
        <f>SUMIF(#REF!,A55,#REF!)</f>
        <v>#REF!</v>
      </c>
      <c r="P55" s="105" t="e">
        <f>SUMIF(#REF!,A55,#REF!)</f>
        <v>#REF!</v>
      </c>
      <c r="Q55" s="105" t="e">
        <f>SUMIF(#REF!,A55,#REF!)</f>
        <v>#REF!</v>
      </c>
      <c r="R55" s="105" t="e">
        <f>SUMIF(#REF!,A55,#REF!)</f>
        <v>#REF!</v>
      </c>
      <c r="S55" s="105" t="e">
        <f>SUMIF(#REF!,A55,#REF!)</f>
        <v>#REF!</v>
      </c>
      <c r="T55" s="105" t="e">
        <f>SUMIF(#REF!,A55,#REF!)</f>
        <v>#REF!</v>
      </c>
      <c r="U55" s="105" t="e">
        <f>SUMIF(#REF!,A55,#REF!)</f>
        <v>#REF!</v>
      </c>
      <c r="V55" s="105" t="e">
        <f t="shared" si="5"/>
        <v>#REF!</v>
      </c>
      <c r="W55" s="105"/>
      <c r="X55" s="105"/>
      <c r="Y55" s="105" t="e">
        <f t="shared" si="6"/>
        <v>#REF!</v>
      </c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</row>
    <row r="56" spans="1:68">
      <c r="A56" s="108"/>
      <c r="B56" s="108" t="s">
        <v>302</v>
      </c>
      <c r="C56" s="105" t="e">
        <f>SUMIF(#REF!,A56,#REF!)</f>
        <v>#REF!</v>
      </c>
      <c r="D56" s="105" t="e">
        <f>SUMIF(#REF!,A56,#REF!)</f>
        <v>#REF!</v>
      </c>
      <c r="E56" s="105" t="e">
        <f>SUMIF(#REF!,A56,#REF!)</f>
        <v>#REF!</v>
      </c>
      <c r="F56" s="105" t="e">
        <f>SUMIF(#REF!,A56,#REF!)</f>
        <v>#REF!</v>
      </c>
      <c r="G56" s="105" t="e">
        <f>SUMIF(#REF!,A56,#REF!)</f>
        <v>#REF!</v>
      </c>
      <c r="H56" s="105" t="e">
        <f>SUMIF(#REF!,A56,#REF!)</f>
        <v>#REF!</v>
      </c>
      <c r="I56" s="105" t="e">
        <f>SUMIF(#REF!,A56,#REF!)</f>
        <v>#REF!</v>
      </c>
      <c r="J56" s="105" t="e">
        <f>SUMIF(#REF!,A56,#REF!)</f>
        <v>#REF!</v>
      </c>
      <c r="K56" s="105" t="e">
        <f>SUMIF(#REF!,A56,#REF!)</f>
        <v>#REF!</v>
      </c>
      <c r="L56" s="105" t="e">
        <f>SUMIF(#REF!,A56,#REF!)</f>
        <v>#REF!</v>
      </c>
      <c r="M56" s="105" t="e">
        <f>SUMIF(#REF!,A56,#REF!)</f>
        <v>#REF!</v>
      </c>
      <c r="N56" s="105" t="e">
        <f>SUMIF(#REF!,A56,#REF!)</f>
        <v>#REF!</v>
      </c>
      <c r="O56" s="105" t="e">
        <f>SUMIF(#REF!,A56,#REF!)</f>
        <v>#REF!</v>
      </c>
      <c r="P56" s="105" t="e">
        <f>SUMIF(#REF!,A56,#REF!)</f>
        <v>#REF!</v>
      </c>
      <c r="Q56" s="105" t="e">
        <f>SUMIF(#REF!,A56,#REF!)</f>
        <v>#REF!</v>
      </c>
      <c r="R56" s="105" t="e">
        <f>SUMIF(#REF!,A56,#REF!)</f>
        <v>#REF!</v>
      </c>
      <c r="S56" s="105" t="e">
        <f>SUMIF(#REF!,A56,#REF!)</f>
        <v>#REF!</v>
      </c>
      <c r="T56" s="105" t="e">
        <f>SUMIF(#REF!,A56,#REF!)</f>
        <v>#REF!</v>
      </c>
      <c r="U56" s="105" t="e">
        <f>SUMIF(#REF!,A56,#REF!)</f>
        <v>#REF!</v>
      </c>
      <c r="V56" s="105" t="e">
        <f t="shared" si="5"/>
        <v>#REF!</v>
      </c>
      <c r="W56" s="105"/>
      <c r="X56" s="105"/>
      <c r="Y56" s="105" t="e">
        <f t="shared" si="6"/>
        <v>#REF!</v>
      </c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</row>
    <row r="57" spans="1:68">
      <c r="A57" s="108"/>
      <c r="B57" s="108" t="s">
        <v>302</v>
      </c>
      <c r="C57" s="105" t="e">
        <f>SUMIF(#REF!,A57,#REF!)</f>
        <v>#REF!</v>
      </c>
      <c r="D57" s="105" t="e">
        <f>SUMIF(#REF!,A57,#REF!)</f>
        <v>#REF!</v>
      </c>
      <c r="E57" s="105" t="e">
        <f>SUMIF(#REF!,A57,#REF!)</f>
        <v>#REF!</v>
      </c>
      <c r="F57" s="105" t="e">
        <f>SUMIF(#REF!,A57,#REF!)</f>
        <v>#REF!</v>
      </c>
      <c r="G57" s="105" t="e">
        <f>SUMIF(#REF!,A57,#REF!)</f>
        <v>#REF!</v>
      </c>
      <c r="H57" s="105" t="e">
        <f>SUMIF(#REF!,A57,#REF!)</f>
        <v>#REF!</v>
      </c>
      <c r="I57" s="105" t="e">
        <f>SUMIF(#REF!,A57,#REF!)</f>
        <v>#REF!</v>
      </c>
      <c r="J57" s="105" t="e">
        <f>SUMIF(#REF!,A57,#REF!)</f>
        <v>#REF!</v>
      </c>
      <c r="K57" s="105" t="e">
        <f>SUMIF(#REF!,A57,#REF!)</f>
        <v>#REF!</v>
      </c>
      <c r="L57" s="105" t="e">
        <f>SUMIF(#REF!,A57,#REF!)</f>
        <v>#REF!</v>
      </c>
      <c r="M57" s="105" t="e">
        <f>SUMIF(#REF!,A57,#REF!)</f>
        <v>#REF!</v>
      </c>
      <c r="N57" s="105" t="e">
        <f>SUMIF(#REF!,A57,#REF!)</f>
        <v>#REF!</v>
      </c>
      <c r="O57" s="105" t="e">
        <f>SUMIF(#REF!,A57,#REF!)</f>
        <v>#REF!</v>
      </c>
      <c r="P57" s="105" t="e">
        <f>SUMIF(#REF!,A57,#REF!)</f>
        <v>#REF!</v>
      </c>
      <c r="Q57" s="105" t="e">
        <f>SUMIF(#REF!,A57,#REF!)</f>
        <v>#REF!</v>
      </c>
      <c r="R57" s="105" t="e">
        <f>SUMIF(#REF!,A57,#REF!)</f>
        <v>#REF!</v>
      </c>
      <c r="S57" s="105" t="e">
        <f>SUMIF(#REF!,A57,#REF!)</f>
        <v>#REF!</v>
      </c>
      <c r="T57" s="105" t="e">
        <f>SUMIF(#REF!,A57,#REF!)</f>
        <v>#REF!</v>
      </c>
      <c r="U57" s="105" t="e">
        <f>SUMIF(#REF!,A57,#REF!)</f>
        <v>#REF!</v>
      </c>
      <c r="V57" s="105" t="e">
        <f t="shared" si="5"/>
        <v>#REF!</v>
      </c>
      <c r="W57" s="105"/>
      <c r="X57" s="105"/>
      <c r="Y57" s="105" t="e">
        <f t="shared" si="6"/>
        <v>#REF!</v>
      </c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</row>
    <row r="58" spans="1:68">
      <c r="A58" s="103" t="s">
        <v>361</v>
      </c>
      <c r="B58" s="103"/>
      <c r="C58" s="105" t="e">
        <f t="shared" ref="C58:Y58" si="7">SUM(C3:C57)</f>
        <v>#REF!</v>
      </c>
      <c r="D58" s="105" t="e">
        <f t="shared" si="7"/>
        <v>#REF!</v>
      </c>
      <c r="E58" s="105" t="e">
        <f t="shared" si="7"/>
        <v>#REF!</v>
      </c>
      <c r="F58" s="105" t="e">
        <f t="shared" si="7"/>
        <v>#REF!</v>
      </c>
      <c r="G58" s="105" t="e">
        <f t="shared" si="7"/>
        <v>#REF!</v>
      </c>
      <c r="H58" s="105" t="e">
        <f t="shared" si="7"/>
        <v>#REF!</v>
      </c>
      <c r="I58" s="105" t="e">
        <f t="shared" si="7"/>
        <v>#REF!</v>
      </c>
      <c r="J58" s="105" t="e">
        <f t="shared" si="7"/>
        <v>#REF!</v>
      </c>
      <c r="K58" s="105" t="e">
        <f t="shared" si="7"/>
        <v>#REF!</v>
      </c>
      <c r="L58" s="105" t="e">
        <f t="shared" si="7"/>
        <v>#REF!</v>
      </c>
      <c r="M58" s="105" t="e">
        <f t="shared" si="7"/>
        <v>#REF!</v>
      </c>
      <c r="N58" s="105" t="e">
        <f t="shared" si="7"/>
        <v>#REF!</v>
      </c>
      <c r="O58" s="105" t="e">
        <f t="shared" si="7"/>
        <v>#REF!</v>
      </c>
      <c r="P58" s="105" t="e">
        <f t="shared" si="7"/>
        <v>#REF!</v>
      </c>
      <c r="Q58" s="105" t="e">
        <f t="shared" si="7"/>
        <v>#REF!</v>
      </c>
      <c r="R58" s="105" t="e">
        <f t="shared" si="7"/>
        <v>#REF!</v>
      </c>
      <c r="S58" s="105" t="e">
        <f t="shared" si="7"/>
        <v>#REF!</v>
      </c>
      <c r="T58" s="105" t="e">
        <f t="shared" si="7"/>
        <v>#REF!</v>
      </c>
      <c r="U58" s="105" t="e">
        <f t="shared" si="7"/>
        <v>#REF!</v>
      </c>
      <c r="V58" s="105" t="e">
        <f t="shared" si="7"/>
        <v>#REF!</v>
      </c>
      <c r="W58" s="105">
        <f t="shared" si="7"/>
        <v>0</v>
      </c>
      <c r="X58" s="105">
        <f t="shared" si="7"/>
        <v>0</v>
      </c>
      <c r="Y58" s="105" t="e">
        <f t="shared" si="7"/>
        <v>#REF!</v>
      </c>
      <c r="Z58" s="102" t="e">
        <f>Y58+Z69</f>
        <v>#REF!</v>
      </c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</row>
    <row r="59" spans="1:68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9"/>
      <c r="Y59" s="109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</row>
    <row r="60" spans="1:68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</row>
    <row r="61" spans="1:68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10"/>
      <c r="N61" s="109"/>
      <c r="O61" s="110"/>
      <c r="P61" s="110"/>
      <c r="Q61" s="111"/>
      <c r="R61" s="102"/>
      <c r="S61" s="102" t="s">
        <v>46</v>
      </c>
      <c r="T61" s="112" t="s">
        <v>61</v>
      </c>
      <c r="U61" s="110" t="s">
        <v>369</v>
      </c>
      <c r="V61" s="109" t="s">
        <v>370</v>
      </c>
      <c r="W61" s="102" t="s">
        <v>371</v>
      </c>
      <c r="X61" s="110" t="s">
        <v>15</v>
      </c>
      <c r="Y61" s="102" t="s">
        <v>66</v>
      </c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</row>
    <row r="62" spans="1:68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13" t="s">
        <v>342</v>
      </c>
      <c r="U62" s="114">
        <f>15965.41+1204.98+15811.64+80.94</f>
        <v>33062.97</v>
      </c>
      <c r="V62" s="114">
        <f>-4636.77+1565.67+2674.01+10.58</f>
        <v>-386.51000000000016</v>
      </c>
      <c r="W62" s="114"/>
      <c r="X62" s="114">
        <f>-2039.98+1051.4+2327.11+17.74</f>
        <v>1356.2700000000002</v>
      </c>
      <c r="Y62" s="103">
        <f>-2852.56+273.28+1089.13</f>
        <v>-1490.1499999999996</v>
      </c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</row>
    <row r="63" spans="1:68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13" t="s">
        <v>341</v>
      </c>
      <c r="U63" s="115">
        <f>20186.76+1600.62+1073.37</f>
        <v>22860.749999999996</v>
      </c>
      <c r="V63" s="114">
        <f>-2547.51+155.35+78</f>
        <v>-2314.1600000000003</v>
      </c>
      <c r="W63" s="114"/>
      <c r="X63" s="114">
        <f>6084.95+936.97+795.8</f>
        <v>7817.72</v>
      </c>
      <c r="Y63" s="103">
        <f>-614.09+1108.11+1171.67</f>
        <v>1665.69</v>
      </c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</row>
    <row r="64" spans="1:68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13" t="s">
        <v>340</v>
      </c>
      <c r="U64" s="109">
        <f>70686.38+2512.65+2853.59+2396.59+17972.22+827.54-600.32+28.71</f>
        <v>96677.359999999986</v>
      </c>
      <c r="V64" s="114">
        <f>-2039.89+63.44+994.87+6.55+842.95+138.76+713.63</f>
        <v>720.31</v>
      </c>
      <c r="W64" s="114"/>
      <c r="X64" s="114">
        <f>6390.36+423.56+9052.19+294.78+312.29+238.15+2.83</f>
        <v>16714.160000000003</v>
      </c>
      <c r="Y64" s="103">
        <f>8284.7+699.14+2129.53+14615.43+2015.04+3863.04+508.53</f>
        <v>32115.410000000003</v>
      </c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</row>
    <row r="65" spans="1:68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13" t="s">
        <v>325</v>
      </c>
      <c r="U65" s="115">
        <v>2833.41</v>
      </c>
      <c r="V65" s="116">
        <v>5255.48</v>
      </c>
      <c r="W65" s="116">
        <v>35.81</v>
      </c>
      <c r="X65" s="116">
        <v>696.54</v>
      </c>
      <c r="Y65" s="103">
        <v>115.4</v>
      </c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</row>
    <row r="66" spans="1:68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3" t="s">
        <v>197</v>
      </c>
      <c r="U66" s="115">
        <v>822.21</v>
      </c>
      <c r="V66" s="116">
        <v>121.43</v>
      </c>
      <c r="W66" s="116"/>
      <c r="X66" s="116">
        <v>57.73</v>
      </c>
      <c r="Y66" s="103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</row>
    <row r="67" spans="1:68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17" t="s">
        <v>357</v>
      </c>
      <c r="U67" s="103">
        <v>7.07</v>
      </c>
      <c r="V67" s="103">
        <v>1.27</v>
      </c>
      <c r="W67" s="103"/>
      <c r="X67" s="103"/>
      <c r="Y67" s="103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</row>
    <row r="68" spans="1:68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3" t="s">
        <v>0</v>
      </c>
      <c r="U68" s="103"/>
      <c r="V68" s="103"/>
      <c r="W68" s="103"/>
      <c r="X68" s="103"/>
      <c r="Y68" s="103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</row>
    <row r="69" spans="1:68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>
        <f t="shared" ref="U69:Y69" si="8">SUM(U62:U68)</f>
        <v>156263.76999999999</v>
      </c>
      <c r="V69" s="102">
        <f t="shared" si="8"/>
        <v>3397.8199999999988</v>
      </c>
      <c r="W69" s="102">
        <f t="shared" si="8"/>
        <v>35.81</v>
      </c>
      <c r="X69" s="102">
        <f t="shared" si="8"/>
        <v>26642.420000000002</v>
      </c>
      <c r="Y69" s="102">
        <f t="shared" si="8"/>
        <v>32406.350000000006</v>
      </c>
      <c r="Z69" s="102">
        <f>SUM(S69:Y69)</f>
        <v>218746.17</v>
      </c>
      <c r="AA69" s="102" t="e">
        <f>#REF!+#REF!+#REF!+#REF!+#REF!+#REF!+#REF!+#REF!+#REF!+#REF!+[1]MS类!J25+#REF!+#REF!+#REF!+#REF!+#REF!+#REF!+#REF!+#REF!+#REF!</f>
        <v>#REF!</v>
      </c>
      <c r="AB69" s="102" t="e">
        <f>AA69-Z69-W58</f>
        <v>#REF!</v>
      </c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</row>
    <row r="70" spans="1:68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</row>
    <row r="71" spans="1:68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 t="e">
        <f>#REF!+#REF!+#REF!+#REF!+#REF!+#REF!+#REF!+#REF!+#REF!+#REF!+#REF!+#REF!+#REF!+#REF!+#REF!+#REF!+#REF!+#REF!+#REF!</f>
        <v>#REF!</v>
      </c>
      <c r="V71" s="102" t="e">
        <f>#REF!+#REF!+#REF!+#REF!+#REF!+#REF!+#REF!+#REF!+#REF!+#REF!+#REF!+#REF!+#REF!+#REF!+#REF!+#REF!+#REF!+#REF!+#REF!</f>
        <v>#REF!</v>
      </c>
      <c r="W71" s="102" t="e">
        <f>#REF!+#REF!+#REF!+#REF!+#REF!+#REF!+#REF!+#REF!+#REF!+#REF!+#REF!+#REF!+#REF!+#REF!+#REF!+#REF!+#REF!+#REF!+#REF!</f>
        <v>#REF!</v>
      </c>
      <c r="X71" s="102" t="e">
        <f>#REF!+#REF!+#REF!+#REF!+#REF!+#REF!+#REF!+#REF!+#REF!+#REF!+#REF!+#REF!+#REF!+#REF!+#REF!+#REF!+#REF!+#REF!+#REF!</f>
        <v>#REF!</v>
      </c>
      <c r="Y71" s="102" t="e">
        <f>#REF!+#REF!+#REF!+#REF!+#REF!+#REF!+#REF!+#REF!+#REF!+#REF!+#REF!+#REF!+#REF!+#REF!+#REF!+#REF!+#REF!+#REF!+#REF!</f>
        <v>#REF!</v>
      </c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</row>
    <row r="72" spans="1:68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</row>
    <row r="73" spans="1:68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12" t="s">
        <v>61</v>
      </c>
      <c r="U73" s="110" t="s">
        <v>369</v>
      </c>
      <c r="V73" s="109" t="s">
        <v>370</v>
      </c>
      <c r="W73" s="102" t="s">
        <v>371</v>
      </c>
      <c r="X73" s="110" t="s">
        <v>15</v>
      </c>
      <c r="Y73" s="102" t="s">
        <v>66</v>
      </c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</row>
    <row r="74" spans="1:68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13" t="s">
        <v>342</v>
      </c>
      <c r="U74" s="118" t="e">
        <f>15965.41+1204.98+15811.64+80.94+Z7</f>
        <v>#REF!</v>
      </c>
      <c r="V74" s="118">
        <f>-4636.77+1565.67+2674.01+10.58</f>
        <v>-386.51000000000016</v>
      </c>
      <c r="W74" s="118"/>
      <c r="X74" s="118">
        <f>-2039.98+1051.4+2327.11+17.74</f>
        <v>1356.2700000000002</v>
      </c>
      <c r="Y74" s="105">
        <f>-2852.56+273.28+1089.13</f>
        <v>-1490.1499999999996</v>
      </c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</row>
    <row r="75" spans="1:68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13" t="s">
        <v>341</v>
      </c>
      <c r="U75" s="119" t="e">
        <f>20186.76+1600.62+1073.37+AA7</f>
        <v>#REF!</v>
      </c>
      <c r="V75" s="118">
        <f>-2547.51+155.35+78</f>
        <v>-2314.1600000000003</v>
      </c>
      <c r="W75" s="118"/>
      <c r="X75" s="118">
        <f>6084.95+936.97+795.8</f>
        <v>7817.72</v>
      </c>
      <c r="Y75" s="105">
        <f>-614.09+1108.11+1171.67</f>
        <v>1665.69</v>
      </c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</row>
    <row r="76" spans="1:68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13" t="s">
        <v>340</v>
      </c>
      <c r="U76" s="120" t="e">
        <f>70686.38+2512.65+2853.59+2396.59+17972.22+827.54-600.32+28.71+AB7</f>
        <v>#REF!</v>
      </c>
      <c r="V76" s="118">
        <f>-2039.89+63.44+994.87+6.55+842.95+138.76+713.63</f>
        <v>720.31</v>
      </c>
      <c r="W76" s="118"/>
      <c r="X76" s="118">
        <f>6390.36+423.56+9052.19+294.78+312.29+238.15+2.83</f>
        <v>16714.160000000003</v>
      </c>
      <c r="Y76" s="105">
        <f>8284.7+699.14+2129.53+14615.43+2015.04+3863.04+508.53</f>
        <v>32115.410000000003</v>
      </c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</row>
    <row r="77" spans="1:68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13" t="s">
        <v>325</v>
      </c>
      <c r="U77" s="119" t="e">
        <f>2833.41+AC7</f>
        <v>#REF!</v>
      </c>
      <c r="V77" s="121">
        <v>5255.48</v>
      </c>
      <c r="W77" s="121">
        <v>35.81</v>
      </c>
      <c r="X77" s="121">
        <v>696.54</v>
      </c>
      <c r="Y77" s="105">
        <v>115.4</v>
      </c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</row>
    <row r="78" spans="1:68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3" t="s">
        <v>197</v>
      </c>
      <c r="U78" s="119" t="e">
        <f>822.21+AD7</f>
        <v>#REF!</v>
      </c>
      <c r="V78" s="121">
        <v>121.43</v>
      </c>
      <c r="W78" s="121"/>
      <c r="X78" s="121">
        <v>57.73</v>
      </c>
      <c r="Y78" s="105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</row>
    <row r="79" spans="1:68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3" t="s">
        <v>357</v>
      </c>
      <c r="U79" s="105">
        <v>7.07</v>
      </c>
      <c r="V79" s="105">
        <v>1.27</v>
      </c>
      <c r="W79" s="105"/>
      <c r="X79" s="105"/>
      <c r="Y79" s="105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</row>
    <row r="80" spans="1:68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3" t="s">
        <v>0</v>
      </c>
      <c r="U80" s="103"/>
      <c r="V80" s="103"/>
      <c r="W80" s="103"/>
      <c r="X80" s="103"/>
      <c r="Y80" s="103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</row>
    <row r="81" spans="1:68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 t="e">
        <f t="shared" ref="U81:Y81" si="9">SUM(U74:U80)</f>
        <v>#REF!</v>
      </c>
      <c r="V81" s="102">
        <f t="shared" si="9"/>
        <v>3397.8199999999988</v>
      </c>
      <c r="W81" s="102">
        <f t="shared" si="9"/>
        <v>35.81</v>
      </c>
      <c r="X81" s="102">
        <f t="shared" si="9"/>
        <v>26642.420000000002</v>
      </c>
      <c r="Y81" s="102">
        <f t="shared" si="9"/>
        <v>32406.350000000006</v>
      </c>
      <c r="Z81" s="102" t="e">
        <f>SUM(U81:Y81)</f>
        <v>#REF!</v>
      </c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</row>
    <row r="82" spans="1:68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 t="e">
        <f>Z81+Y58</f>
        <v>#REF!</v>
      </c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</row>
    <row r="83" spans="1:68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 t="e">
        <f>Z82-Y3-Y4-Y5-Y6</f>
        <v>#REF!</v>
      </c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</row>
    <row r="84" spans="1:68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</row>
    <row r="85" spans="1:68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</row>
    <row r="86" spans="1:68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</row>
    <row r="87" spans="1:68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</row>
    <row r="88" spans="1:68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</row>
    <row r="89" spans="1:68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</row>
    <row r="90" spans="1:68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</row>
    <row r="91" spans="1:68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</row>
    <row r="92" spans="1:68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</row>
    <row r="93" spans="1:68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</row>
    <row r="94" spans="1:68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</row>
    <row r="95" spans="1:68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</row>
    <row r="96" spans="1:68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</row>
    <row r="97" spans="1:68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</row>
    <row r="98" spans="1:68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</row>
    <row r="99" spans="1:68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</row>
    <row r="100" spans="1:68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</row>
    <row r="101" spans="1:68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</row>
    <row r="102" spans="1:68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</row>
    <row r="103" spans="1:68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</row>
    <row r="104" spans="1:68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</row>
    <row r="105" spans="1:68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</row>
    <row r="106" spans="1:68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</row>
    <row r="107" spans="1:68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</row>
    <row r="108" spans="1:68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</row>
    <row r="109" spans="1:68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</row>
    <row r="110" spans="1:68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</row>
    <row r="111" spans="1:68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</row>
    <row r="112" spans="1:68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</row>
    <row r="113" spans="1:68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</row>
    <row r="114" spans="1:68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</row>
    <row r="115" spans="1:68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</row>
    <row r="116" spans="1:68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2"/>
      <c r="BO116" s="102"/>
      <c r="BP116" s="102"/>
    </row>
    <row r="117" spans="1:68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  <c r="BH117" s="102"/>
      <c r="BI117" s="102"/>
      <c r="BJ117" s="102"/>
      <c r="BK117" s="102"/>
      <c r="BL117" s="102"/>
      <c r="BM117" s="102"/>
      <c r="BN117" s="102"/>
      <c r="BO117" s="102"/>
      <c r="BP117" s="102"/>
    </row>
    <row r="118" spans="1:68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102"/>
      <c r="BL118" s="102"/>
      <c r="BM118" s="102"/>
      <c r="BN118" s="102"/>
      <c r="BO118" s="102"/>
      <c r="BP118" s="102"/>
    </row>
    <row r="119" spans="1:68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  <c r="BN119" s="102"/>
      <c r="BO119" s="102"/>
      <c r="BP119" s="102"/>
    </row>
    <row r="120" spans="1:68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  <c r="BH120" s="102"/>
      <c r="BI120" s="102"/>
      <c r="BJ120" s="102"/>
      <c r="BK120" s="102"/>
      <c r="BL120" s="102"/>
      <c r="BM120" s="102"/>
      <c r="BN120" s="102"/>
      <c r="BO120" s="102"/>
      <c r="BP120" s="102"/>
    </row>
    <row r="121" spans="1:68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  <c r="BN121" s="102"/>
      <c r="BO121" s="102"/>
      <c r="BP121" s="102"/>
    </row>
    <row r="122" spans="1:68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</row>
    <row r="123" spans="1:68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</row>
    <row r="124" spans="1:68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  <c r="BN124" s="102"/>
      <c r="BO124" s="102"/>
      <c r="BP124" s="102"/>
    </row>
    <row r="125" spans="1:68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  <c r="BH125" s="102"/>
      <c r="BI125" s="102"/>
      <c r="BJ125" s="102"/>
      <c r="BK125" s="102"/>
      <c r="BL125" s="102"/>
      <c r="BM125" s="102"/>
      <c r="BN125" s="102"/>
      <c r="BO125" s="102"/>
      <c r="BP125" s="102"/>
    </row>
    <row r="126" spans="1:68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</row>
    <row r="127" spans="1:68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2"/>
      <c r="BO127" s="102"/>
      <c r="BP127" s="102"/>
    </row>
    <row r="128" spans="1:68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O128" s="102"/>
      <c r="BP128" s="102"/>
    </row>
    <row r="129" spans="1:68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102"/>
      <c r="BJ129" s="102"/>
      <c r="BK129" s="102"/>
      <c r="BL129" s="102"/>
      <c r="BM129" s="102"/>
      <c r="BN129" s="102"/>
      <c r="BO129" s="102"/>
      <c r="BP129" s="102"/>
    </row>
    <row r="130" spans="1:68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  <c r="BH130" s="102"/>
      <c r="BI130" s="102"/>
      <c r="BJ130" s="102"/>
      <c r="BK130" s="102"/>
      <c r="BL130" s="102"/>
      <c r="BM130" s="102"/>
      <c r="BN130" s="102"/>
      <c r="BO130" s="102"/>
      <c r="BP130" s="102"/>
    </row>
    <row r="131" spans="1:68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  <c r="BN131" s="102"/>
      <c r="BO131" s="102"/>
      <c r="BP131" s="102"/>
    </row>
    <row r="132" spans="1:68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102"/>
      <c r="BH132" s="102"/>
      <c r="BI132" s="102"/>
      <c r="BJ132" s="102"/>
      <c r="BK132" s="102"/>
      <c r="BL132" s="102"/>
      <c r="BM132" s="102"/>
      <c r="BN132" s="102"/>
      <c r="BO132" s="102"/>
      <c r="BP132" s="102"/>
    </row>
    <row r="133" spans="1:68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  <c r="BH133" s="102"/>
      <c r="BI133" s="102"/>
      <c r="BJ133" s="102"/>
      <c r="BK133" s="102"/>
      <c r="BL133" s="102"/>
      <c r="BM133" s="102"/>
      <c r="BN133" s="102"/>
      <c r="BO133" s="102"/>
      <c r="BP133" s="102"/>
    </row>
    <row r="134" spans="1:68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  <c r="BN134" s="102"/>
      <c r="BO134" s="102"/>
      <c r="BP134" s="102"/>
    </row>
    <row r="135" spans="1:68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102"/>
      <c r="BJ135" s="102"/>
      <c r="BK135" s="102"/>
      <c r="BL135" s="102"/>
      <c r="BM135" s="102"/>
      <c r="BN135" s="102"/>
      <c r="BO135" s="102"/>
      <c r="BP135" s="102"/>
    </row>
    <row r="136" spans="1:68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102"/>
      <c r="BL136" s="102"/>
      <c r="BM136" s="102"/>
      <c r="BN136" s="102"/>
      <c r="BO136" s="102"/>
      <c r="BP136" s="102"/>
    </row>
    <row r="137" spans="1:68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102"/>
      <c r="BL137" s="102"/>
      <c r="BM137" s="102"/>
      <c r="BN137" s="102"/>
      <c r="BO137" s="102"/>
      <c r="BP137" s="102"/>
    </row>
    <row r="138" spans="1:68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  <c r="BN138" s="102"/>
      <c r="BO138" s="102"/>
      <c r="BP138" s="102"/>
    </row>
    <row r="139" spans="1:68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  <c r="BN139" s="102"/>
      <c r="BO139" s="102"/>
      <c r="BP139" s="102"/>
    </row>
    <row r="140" spans="1:68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2"/>
      <c r="BA140" s="102"/>
      <c r="BB140" s="102"/>
      <c r="BC140" s="102"/>
      <c r="BD140" s="102"/>
      <c r="BE140" s="102"/>
      <c r="BF140" s="102"/>
      <c r="BG140" s="102"/>
      <c r="BH140" s="102"/>
      <c r="BI140" s="102"/>
      <c r="BJ140" s="102"/>
      <c r="BK140" s="102"/>
      <c r="BL140" s="102"/>
      <c r="BM140" s="102"/>
      <c r="BN140" s="102"/>
      <c r="BO140" s="102"/>
      <c r="BP140" s="102"/>
    </row>
    <row r="141" spans="1:68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102"/>
      <c r="AZ141" s="102"/>
      <c r="BA141" s="102"/>
      <c r="BB141" s="102"/>
      <c r="BC141" s="102"/>
      <c r="BD141" s="102"/>
      <c r="BE141" s="102"/>
      <c r="BF141" s="102"/>
      <c r="BG141" s="102"/>
      <c r="BH141" s="102"/>
      <c r="BI141" s="102"/>
      <c r="BJ141" s="102"/>
      <c r="BK141" s="102"/>
      <c r="BL141" s="102"/>
      <c r="BM141" s="102"/>
      <c r="BN141" s="102"/>
      <c r="BO141" s="102"/>
      <c r="BP141" s="102"/>
    </row>
    <row r="142" spans="1:68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R142" s="102"/>
      <c r="AS142" s="102"/>
      <c r="AT142" s="102"/>
      <c r="AU142" s="102"/>
      <c r="AV142" s="102"/>
      <c r="AW142" s="102"/>
      <c r="AX142" s="102"/>
      <c r="AY142" s="102"/>
      <c r="AZ142" s="102"/>
      <c r="BA142" s="102"/>
      <c r="BB142" s="102"/>
      <c r="BC142" s="102"/>
      <c r="BD142" s="102"/>
      <c r="BE142" s="102"/>
      <c r="BF142" s="102"/>
      <c r="BG142" s="102"/>
      <c r="BH142" s="102"/>
      <c r="BI142" s="102"/>
      <c r="BJ142" s="102"/>
      <c r="BK142" s="102"/>
      <c r="BL142" s="102"/>
      <c r="BM142" s="102"/>
      <c r="BN142" s="102"/>
      <c r="BO142" s="102"/>
      <c r="BP142" s="102"/>
    </row>
    <row r="143" spans="1:68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  <c r="BH143" s="102"/>
      <c r="BI143" s="102"/>
      <c r="BJ143" s="102"/>
      <c r="BK143" s="102"/>
      <c r="BL143" s="102"/>
      <c r="BM143" s="102"/>
      <c r="BN143" s="102"/>
      <c r="BO143" s="102"/>
      <c r="BP143" s="102"/>
    </row>
    <row r="144" spans="1:68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2"/>
      <c r="AN144" s="102"/>
      <c r="AO144" s="102"/>
      <c r="AP144" s="102"/>
      <c r="AQ144" s="102"/>
      <c r="AR144" s="102"/>
      <c r="AS144" s="102"/>
      <c r="AT144" s="102"/>
      <c r="AU144" s="102"/>
      <c r="AV144" s="102"/>
      <c r="AW144" s="102"/>
      <c r="AX144" s="102"/>
      <c r="AY144" s="102"/>
      <c r="AZ144" s="102"/>
      <c r="BA144" s="102"/>
      <c r="BB144" s="102"/>
      <c r="BC144" s="102"/>
      <c r="BD144" s="102"/>
      <c r="BE144" s="102"/>
      <c r="BF144" s="102"/>
      <c r="BG144" s="102"/>
      <c r="BH144" s="102"/>
      <c r="BI144" s="102"/>
      <c r="BJ144" s="102"/>
      <c r="BK144" s="102"/>
      <c r="BL144" s="102"/>
      <c r="BM144" s="102"/>
      <c r="BN144" s="102"/>
      <c r="BO144" s="102"/>
      <c r="BP144" s="102"/>
    </row>
    <row r="145" spans="1:68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  <c r="BH145" s="102"/>
      <c r="BI145" s="102"/>
      <c r="BJ145" s="102"/>
      <c r="BK145" s="102"/>
      <c r="BL145" s="102"/>
      <c r="BM145" s="102"/>
      <c r="BN145" s="102"/>
      <c r="BO145" s="102"/>
      <c r="BP145" s="102"/>
    </row>
    <row r="146" spans="1:68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2"/>
      <c r="BC146" s="102"/>
      <c r="BD146" s="102"/>
      <c r="BE146" s="102"/>
      <c r="BF146" s="102"/>
      <c r="BG146" s="102"/>
      <c r="BH146" s="102"/>
      <c r="BI146" s="102"/>
      <c r="BJ146" s="102"/>
      <c r="BK146" s="102"/>
      <c r="BL146" s="102"/>
      <c r="BM146" s="102"/>
      <c r="BN146" s="102"/>
      <c r="BO146" s="102"/>
      <c r="BP146" s="102"/>
    </row>
    <row r="147" spans="1:68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2"/>
      <c r="BB147" s="102"/>
      <c r="BC147" s="102"/>
      <c r="BD147" s="102"/>
      <c r="BE147" s="102"/>
      <c r="BF147" s="102"/>
      <c r="BG147" s="102"/>
      <c r="BH147" s="102"/>
      <c r="BI147" s="102"/>
      <c r="BJ147" s="102"/>
      <c r="BK147" s="102"/>
      <c r="BL147" s="102"/>
      <c r="BM147" s="102"/>
      <c r="BN147" s="102"/>
      <c r="BO147" s="102"/>
      <c r="BP147" s="102"/>
    </row>
    <row r="148" spans="1:68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  <c r="BA148" s="102"/>
      <c r="BB148" s="102"/>
      <c r="BC148" s="102"/>
      <c r="BD148" s="102"/>
      <c r="BE148" s="102"/>
      <c r="BF148" s="102"/>
      <c r="BG148" s="102"/>
      <c r="BH148" s="102"/>
      <c r="BI148" s="102"/>
      <c r="BJ148" s="102"/>
      <c r="BK148" s="102"/>
      <c r="BL148" s="102"/>
      <c r="BM148" s="102"/>
      <c r="BN148" s="102"/>
      <c r="BO148" s="102"/>
      <c r="BP148" s="102"/>
    </row>
    <row r="149" spans="1:68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  <c r="BH149" s="102"/>
      <c r="BI149" s="102"/>
      <c r="BJ149" s="102"/>
      <c r="BK149" s="102"/>
      <c r="BL149" s="102"/>
      <c r="BM149" s="102"/>
      <c r="BN149" s="102"/>
      <c r="BO149" s="102"/>
      <c r="BP149" s="102"/>
    </row>
    <row r="150" spans="1:68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  <c r="BA150" s="102"/>
      <c r="BB150" s="102"/>
      <c r="BC150" s="102"/>
      <c r="BD150" s="102"/>
      <c r="BE150" s="102"/>
      <c r="BF150" s="102"/>
      <c r="BG150" s="102"/>
      <c r="BH150" s="102"/>
      <c r="BI150" s="102"/>
      <c r="BJ150" s="102"/>
      <c r="BK150" s="102"/>
      <c r="BL150" s="102"/>
      <c r="BM150" s="102"/>
      <c r="BN150" s="102"/>
      <c r="BO150" s="102"/>
      <c r="BP150" s="102"/>
    </row>
    <row r="151" spans="1:68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  <c r="BA151" s="102"/>
      <c r="BB151" s="102"/>
      <c r="BC151" s="102"/>
      <c r="BD151" s="102"/>
      <c r="BE151" s="102"/>
      <c r="BF151" s="102"/>
      <c r="BG151" s="102"/>
      <c r="BH151" s="102"/>
      <c r="BI151" s="102"/>
      <c r="BJ151" s="102"/>
      <c r="BK151" s="102"/>
      <c r="BL151" s="102"/>
      <c r="BM151" s="102"/>
      <c r="BN151" s="102"/>
      <c r="BO151" s="102"/>
      <c r="BP151" s="102"/>
    </row>
    <row r="152" spans="1:68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2"/>
      <c r="BB152" s="102"/>
      <c r="BC152" s="102"/>
      <c r="BD152" s="102"/>
      <c r="BE152" s="102"/>
      <c r="BF152" s="102"/>
      <c r="BG152" s="102"/>
      <c r="BH152" s="102"/>
      <c r="BI152" s="102"/>
      <c r="BJ152" s="102"/>
      <c r="BK152" s="102"/>
      <c r="BL152" s="102"/>
      <c r="BM152" s="102"/>
      <c r="BN152" s="102"/>
      <c r="BO152" s="102"/>
      <c r="BP152" s="102"/>
    </row>
    <row r="153" spans="1:68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2"/>
      <c r="BA153" s="102"/>
      <c r="BB153" s="102"/>
      <c r="BC153" s="102"/>
      <c r="BD153" s="102"/>
      <c r="BE153" s="102"/>
      <c r="BF153" s="102"/>
      <c r="BG153" s="102"/>
      <c r="BH153" s="102"/>
      <c r="BI153" s="102"/>
      <c r="BJ153" s="102"/>
      <c r="BK153" s="102"/>
      <c r="BL153" s="102"/>
      <c r="BM153" s="102"/>
      <c r="BN153" s="102"/>
      <c r="BO153" s="102"/>
      <c r="BP153" s="102"/>
    </row>
    <row r="154" spans="1:68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102"/>
      <c r="BK154" s="102"/>
      <c r="BL154" s="102"/>
      <c r="BM154" s="102"/>
      <c r="BN154" s="102"/>
      <c r="BO154" s="102"/>
      <c r="BP154" s="102"/>
    </row>
    <row r="155" spans="1:68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  <c r="BJ155" s="102"/>
      <c r="BK155" s="102"/>
      <c r="BL155" s="102"/>
      <c r="BM155" s="102"/>
      <c r="BN155" s="102"/>
      <c r="BO155" s="102"/>
      <c r="BP155" s="102"/>
    </row>
    <row r="156" spans="1:68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02"/>
      <c r="BB156" s="102"/>
      <c r="BC156" s="102"/>
      <c r="BD156" s="102"/>
      <c r="BE156" s="102"/>
      <c r="BF156" s="102"/>
      <c r="BG156" s="102"/>
      <c r="BH156" s="102"/>
      <c r="BI156" s="102"/>
      <c r="BJ156" s="102"/>
      <c r="BK156" s="102"/>
      <c r="BL156" s="102"/>
      <c r="BM156" s="102"/>
      <c r="BN156" s="102"/>
      <c r="BO156" s="102"/>
      <c r="BP156" s="102"/>
    </row>
    <row r="157" spans="1:68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02"/>
      <c r="BE157" s="102"/>
      <c r="BF157" s="102"/>
      <c r="BG157" s="102"/>
      <c r="BH157" s="102"/>
      <c r="BI157" s="102"/>
      <c r="BJ157" s="102"/>
      <c r="BK157" s="102"/>
      <c r="BL157" s="102"/>
      <c r="BM157" s="102"/>
      <c r="BN157" s="102"/>
      <c r="BO157" s="102"/>
      <c r="BP157" s="102"/>
    </row>
    <row r="158" spans="1:68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  <c r="BE158" s="102"/>
      <c r="BF158" s="102"/>
      <c r="BG158" s="102"/>
      <c r="BH158" s="102"/>
      <c r="BI158" s="102"/>
      <c r="BJ158" s="102"/>
      <c r="BK158" s="102"/>
      <c r="BL158" s="102"/>
      <c r="BM158" s="102"/>
      <c r="BN158" s="102"/>
      <c r="BO158" s="102"/>
      <c r="BP158" s="102"/>
    </row>
    <row r="159" spans="1:68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102"/>
      <c r="BJ159" s="102"/>
      <c r="BK159" s="102"/>
      <c r="BL159" s="102"/>
      <c r="BM159" s="102"/>
      <c r="BN159" s="102"/>
      <c r="BO159" s="102"/>
      <c r="BP159" s="102"/>
    </row>
    <row r="160" spans="1:68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102"/>
      <c r="BK160" s="102"/>
      <c r="BL160" s="102"/>
      <c r="BM160" s="102"/>
      <c r="BN160" s="102"/>
      <c r="BO160" s="102"/>
      <c r="BP160" s="102"/>
    </row>
    <row r="161" spans="1:68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  <c r="BJ161" s="102"/>
      <c r="BK161" s="102"/>
      <c r="BL161" s="102"/>
      <c r="BM161" s="102"/>
      <c r="BN161" s="102"/>
      <c r="BO161" s="102"/>
      <c r="BP161" s="102"/>
    </row>
    <row r="162" spans="1:68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  <c r="BJ162" s="102"/>
      <c r="BK162" s="102"/>
      <c r="BL162" s="102"/>
      <c r="BM162" s="102"/>
      <c r="BN162" s="102"/>
      <c r="BO162" s="102"/>
      <c r="BP162" s="102"/>
    </row>
    <row r="163" spans="1:68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02"/>
      <c r="BE163" s="102"/>
      <c r="BF163" s="102"/>
      <c r="BG163" s="102"/>
      <c r="BH163" s="102"/>
      <c r="BI163" s="102"/>
      <c r="BJ163" s="102"/>
      <c r="BK163" s="102"/>
      <c r="BL163" s="102"/>
      <c r="BM163" s="102"/>
      <c r="BN163" s="102"/>
      <c r="BO163" s="102"/>
      <c r="BP163" s="102"/>
    </row>
    <row r="164" spans="1:68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02"/>
      <c r="BE164" s="102"/>
      <c r="BF164" s="102"/>
      <c r="BG164" s="102"/>
      <c r="BH164" s="102"/>
      <c r="BI164" s="102"/>
      <c r="BJ164" s="102"/>
      <c r="BK164" s="102"/>
      <c r="BL164" s="102"/>
      <c r="BM164" s="102"/>
      <c r="BN164" s="102"/>
      <c r="BO164" s="102"/>
      <c r="BP164" s="102"/>
    </row>
    <row r="165" spans="1:68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02"/>
      <c r="BE165" s="102"/>
      <c r="BF165" s="102"/>
      <c r="BG165" s="102"/>
      <c r="BH165" s="102"/>
      <c r="BI165" s="102"/>
      <c r="BJ165" s="102"/>
      <c r="BK165" s="102"/>
      <c r="BL165" s="102"/>
      <c r="BM165" s="102"/>
      <c r="BN165" s="102"/>
      <c r="BO165" s="102"/>
      <c r="BP165" s="102"/>
    </row>
    <row r="166" spans="1:68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02"/>
      <c r="BE166" s="102"/>
      <c r="BF166" s="102"/>
      <c r="BG166" s="102"/>
      <c r="BH166" s="102"/>
      <c r="BI166" s="102"/>
      <c r="BJ166" s="102"/>
      <c r="BK166" s="102"/>
      <c r="BL166" s="102"/>
      <c r="BM166" s="102"/>
      <c r="BN166" s="102"/>
      <c r="BO166" s="102"/>
      <c r="BP166" s="102"/>
    </row>
    <row r="167" spans="1:68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  <c r="BJ167" s="102"/>
      <c r="BK167" s="102"/>
      <c r="BL167" s="102"/>
      <c r="BM167" s="102"/>
      <c r="BN167" s="102"/>
      <c r="BO167" s="102"/>
      <c r="BP167" s="102"/>
    </row>
    <row r="168" spans="1:68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  <c r="BJ168" s="102"/>
      <c r="BK168" s="102"/>
      <c r="BL168" s="102"/>
      <c r="BM168" s="102"/>
      <c r="BN168" s="102"/>
      <c r="BO168" s="102"/>
      <c r="BP168" s="102"/>
    </row>
    <row r="169" spans="1:68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  <c r="BJ169" s="102"/>
      <c r="BK169" s="102"/>
      <c r="BL169" s="102"/>
      <c r="BM169" s="102"/>
      <c r="BN169" s="102"/>
      <c r="BO169" s="102"/>
      <c r="BP169" s="10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7"/>
  <sheetViews>
    <sheetView workbookViewId="0">
      <selection activeCell="F19" sqref="F19"/>
    </sheetView>
  </sheetViews>
  <sheetFormatPr defaultRowHeight="13.5"/>
  <cols>
    <col min="8" max="8" width="25.25" customWidth="1"/>
    <col min="9" max="9" width="15.375" customWidth="1"/>
    <col min="10" max="10" width="12.375" customWidth="1"/>
    <col min="11" max="11" width="13.125" customWidth="1"/>
  </cols>
  <sheetData>
    <row r="1" spans="1:14">
      <c r="A1" s="21"/>
      <c r="B1" s="21"/>
      <c r="C1" s="21" t="s">
        <v>241</v>
      </c>
      <c r="D1" s="21"/>
      <c r="E1" s="21"/>
      <c r="F1" s="21"/>
      <c r="G1" s="5"/>
      <c r="H1" s="6"/>
      <c r="I1" s="7"/>
      <c r="J1" s="5"/>
      <c r="K1" s="5"/>
      <c r="L1" s="5"/>
      <c r="M1" s="5"/>
      <c r="N1" s="5"/>
    </row>
    <row r="2" spans="1:14" ht="14.25">
      <c r="A2" s="27"/>
      <c r="B2" s="27"/>
      <c r="C2" s="1" t="s">
        <v>1</v>
      </c>
      <c r="D2" s="1" t="s">
        <v>2</v>
      </c>
      <c r="E2" s="1"/>
      <c r="F2" s="2" t="s">
        <v>3</v>
      </c>
      <c r="G2" s="8" t="s">
        <v>69</v>
      </c>
      <c r="H2" s="9" t="s">
        <v>70</v>
      </c>
      <c r="I2" s="10" t="s">
        <v>71</v>
      </c>
      <c r="J2" s="10" t="s">
        <v>72</v>
      </c>
      <c r="K2" s="18" t="s">
        <v>73</v>
      </c>
      <c r="L2" s="19"/>
      <c r="M2" s="20" t="s">
        <v>74</v>
      </c>
      <c r="N2" s="28">
        <v>7.01</v>
      </c>
    </row>
    <row r="3" spans="1:14">
      <c r="A3" s="29">
        <v>43556</v>
      </c>
      <c r="B3" s="35" t="s">
        <v>241</v>
      </c>
      <c r="C3" s="30" t="s">
        <v>4</v>
      </c>
      <c r="D3" s="21" t="s">
        <v>76</v>
      </c>
      <c r="E3" s="21" t="s">
        <v>77</v>
      </c>
      <c r="F3" s="3" t="s">
        <v>78</v>
      </c>
      <c r="G3" s="11"/>
      <c r="H3" s="12"/>
      <c r="I3" s="13"/>
      <c r="J3" s="11">
        <f t="shared" ref="J3:J66" si="0">(G3*H3*1)-I3</f>
        <v>0</v>
      </c>
      <c r="K3" s="11">
        <f>(J3+J4+J5)*0.015*N2</f>
        <v>0</v>
      </c>
      <c r="L3" s="11">
        <f>K3/0.015*0.25</f>
        <v>0</v>
      </c>
      <c r="M3" s="11">
        <f>L3-K3</f>
        <v>0</v>
      </c>
      <c r="N3" s="11" t="s">
        <v>242</v>
      </c>
    </row>
    <row r="4" spans="1:14">
      <c r="A4" s="29">
        <v>43556</v>
      </c>
      <c r="B4" s="35" t="s">
        <v>241</v>
      </c>
      <c r="C4" s="30"/>
      <c r="D4" s="21" t="s">
        <v>76</v>
      </c>
      <c r="E4" s="21" t="s">
        <v>77</v>
      </c>
      <c r="F4" s="3" t="s">
        <v>79</v>
      </c>
      <c r="G4" s="11"/>
      <c r="H4" s="12"/>
      <c r="I4" s="13"/>
      <c r="J4" s="11">
        <f t="shared" si="0"/>
        <v>0</v>
      </c>
      <c r="K4" s="11"/>
      <c r="L4" s="11"/>
      <c r="M4" s="11"/>
      <c r="N4" s="11"/>
    </row>
    <row r="5" spans="1:14">
      <c r="A5" s="29">
        <v>43556</v>
      </c>
      <c r="B5" s="35" t="s">
        <v>241</v>
      </c>
      <c r="C5" s="30"/>
      <c r="D5" s="21" t="s">
        <v>76</v>
      </c>
      <c r="E5" s="21" t="s">
        <v>77</v>
      </c>
      <c r="F5" s="3" t="s">
        <v>80</v>
      </c>
      <c r="G5" s="11"/>
      <c r="H5" s="12"/>
      <c r="I5" s="13"/>
      <c r="J5" s="11">
        <f t="shared" si="0"/>
        <v>0</v>
      </c>
      <c r="K5" s="11"/>
      <c r="L5" s="11"/>
      <c r="M5" s="11"/>
      <c r="N5" s="11"/>
    </row>
    <row r="6" spans="1:14">
      <c r="A6" s="29">
        <v>43556</v>
      </c>
      <c r="B6" s="35" t="s">
        <v>241</v>
      </c>
      <c r="C6" s="30"/>
      <c r="D6" s="21" t="s">
        <v>89</v>
      </c>
      <c r="E6" s="21" t="s">
        <v>90</v>
      </c>
      <c r="F6" s="3" t="s">
        <v>91</v>
      </c>
      <c r="G6" s="11"/>
      <c r="H6" s="12"/>
      <c r="I6" s="13"/>
      <c r="J6" s="11">
        <f t="shared" si="0"/>
        <v>0</v>
      </c>
      <c r="K6" s="11">
        <f>(J7+J8+J9+J6+J10)*0.2*N2</f>
        <v>0</v>
      </c>
      <c r="L6" s="11"/>
      <c r="M6" s="11"/>
      <c r="N6" s="11"/>
    </row>
    <row r="7" spans="1:14">
      <c r="A7" s="29">
        <v>43556</v>
      </c>
      <c r="B7" s="35" t="s">
        <v>241</v>
      </c>
      <c r="C7" s="30"/>
      <c r="D7" s="21" t="s">
        <v>89</v>
      </c>
      <c r="E7" s="21" t="s">
        <v>90</v>
      </c>
      <c r="F7" s="3" t="s">
        <v>92</v>
      </c>
      <c r="G7" s="11"/>
      <c r="H7" s="12"/>
      <c r="I7" s="13"/>
      <c r="J7" s="11">
        <f t="shared" si="0"/>
        <v>0</v>
      </c>
      <c r="K7" s="11"/>
      <c r="L7" s="11"/>
      <c r="M7" s="11"/>
      <c r="N7" s="11"/>
    </row>
    <row r="8" spans="1:14">
      <c r="A8" s="29">
        <v>43556</v>
      </c>
      <c r="B8" s="35" t="s">
        <v>241</v>
      </c>
      <c r="C8" s="30"/>
      <c r="D8" s="21" t="s">
        <v>94</v>
      </c>
      <c r="E8" s="21" t="s">
        <v>90</v>
      </c>
      <c r="F8" s="3" t="s">
        <v>91</v>
      </c>
      <c r="G8" s="11"/>
      <c r="H8" s="12"/>
      <c r="I8" s="13"/>
      <c r="J8" s="11">
        <f t="shared" si="0"/>
        <v>0</v>
      </c>
      <c r="K8" s="11"/>
      <c r="L8" s="11"/>
      <c r="M8" s="11"/>
      <c r="N8" s="11"/>
    </row>
    <row r="9" spans="1:14">
      <c r="A9" s="29">
        <v>43556</v>
      </c>
      <c r="B9" s="35" t="s">
        <v>241</v>
      </c>
      <c r="C9" s="30"/>
      <c r="D9" s="21" t="s">
        <v>94</v>
      </c>
      <c r="E9" s="21" t="s">
        <v>90</v>
      </c>
      <c r="F9" s="3" t="s">
        <v>92</v>
      </c>
      <c r="G9" s="11"/>
      <c r="H9" s="12"/>
      <c r="I9" s="14"/>
      <c r="J9" s="11">
        <f t="shared" si="0"/>
        <v>0</v>
      </c>
      <c r="K9" s="11"/>
      <c r="L9" s="11"/>
      <c r="M9" s="11"/>
      <c r="N9" s="11"/>
    </row>
    <row r="10" spans="1:14">
      <c r="A10" s="29"/>
      <c r="B10" s="35"/>
      <c r="C10" s="30"/>
      <c r="D10" s="21" t="s">
        <v>94</v>
      </c>
      <c r="E10" s="21" t="s">
        <v>90</v>
      </c>
      <c r="F10" s="3" t="s">
        <v>93</v>
      </c>
      <c r="G10" s="11"/>
      <c r="H10" s="12"/>
      <c r="I10" s="14"/>
      <c r="J10" s="11">
        <f t="shared" si="0"/>
        <v>0</v>
      </c>
      <c r="K10" s="11"/>
      <c r="L10" s="11"/>
      <c r="M10" s="11"/>
      <c r="N10" s="11"/>
    </row>
    <row r="11" spans="1:14">
      <c r="A11" s="29">
        <v>43556</v>
      </c>
      <c r="B11" s="35" t="s">
        <v>241</v>
      </c>
      <c r="C11" s="30"/>
      <c r="D11" s="21" t="s">
        <v>81</v>
      </c>
      <c r="E11" s="21" t="s">
        <v>82</v>
      </c>
      <c r="F11" s="3" t="s">
        <v>83</v>
      </c>
      <c r="G11" s="11"/>
      <c r="H11" s="12"/>
      <c r="I11" s="13"/>
      <c r="J11" s="11">
        <f t="shared" si="0"/>
        <v>0</v>
      </c>
      <c r="K11" s="11">
        <f>(J11+J12+J13)*0.025*N2</f>
        <v>0</v>
      </c>
      <c r="L11" s="11">
        <f>K11/0.025*0.25</f>
        <v>0</v>
      </c>
      <c r="M11" s="11">
        <f>L11-K11</f>
        <v>0</v>
      </c>
      <c r="N11" s="11"/>
    </row>
    <row r="12" spans="1:14">
      <c r="A12" s="29">
        <v>43556</v>
      </c>
      <c r="B12" s="35" t="s">
        <v>241</v>
      </c>
      <c r="C12" s="30"/>
      <c r="D12" s="21" t="s">
        <v>81</v>
      </c>
      <c r="E12" s="21" t="s">
        <v>82</v>
      </c>
      <c r="F12" s="3" t="s">
        <v>84</v>
      </c>
      <c r="G12" s="11"/>
      <c r="H12" s="12"/>
      <c r="I12" s="13"/>
      <c r="J12" s="11">
        <f t="shared" si="0"/>
        <v>0</v>
      </c>
      <c r="K12" s="11"/>
      <c r="L12" s="11"/>
      <c r="M12" s="11"/>
      <c r="N12" s="11"/>
    </row>
    <row r="13" spans="1:14">
      <c r="A13" s="29">
        <v>43556</v>
      </c>
      <c r="B13" s="35" t="s">
        <v>241</v>
      </c>
      <c r="C13" s="30"/>
      <c r="D13" s="21" t="s">
        <v>81</v>
      </c>
      <c r="E13" s="21" t="s">
        <v>82</v>
      </c>
      <c r="F13" s="3" t="s">
        <v>85</v>
      </c>
      <c r="G13" s="11"/>
      <c r="H13" s="12"/>
      <c r="I13" s="13"/>
      <c r="J13" s="11">
        <f t="shared" si="0"/>
        <v>0</v>
      </c>
      <c r="K13" s="11"/>
      <c r="L13" s="11"/>
      <c r="M13" s="11"/>
      <c r="N13" s="11"/>
    </row>
    <row r="14" spans="1:14">
      <c r="A14" s="29">
        <v>43556</v>
      </c>
      <c r="B14" s="35" t="s">
        <v>241</v>
      </c>
      <c r="C14" s="30"/>
      <c r="D14" s="21" t="s">
        <v>243</v>
      </c>
      <c r="E14" s="21" t="s">
        <v>244</v>
      </c>
      <c r="F14" s="3" t="s">
        <v>245</v>
      </c>
      <c r="G14" s="11"/>
      <c r="H14" s="12"/>
      <c r="I14" s="13"/>
      <c r="J14" s="11">
        <f t="shared" si="0"/>
        <v>0</v>
      </c>
      <c r="K14" s="11">
        <f>J14*0.2*N2</f>
        <v>0</v>
      </c>
      <c r="L14" s="11"/>
      <c r="M14" s="11"/>
      <c r="N14" s="11"/>
    </row>
    <row r="15" spans="1:14">
      <c r="A15" s="29">
        <v>43556</v>
      </c>
      <c r="B15" s="35" t="s">
        <v>241</v>
      </c>
      <c r="C15" s="30"/>
      <c r="D15" s="21" t="s">
        <v>106</v>
      </c>
      <c r="E15" s="21" t="s">
        <v>103</v>
      </c>
      <c r="F15" s="3" t="s">
        <v>104</v>
      </c>
      <c r="G15" s="11"/>
      <c r="H15" s="12"/>
      <c r="I15" s="13"/>
      <c r="J15" s="11">
        <f t="shared" si="0"/>
        <v>0</v>
      </c>
      <c r="K15" s="11"/>
      <c r="L15" s="11"/>
      <c r="M15" s="11"/>
      <c r="N15" s="11"/>
    </row>
    <row r="16" spans="1:14">
      <c r="A16" s="29">
        <v>43556</v>
      </c>
      <c r="B16" s="35" t="s">
        <v>241</v>
      </c>
      <c r="C16" s="30"/>
      <c r="D16" s="21" t="s">
        <v>111</v>
      </c>
      <c r="E16" s="21" t="s">
        <v>108</v>
      </c>
      <c r="F16" s="3" t="s">
        <v>109</v>
      </c>
      <c r="G16" s="11"/>
      <c r="H16" s="12"/>
      <c r="I16" s="13"/>
      <c r="J16" s="11">
        <f t="shared" si="0"/>
        <v>0</v>
      </c>
      <c r="K16" s="11"/>
      <c r="L16" s="11"/>
      <c r="M16" s="11"/>
      <c r="N16" s="11"/>
    </row>
    <row r="17" spans="1:14">
      <c r="A17" s="29"/>
      <c r="B17" s="35"/>
      <c r="C17" s="30"/>
      <c r="D17" s="21" t="s">
        <v>111</v>
      </c>
      <c r="E17" s="21" t="s">
        <v>108</v>
      </c>
      <c r="F17" s="3" t="s">
        <v>110</v>
      </c>
      <c r="G17" s="11"/>
      <c r="H17" s="12"/>
      <c r="I17" s="13"/>
      <c r="J17" s="11">
        <f t="shared" si="0"/>
        <v>0</v>
      </c>
      <c r="K17" s="11"/>
      <c r="L17" s="11"/>
      <c r="M17" s="11"/>
      <c r="N17" s="11"/>
    </row>
    <row r="18" spans="1:14">
      <c r="A18" s="29">
        <v>43556</v>
      </c>
      <c r="B18" s="35" t="s">
        <v>241</v>
      </c>
      <c r="C18" s="30"/>
      <c r="D18" s="21" t="s">
        <v>107</v>
      </c>
      <c r="E18" s="21" t="s">
        <v>108</v>
      </c>
      <c r="F18" s="3" t="s">
        <v>109</v>
      </c>
      <c r="G18" s="11"/>
      <c r="H18" s="12"/>
      <c r="I18" s="14"/>
      <c r="J18" s="11">
        <f t="shared" si="0"/>
        <v>0</v>
      </c>
      <c r="K18" s="11">
        <f>(J18+J16+J19+J17)*0.05*N2</f>
        <v>0</v>
      </c>
      <c r="L18" s="11">
        <f>K18/0.05*0.25</f>
        <v>0</v>
      </c>
      <c r="M18" s="11">
        <f>L18-K18</f>
        <v>0</v>
      </c>
      <c r="N18" s="11"/>
    </row>
    <row r="19" spans="1:14">
      <c r="A19" s="29">
        <v>43556</v>
      </c>
      <c r="B19" s="35" t="s">
        <v>241</v>
      </c>
      <c r="C19" s="30"/>
      <c r="D19" s="21" t="s">
        <v>107</v>
      </c>
      <c r="E19" s="21" t="s">
        <v>108</v>
      </c>
      <c r="F19" s="3" t="s">
        <v>109</v>
      </c>
      <c r="G19" s="11"/>
      <c r="H19" s="12"/>
      <c r="I19" s="13"/>
      <c r="J19" s="11">
        <f t="shared" si="0"/>
        <v>0</v>
      </c>
      <c r="K19" s="11"/>
      <c r="L19" s="11"/>
      <c r="M19" s="11"/>
      <c r="N19" s="11"/>
    </row>
    <row r="20" spans="1:14">
      <c r="A20" s="29">
        <v>43556</v>
      </c>
      <c r="B20" s="35" t="s">
        <v>241</v>
      </c>
      <c r="C20" s="30"/>
      <c r="D20" s="21" t="s">
        <v>123</v>
      </c>
      <c r="E20" s="21" t="s">
        <v>246</v>
      </c>
      <c r="F20" s="3" t="s">
        <v>247</v>
      </c>
      <c r="G20" s="11"/>
      <c r="H20" s="12"/>
      <c r="I20" s="14"/>
      <c r="J20" s="11">
        <f t="shared" si="0"/>
        <v>0</v>
      </c>
      <c r="K20" s="11">
        <f>(J20+J21+J24+J25)*0.03*N2</f>
        <v>0</v>
      </c>
      <c r="L20" s="11">
        <f>K20/0.03*0.25</f>
        <v>0</v>
      </c>
      <c r="M20" s="11">
        <f>L20-K20</f>
        <v>0</v>
      </c>
      <c r="N20" s="11"/>
    </row>
    <row r="21" spans="1:14">
      <c r="A21" s="29"/>
      <c r="B21" s="35"/>
      <c r="C21" s="30"/>
      <c r="D21" s="21" t="s">
        <v>123</v>
      </c>
      <c r="E21" s="21" t="s">
        <v>246</v>
      </c>
      <c r="F21" s="3" t="s">
        <v>248</v>
      </c>
      <c r="G21" s="11"/>
      <c r="H21" s="12"/>
      <c r="I21" s="13"/>
      <c r="J21" s="11">
        <f t="shared" si="0"/>
        <v>0</v>
      </c>
      <c r="K21" s="11"/>
      <c r="L21" s="11"/>
      <c r="M21" s="11"/>
      <c r="N21" s="11"/>
    </row>
    <row r="22" spans="1:14">
      <c r="A22" s="29">
        <v>43556</v>
      </c>
      <c r="B22" s="35" t="s">
        <v>241</v>
      </c>
      <c r="C22" s="30"/>
      <c r="D22" s="21" t="s">
        <v>127</v>
      </c>
      <c r="E22" s="21" t="s">
        <v>124</v>
      </c>
      <c r="F22" s="3" t="s">
        <v>128</v>
      </c>
      <c r="G22" s="11"/>
      <c r="H22" s="12"/>
      <c r="I22" s="13"/>
      <c r="J22" s="11">
        <f t="shared" si="0"/>
        <v>0</v>
      </c>
      <c r="K22" s="11">
        <f>(J22+J23+J26)*0.05*N2</f>
        <v>0</v>
      </c>
      <c r="L22" s="11">
        <f>K22/0.05*0.25</f>
        <v>0</v>
      </c>
      <c r="M22" s="11">
        <f>L22-K22</f>
        <v>0</v>
      </c>
      <c r="N22" s="11"/>
    </row>
    <row r="23" spans="1:14">
      <c r="A23" s="29">
        <v>43556</v>
      </c>
      <c r="B23" s="35" t="s">
        <v>241</v>
      </c>
      <c r="C23" s="30"/>
      <c r="D23" s="21" t="s">
        <v>129</v>
      </c>
      <c r="E23" s="21" t="s">
        <v>124</v>
      </c>
      <c r="F23" s="3" t="s">
        <v>128</v>
      </c>
      <c r="G23" s="11"/>
      <c r="H23" s="12"/>
      <c r="I23" s="14"/>
      <c r="J23" s="11">
        <f t="shared" si="0"/>
        <v>0</v>
      </c>
      <c r="K23" s="11"/>
      <c r="L23" s="11"/>
      <c r="M23" s="11"/>
      <c r="N23" s="11"/>
    </row>
    <row r="24" spans="1:14">
      <c r="A24" s="29"/>
      <c r="B24" s="35"/>
      <c r="C24" s="30"/>
      <c r="D24" s="21" t="s">
        <v>205</v>
      </c>
      <c r="E24" s="21" t="s">
        <v>246</v>
      </c>
      <c r="F24" s="3" t="s">
        <v>247</v>
      </c>
      <c r="G24" s="11"/>
      <c r="H24" s="12"/>
      <c r="I24" s="13"/>
      <c r="J24" s="11">
        <f t="shared" si="0"/>
        <v>0</v>
      </c>
      <c r="K24" s="11"/>
      <c r="L24" s="11"/>
      <c r="M24" s="11"/>
      <c r="N24" s="11"/>
    </row>
    <row r="25" spans="1:14">
      <c r="A25" s="29"/>
      <c r="B25" s="35"/>
      <c r="C25" s="30"/>
      <c r="D25" s="21" t="s">
        <v>205</v>
      </c>
      <c r="E25" s="21" t="s">
        <v>246</v>
      </c>
      <c r="F25" s="3" t="s">
        <v>248</v>
      </c>
      <c r="G25" s="11"/>
      <c r="H25" s="12"/>
      <c r="I25" s="13"/>
      <c r="J25" s="11">
        <f t="shared" si="0"/>
        <v>0</v>
      </c>
      <c r="K25" s="11"/>
      <c r="L25" s="11"/>
      <c r="M25" s="11"/>
      <c r="N25" s="11"/>
    </row>
    <row r="26" spans="1:14">
      <c r="A26" s="29"/>
      <c r="B26" s="35"/>
      <c r="C26" s="30"/>
      <c r="D26" s="21" t="s">
        <v>249</v>
      </c>
      <c r="E26" s="21" t="s">
        <v>124</v>
      </c>
      <c r="F26" s="3" t="s">
        <v>128</v>
      </c>
      <c r="G26" s="11"/>
      <c r="H26" s="12"/>
      <c r="I26" s="13"/>
      <c r="J26" s="11">
        <f t="shared" si="0"/>
        <v>0</v>
      </c>
      <c r="K26" s="11"/>
      <c r="L26" s="11"/>
      <c r="M26" s="11"/>
      <c r="N26" s="11"/>
    </row>
    <row r="27" spans="1:14">
      <c r="A27" s="29">
        <v>43556</v>
      </c>
      <c r="B27" s="35" t="s">
        <v>241</v>
      </c>
      <c r="C27" s="30"/>
      <c r="D27" s="21" t="s">
        <v>8</v>
      </c>
      <c r="E27" s="21" t="s">
        <v>9</v>
      </c>
      <c r="F27" s="3" t="s">
        <v>10</v>
      </c>
      <c r="G27" s="11"/>
      <c r="H27" s="12"/>
      <c r="I27" s="13"/>
      <c r="J27" s="11">
        <f t="shared" si="0"/>
        <v>0</v>
      </c>
      <c r="K27" s="11"/>
      <c r="L27" s="11"/>
      <c r="M27" s="11"/>
      <c r="N27" s="11"/>
    </row>
    <row r="28" spans="1:14">
      <c r="A28" s="29">
        <v>43556</v>
      </c>
      <c r="B28" s="35" t="s">
        <v>241</v>
      </c>
      <c r="C28" s="30"/>
      <c r="D28" s="21" t="s">
        <v>8</v>
      </c>
      <c r="E28" s="21" t="s">
        <v>9</v>
      </c>
      <c r="F28" s="3" t="s">
        <v>86</v>
      </c>
      <c r="G28" s="11"/>
      <c r="H28" s="12"/>
      <c r="I28" s="14"/>
      <c r="J28" s="11">
        <f t="shared" si="0"/>
        <v>0</v>
      </c>
      <c r="K28" s="11">
        <f>(J27+J28+J30+J29+J31)*0.05*N2</f>
        <v>0</v>
      </c>
      <c r="L28" s="11">
        <f>K28/0.05*0.25</f>
        <v>0</v>
      </c>
      <c r="M28" s="11">
        <f>L28-K28</f>
        <v>0</v>
      </c>
      <c r="N28" s="11">
        <f>M28*0.2</f>
        <v>0</v>
      </c>
    </row>
    <row r="29" spans="1:14">
      <c r="A29" s="29">
        <v>43556</v>
      </c>
      <c r="B29" s="35" t="s">
        <v>241</v>
      </c>
      <c r="C29" s="30"/>
      <c r="D29" s="21" t="s">
        <v>8</v>
      </c>
      <c r="E29" s="21" t="s">
        <v>9</v>
      </c>
      <c r="F29" s="3" t="s">
        <v>87</v>
      </c>
      <c r="G29" s="11"/>
      <c r="H29" s="12"/>
      <c r="I29" s="13"/>
      <c r="J29" s="11">
        <f t="shared" si="0"/>
        <v>0</v>
      </c>
      <c r="K29" s="11"/>
      <c r="L29" s="11"/>
      <c r="M29" s="11"/>
      <c r="N29" s="11"/>
    </row>
    <row r="30" spans="1:14">
      <c r="A30" s="29">
        <v>43556</v>
      </c>
      <c r="B30" s="35" t="s">
        <v>241</v>
      </c>
      <c r="C30" s="30"/>
      <c r="D30" s="21" t="s">
        <v>88</v>
      </c>
      <c r="E30" s="21" t="s">
        <v>9</v>
      </c>
      <c r="F30" s="3" t="s">
        <v>10</v>
      </c>
      <c r="G30" s="11"/>
      <c r="H30" s="12"/>
      <c r="I30" s="31"/>
      <c r="J30" s="11">
        <f t="shared" si="0"/>
        <v>0</v>
      </c>
      <c r="K30" s="11"/>
      <c r="L30" s="11"/>
      <c r="M30" s="11"/>
      <c r="N30" s="11"/>
    </row>
    <row r="31" spans="1:14">
      <c r="A31" s="29">
        <v>43556</v>
      </c>
      <c r="B31" s="35" t="s">
        <v>241</v>
      </c>
      <c r="C31" s="30"/>
      <c r="D31" s="21" t="s">
        <v>250</v>
      </c>
      <c r="E31" s="21" t="s">
        <v>9</v>
      </c>
      <c r="F31" s="3" t="s">
        <v>10</v>
      </c>
      <c r="G31" s="11"/>
      <c r="H31" s="12"/>
      <c r="I31" s="13"/>
      <c r="J31" s="11">
        <f t="shared" si="0"/>
        <v>0</v>
      </c>
      <c r="K31" s="11"/>
      <c r="L31" s="11"/>
      <c r="M31" s="11"/>
      <c r="N31" s="11"/>
    </row>
    <row r="32" spans="1:14">
      <c r="A32" s="29">
        <v>43556</v>
      </c>
      <c r="B32" s="35" t="s">
        <v>241</v>
      </c>
      <c r="C32" s="30"/>
      <c r="D32" s="21" t="s">
        <v>5</v>
      </c>
      <c r="E32" s="21" t="s">
        <v>99</v>
      </c>
      <c r="F32" s="3" t="s">
        <v>100</v>
      </c>
      <c r="G32" s="11"/>
      <c r="H32" s="12"/>
      <c r="I32" s="13"/>
      <c r="J32" s="11">
        <f t="shared" si="0"/>
        <v>0</v>
      </c>
      <c r="K32" s="11">
        <f>(J32+J33+J34+J42+J43+J39+J41+J40)*0.03*N2</f>
        <v>0</v>
      </c>
      <c r="L32" s="11">
        <f>K32/0.03*0.25</f>
        <v>0</v>
      </c>
      <c r="M32" s="11">
        <f t="shared" ref="M32:M37" si="1">L32-K32</f>
        <v>0</v>
      </c>
      <c r="N32" s="11"/>
    </row>
    <row r="33" spans="1:14">
      <c r="A33" s="29">
        <v>43556</v>
      </c>
      <c r="B33" s="35" t="s">
        <v>241</v>
      </c>
      <c r="C33" s="30"/>
      <c r="D33" s="21" t="s">
        <v>5</v>
      </c>
      <c r="E33" s="21" t="s">
        <v>99</v>
      </c>
      <c r="F33" s="3" t="s">
        <v>101</v>
      </c>
      <c r="G33" s="11"/>
      <c r="H33" s="12"/>
      <c r="I33" s="13"/>
      <c r="J33" s="11">
        <f t="shared" si="0"/>
        <v>0</v>
      </c>
      <c r="K33" s="11"/>
      <c r="L33" s="11"/>
      <c r="M33" s="11"/>
      <c r="N33" s="11"/>
    </row>
    <row r="34" spans="1:14">
      <c r="A34" s="29">
        <v>43556</v>
      </c>
      <c r="B34" s="35" t="s">
        <v>241</v>
      </c>
      <c r="C34" s="30"/>
      <c r="D34" s="21" t="s">
        <v>5</v>
      </c>
      <c r="E34" s="21" t="s">
        <v>99</v>
      </c>
      <c r="F34" s="3" t="s">
        <v>251</v>
      </c>
      <c r="G34" s="11"/>
      <c r="H34" s="12"/>
      <c r="I34" s="13"/>
      <c r="J34" s="11">
        <f t="shared" si="0"/>
        <v>0</v>
      </c>
      <c r="K34" s="11"/>
      <c r="L34" s="11"/>
      <c r="M34" s="11"/>
      <c r="N34" s="11"/>
    </row>
    <row r="35" spans="1:14">
      <c r="A35" s="29">
        <v>43556</v>
      </c>
      <c r="B35" s="35" t="s">
        <v>241</v>
      </c>
      <c r="C35" s="30"/>
      <c r="D35" s="21" t="s">
        <v>95</v>
      </c>
      <c r="E35" s="21" t="s">
        <v>96</v>
      </c>
      <c r="F35" s="3" t="s">
        <v>97</v>
      </c>
      <c r="G35" s="11"/>
      <c r="H35" s="12"/>
      <c r="I35" s="13"/>
      <c r="J35" s="11">
        <f t="shared" si="0"/>
        <v>0</v>
      </c>
      <c r="K35" s="11">
        <f>(J35+J36)*0.05*N2</f>
        <v>0</v>
      </c>
      <c r="L35" s="11">
        <f>K35/0.05*0.25</f>
        <v>0</v>
      </c>
      <c r="M35" s="11">
        <f t="shared" si="1"/>
        <v>0</v>
      </c>
      <c r="N35" s="11"/>
    </row>
    <row r="36" spans="1:14">
      <c r="A36" s="29">
        <v>43556</v>
      </c>
      <c r="B36" s="35" t="s">
        <v>241</v>
      </c>
      <c r="C36" s="30"/>
      <c r="D36" s="21" t="s">
        <v>95</v>
      </c>
      <c r="E36" s="21" t="s">
        <v>96</v>
      </c>
      <c r="F36" s="3" t="s">
        <v>98</v>
      </c>
      <c r="G36" s="11"/>
      <c r="H36" s="12"/>
      <c r="I36" s="13"/>
      <c r="J36" s="11">
        <f t="shared" si="0"/>
        <v>0</v>
      </c>
      <c r="K36" s="11"/>
      <c r="L36" s="11"/>
      <c r="M36" s="11"/>
      <c r="N36" s="11"/>
    </row>
    <row r="37" spans="1:14">
      <c r="A37" s="29">
        <v>43556</v>
      </c>
      <c r="B37" s="35" t="s">
        <v>241</v>
      </c>
      <c r="C37" s="30"/>
      <c r="D37" s="21" t="s">
        <v>102</v>
      </c>
      <c r="E37" s="21" t="s">
        <v>103</v>
      </c>
      <c r="F37" s="3" t="s">
        <v>104</v>
      </c>
      <c r="G37" s="11"/>
      <c r="H37" s="12"/>
      <c r="I37" s="13"/>
      <c r="J37" s="11">
        <f t="shared" si="0"/>
        <v>0</v>
      </c>
      <c r="K37" s="11">
        <f>(J37+J38+J15)*0.05*N2</f>
        <v>0</v>
      </c>
      <c r="L37" s="11">
        <f>K37/0.05*0.25</f>
        <v>0</v>
      </c>
      <c r="M37" s="11">
        <f t="shared" si="1"/>
        <v>0</v>
      </c>
      <c r="N37" s="11"/>
    </row>
    <row r="38" spans="1:14">
      <c r="A38" s="29">
        <v>43556</v>
      </c>
      <c r="B38" s="35" t="s">
        <v>241</v>
      </c>
      <c r="C38" s="30"/>
      <c r="D38" s="21" t="s">
        <v>102</v>
      </c>
      <c r="E38" s="21" t="s">
        <v>103</v>
      </c>
      <c r="F38" s="3" t="s">
        <v>105</v>
      </c>
      <c r="G38" s="11"/>
      <c r="H38" s="12"/>
      <c r="I38" s="13"/>
      <c r="J38" s="11">
        <f t="shared" si="0"/>
        <v>0</v>
      </c>
      <c r="K38" s="11"/>
      <c r="L38" s="11"/>
      <c r="M38" s="11"/>
      <c r="N38" s="11"/>
    </row>
    <row r="39" spans="1:14">
      <c r="A39" s="29">
        <v>43556</v>
      </c>
      <c r="B39" s="35" t="s">
        <v>241</v>
      </c>
      <c r="C39" s="30"/>
      <c r="D39" s="21" t="s">
        <v>252</v>
      </c>
      <c r="E39" s="21" t="s">
        <v>99</v>
      </c>
      <c r="F39" s="3" t="s">
        <v>100</v>
      </c>
      <c r="G39" s="11"/>
      <c r="H39" s="12"/>
      <c r="I39" s="14"/>
      <c r="J39" s="11">
        <f t="shared" si="0"/>
        <v>0</v>
      </c>
      <c r="K39" s="11"/>
      <c r="L39" s="11"/>
      <c r="M39" s="11"/>
      <c r="N39" s="21"/>
    </row>
    <row r="40" spans="1:14">
      <c r="A40" s="29"/>
      <c r="B40" s="35"/>
      <c r="C40" s="30"/>
      <c r="D40" s="21" t="s">
        <v>252</v>
      </c>
      <c r="E40" s="21" t="s">
        <v>99</v>
      </c>
      <c r="F40" s="3" t="s">
        <v>253</v>
      </c>
      <c r="G40" s="11"/>
      <c r="H40" s="12"/>
      <c r="I40" s="85"/>
      <c r="J40" s="11">
        <f t="shared" si="0"/>
        <v>0</v>
      </c>
      <c r="K40" s="11"/>
      <c r="L40" s="11"/>
      <c r="M40" s="11"/>
      <c r="N40" s="21"/>
    </row>
    <row r="41" spans="1:14">
      <c r="A41" s="29">
        <v>43556</v>
      </c>
      <c r="B41" s="35" t="s">
        <v>241</v>
      </c>
      <c r="C41" s="30"/>
      <c r="D41" s="21" t="s">
        <v>252</v>
      </c>
      <c r="E41" s="21" t="s">
        <v>99</v>
      </c>
      <c r="F41" s="3" t="s">
        <v>251</v>
      </c>
      <c r="G41" s="11"/>
      <c r="H41" s="12"/>
      <c r="I41" s="86"/>
      <c r="J41" s="11">
        <f t="shared" si="0"/>
        <v>0</v>
      </c>
      <c r="K41" s="11"/>
      <c r="L41" s="11"/>
      <c r="M41" s="11"/>
      <c r="N41" s="11"/>
    </row>
    <row r="42" spans="1:14">
      <c r="A42" s="29"/>
      <c r="B42" s="35"/>
      <c r="C42" s="30"/>
      <c r="D42" s="21" t="s">
        <v>254</v>
      </c>
      <c r="E42" s="21" t="s">
        <v>99</v>
      </c>
      <c r="F42" s="3" t="s">
        <v>100</v>
      </c>
      <c r="G42" s="11"/>
      <c r="H42" s="12"/>
      <c r="I42" s="86"/>
      <c r="J42" s="11">
        <f t="shared" si="0"/>
        <v>0</v>
      </c>
      <c r="K42" s="11"/>
      <c r="L42" s="11"/>
      <c r="M42" s="11"/>
      <c r="N42" s="11"/>
    </row>
    <row r="43" spans="1:14">
      <c r="A43" s="29">
        <v>43556</v>
      </c>
      <c r="B43" s="35" t="s">
        <v>241</v>
      </c>
      <c r="C43" s="30"/>
      <c r="D43" s="21" t="s">
        <v>254</v>
      </c>
      <c r="E43" s="21" t="s">
        <v>99</v>
      </c>
      <c r="F43" s="3" t="s">
        <v>251</v>
      </c>
      <c r="G43" s="11"/>
      <c r="H43" s="12"/>
      <c r="I43" s="13"/>
      <c r="J43" s="11">
        <f t="shared" si="0"/>
        <v>0</v>
      </c>
      <c r="K43" s="11"/>
      <c r="L43" s="11"/>
      <c r="M43" s="11"/>
      <c r="N43" s="11"/>
    </row>
    <row r="44" spans="1:14">
      <c r="A44" s="29">
        <v>43556</v>
      </c>
      <c r="B44" s="35" t="s">
        <v>241</v>
      </c>
      <c r="C44" s="30"/>
      <c r="D44" s="21" t="s">
        <v>112</v>
      </c>
      <c r="E44" s="21" t="s">
        <v>113</v>
      </c>
      <c r="F44" s="3" t="s">
        <v>255</v>
      </c>
      <c r="G44" s="11"/>
      <c r="H44" s="12"/>
      <c r="I44" s="13"/>
      <c r="J44" s="11">
        <f t="shared" si="0"/>
        <v>0</v>
      </c>
      <c r="K44" s="11">
        <f>(J44)*0.05*N2</f>
        <v>0</v>
      </c>
      <c r="L44" s="11">
        <f t="shared" ref="L44:L48" si="2">K44/0.05*0.25</f>
        <v>0</v>
      </c>
      <c r="M44" s="11">
        <f t="shared" ref="M44:M48" si="3">L44-K44</f>
        <v>0</v>
      </c>
      <c r="N44" s="11"/>
    </row>
    <row r="45" spans="1:14">
      <c r="A45" s="29">
        <v>43556</v>
      </c>
      <c r="B45" s="35" t="s">
        <v>241</v>
      </c>
      <c r="C45" s="30"/>
      <c r="D45" s="21" t="s">
        <v>117</v>
      </c>
      <c r="E45" s="21" t="s">
        <v>82</v>
      </c>
      <c r="F45" s="3" t="s">
        <v>83</v>
      </c>
      <c r="G45" s="11"/>
      <c r="H45" s="12"/>
      <c r="I45" s="13"/>
      <c r="J45" s="11">
        <f t="shared" si="0"/>
        <v>0</v>
      </c>
      <c r="K45" s="11"/>
      <c r="L45" s="11"/>
      <c r="M45" s="11"/>
      <c r="N45" s="11"/>
    </row>
    <row r="46" spans="1:14">
      <c r="A46" s="29">
        <v>43556</v>
      </c>
      <c r="B46" s="35" t="s">
        <v>241</v>
      </c>
      <c r="C46" s="30"/>
      <c r="D46" s="21" t="s">
        <v>117</v>
      </c>
      <c r="E46" s="21" t="s">
        <v>82</v>
      </c>
      <c r="F46" s="3" t="s">
        <v>85</v>
      </c>
      <c r="G46" s="11"/>
      <c r="H46" s="12"/>
      <c r="I46" s="13"/>
      <c r="J46" s="11">
        <f t="shared" si="0"/>
        <v>0</v>
      </c>
      <c r="K46" s="11"/>
      <c r="L46" s="11"/>
      <c r="M46" s="11"/>
      <c r="N46" s="11"/>
    </row>
    <row r="47" spans="1:14">
      <c r="A47" s="29">
        <v>43556</v>
      </c>
      <c r="B47" s="35" t="s">
        <v>241</v>
      </c>
      <c r="C47" s="30"/>
      <c r="D47" s="21" t="s">
        <v>120</v>
      </c>
      <c r="E47" s="21" t="s">
        <v>82</v>
      </c>
      <c r="F47" s="3" t="s">
        <v>84</v>
      </c>
      <c r="G47" s="11"/>
      <c r="H47" s="12"/>
      <c r="I47" s="13"/>
      <c r="J47" s="11">
        <f t="shared" si="0"/>
        <v>0</v>
      </c>
      <c r="K47" s="11">
        <f>(J47+J45+J46)*0.05*N2</f>
        <v>0</v>
      </c>
      <c r="L47" s="11">
        <f t="shared" si="2"/>
        <v>0</v>
      </c>
      <c r="M47" s="11">
        <f t="shared" si="3"/>
        <v>0</v>
      </c>
      <c r="N47" s="11"/>
    </row>
    <row r="48" spans="1:14">
      <c r="A48" s="29">
        <v>43556</v>
      </c>
      <c r="B48" s="35" t="s">
        <v>241</v>
      </c>
      <c r="C48" s="30"/>
      <c r="D48" s="21" t="s">
        <v>118</v>
      </c>
      <c r="E48" s="21" t="s">
        <v>77</v>
      </c>
      <c r="F48" s="3" t="s">
        <v>78</v>
      </c>
      <c r="G48" s="11"/>
      <c r="H48" s="12"/>
      <c r="I48" s="13"/>
      <c r="J48" s="11">
        <f t="shared" si="0"/>
        <v>0</v>
      </c>
      <c r="K48" s="11">
        <f>(J48+J49+J50+J52+J51)*0.05*N2</f>
        <v>0</v>
      </c>
      <c r="L48" s="11">
        <f t="shared" si="2"/>
        <v>0</v>
      </c>
      <c r="M48" s="11">
        <f t="shared" si="3"/>
        <v>0</v>
      </c>
      <c r="N48" s="11">
        <f>M48*0.05</f>
        <v>0</v>
      </c>
    </row>
    <row r="49" spans="1:14">
      <c r="A49" s="29">
        <v>43556</v>
      </c>
      <c r="B49" s="35" t="s">
        <v>241</v>
      </c>
      <c r="C49" s="30"/>
      <c r="D49" s="21" t="s">
        <v>118</v>
      </c>
      <c r="E49" s="21" t="s">
        <v>77</v>
      </c>
      <c r="F49" s="3" t="s">
        <v>80</v>
      </c>
      <c r="G49" s="11"/>
      <c r="H49" s="12"/>
      <c r="I49" s="13"/>
      <c r="J49" s="11">
        <f t="shared" si="0"/>
        <v>0</v>
      </c>
      <c r="K49" s="11"/>
      <c r="L49" s="11"/>
      <c r="M49" s="11"/>
      <c r="N49" s="11"/>
    </row>
    <row r="50" spans="1:14">
      <c r="A50" s="29">
        <v>43556</v>
      </c>
      <c r="B50" s="35" t="s">
        <v>241</v>
      </c>
      <c r="C50" s="30"/>
      <c r="D50" s="21" t="s">
        <v>119</v>
      </c>
      <c r="E50" s="21" t="s">
        <v>77</v>
      </c>
      <c r="F50" s="3" t="s">
        <v>78</v>
      </c>
      <c r="G50" s="11"/>
      <c r="H50" s="12"/>
      <c r="I50" s="13"/>
      <c r="J50" s="11">
        <f t="shared" si="0"/>
        <v>0</v>
      </c>
      <c r="K50" s="11"/>
      <c r="L50" s="11"/>
      <c r="M50" s="11"/>
      <c r="N50" s="11"/>
    </row>
    <row r="51" spans="1:14">
      <c r="A51" s="29">
        <v>43556</v>
      </c>
      <c r="B51" s="35" t="s">
        <v>241</v>
      </c>
      <c r="C51" s="30"/>
      <c r="D51" s="21" t="s">
        <v>119</v>
      </c>
      <c r="E51" s="21" t="s">
        <v>77</v>
      </c>
      <c r="F51" s="3" t="s">
        <v>79</v>
      </c>
      <c r="G51" s="11"/>
      <c r="H51" s="12"/>
      <c r="I51" s="13"/>
      <c r="J51" s="11">
        <f t="shared" si="0"/>
        <v>0</v>
      </c>
      <c r="K51" s="11"/>
      <c r="L51" s="11"/>
      <c r="M51" s="11"/>
      <c r="N51" s="11"/>
    </row>
    <row r="52" spans="1:14">
      <c r="A52" s="29">
        <v>43556</v>
      </c>
      <c r="B52" s="35" t="s">
        <v>241</v>
      </c>
      <c r="C52" s="30"/>
      <c r="D52" s="21" t="s">
        <v>119</v>
      </c>
      <c r="E52" s="21" t="s">
        <v>77</v>
      </c>
      <c r="F52" s="3" t="s">
        <v>80</v>
      </c>
      <c r="G52" s="11"/>
      <c r="H52" s="12"/>
      <c r="I52" s="13"/>
      <c r="J52" s="11">
        <f t="shared" si="0"/>
        <v>0</v>
      </c>
      <c r="K52" s="11"/>
      <c r="L52" s="11"/>
      <c r="M52" s="11"/>
      <c r="N52" s="11"/>
    </row>
    <row r="53" spans="1:14">
      <c r="A53" s="29"/>
      <c r="B53" s="35"/>
      <c r="C53" s="30"/>
      <c r="D53" s="32" t="s">
        <v>130</v>
      </c>
      <c r="E53" s="32" t="s">
        <v>131</v>
      </c>
      <c r="F53" s="32" t="s">
        <v>132</v>
      </c>
      <c r="G53" s="33"/>
      <c r="H53" s="34"/>
      <c r="I53" s="13"/>
      <c r="J53" s="11">
        <f t="shared" si="0"/>
        <v>0</v>
      </c>
      <c r="K53" s="11">
        <f>(J53+J54)*0.25*N2</f>
        <v>0</v>
      </c>
      <c r="L53" s="11"/>
      <c r="M53" s="11"/>
      <c r="N53" s="11"/>
    </row>
    <row r="54" spans="1:14">
      <c r="A54" s="29"/>
      <c r="B54" s="35"/>
      <c r="C54" s="26"/>
      <c r="D54" s="32" t="s">
        <v>130</v>
      </c>
      <c r="E54" s="32" t="s">
        <v>131</v>
      </c>
      <c r="F54" s="32" t="s">
        <v>256</v>
      </c>
      <c r="G54" s="33"/>
      <c r="H54" s="34"/>
      <c r="I54" s="13"/>
      <c r="J54" s="11">
        <f t="shared" si="0"/>
        <v>0</v>
      </c>
      <c r="K54" s="11"/>
      <c r="L54" s="11"/>
      <c r="M54" s="11"/>
      <c r="N54" s="11"/>
    </row>
    <row r="55" spans="1:14">
      <c r="A55" s="29">
        <v>43556</v>
      </c>
      <c r="B55" s="35" t="s">
        <v>241</v>
      </c>
      <c r="C55" s="24" t="s">
        <v>11</v>
      </c>
      <c r="D55" s="32" t="s">
        <v>257</v>
      </c>
      <c r="E55" s="32" t="s">
        <v>258</v>
      </c>
      <c r="F55" s="32" t="s">
        <v>259</v>
      </c>
      <c r="G55" s="33"/>
      <c r="H55" s="34"/>
      <c r="I55" s="13"/>
      <c r="J55" s="11">
        <f t="shared" si="0"/>
        <v>0</v>
      </c>
      <c r="K55" s="11"/>
      <c r="L55" s="11"/>
      <c r="M55" s="11"/>
      <c r="N55" s="11"/>
    </row>
    <row r="56" spans="1:14">
      <c r="A56" s="29">
        <v>43556</v>
      </c>
      <c r="B56" s="35" t="s">
        <v>241</v>
      </c>
      <c r="C56" s="24"/>
      <c r="D56" s="21" t="s">
        <v>260</v>
      </c>
      <c r="E56" s="21" t="s">
        <v>261</v>
      </c>
      <c r="F56" s="3" t="s">
        <v>262</v>
      </c>
      <c r="G56" s="11"/>
      <c r="H56" s="12"/>
      <c r="I56" s="13"/>
      <c r="J56" s="11">
        <f t="shared" si="0"/>
        <v>0</v>
      </c>
      <c r="K56" s="11">
        <f>(J56+J57+J70+J66)*0.03*N2</f>
        <v>0</v>
      </c>
      <c r="L56" s="11">
        <f>K56/0.03*0.25</f>
        <v>0</v>
      </c>
      <c r="M56" s="11">
        <f>L56-K56</f>
        <v>0</v>
      </c>
      <c r="N56" s="11"/>
    </row>
    <row r="57" spans="1:14">
      <c r="A57" s="29"/>
      <c r="B57" s="35"/>
      <c r="C57" s="24"/>
      <c r="D57" s="21" t="s">
        <v>260</v>
      </c>
      <c r="E57" s="21" t="s">
        <v>261</v>
      </c>
      <c r="F57" s="3" t="s">
        <v>263</v>
      </c>
      <c r="G57" s="11"/>
      <c r="H57" s="12"/>
      <c r="I57" s="13"/>
      <c r="J57" s="11">
        <f t="shared" si="0"/>
        <v>0</v>
      </c>
      <c r="K57" s="11"/>
      <c r="L57" s="11"/>
      <c r="M57" s="11"/>
      <c r="N57" s="11"/>
    </row>
    <row r="58" spans="1:14">
      <c r="A58" s="29">
        <v>43556</v>
      </c>
      <c r="B58" s="35" t="s">
        <v>241</v>
      </c>
      <c r="C58" s="24"/>
      <c r="D58" s="21" t="s">
        <v>147</v>
      </c>
      <c r="E58" s="21" t="s">
        <v>13</v>
      </c>
      <c r="F58" s="3" t="s">
        <v>14</v>
      </c>
      <c r="G58" s="11"/>
      <c r="H58" s="12"/>
      <c r="I58" s="13"/>
      <c r="J58" s="11">
        <f t="shared" si="0"/>
        <v>0</v>
      </c>
      <c r="K58" s="11">
        <f>(J58+J64+J65)*0.03*N2</f>
        <v>0</v>
      </c>
      <c r="L58" s="11">
        <f>K58/0.03*0.25</f>
        <v>0</v>
      </c>
      <c r="M58" s="11">
        <f>L58-K58</f>
        <v>0</v>
      </c>
      <c r="N58" s="11"/>
    </row>
    <row r="59" spans="1:14">
      <c r="A59" s="29">
        <v>43556</v>
      </c>
      <c r="B59" s="35" t="s">
        <v>241</v>
      </c>
      <c r="C59" s="24"/>
      <c r="D59" s="21" t="s">
        <v>154</v>
      </c>
      <c r="E59" s="21" t="s">
        <v>150</v>
      </c>
      <c r="F59" s="3" t="s">
        <v>151</v>
      </c>
      <c r="G59" s="11"/>
      <c r="H59" s="12"/>
      <c r="I59" s="13"/>
      <c r="J59" s="11">
        <f t="shared" si="0"/>
        <v>0</v>
      </c>
      <c r="K59" s="11"/>
      <c r="L59" s="11"/>
      <c r="M59" s="11"/>
      <c r="N59" s="11"/>
    </row>
    <row r="60" spans="1:14">
      <c r="A60" s="29">
        <v>43556</v>
      </c>
      <c r="B60" s="35" t="s">
        <v>241</v>
      </c>
      <c r="C60" s="24"/>
      <c r="D60" s="21" t="s">
        <v>152</v>
      </c>
      <c r="E60" s="21" t="s">
        <v>46</v>
      </c>
      <c r="F60" s="3" t="s">
        <v>47</v>
      </c>
      <c r="G60" s="11"/>
      <c r="H60" s="12"/>
      <c r="I60" s="81"/>
      <c r="J60" s="11">
        <f t="shared" si="0"/>
        <v>0</v>
      </c>
      <c r="K60" s="11"/>
      <c r="L60" s="11"/>
      <c r="M60" s="11"/>
      <c r="N60" s="11"/>
    </row>
    <row r="61" spans="1:14">
      <c r="A61" s="29"/>
      <c r="B61" s="35"/>
      <c r="C61" s="24"/>
      <c r="D61" s="21" t="s">
        <v>152</v>
      </c>
      <c r="E61" s="21" t="s">
        <v>46</v>
      </c>
      <c r="F61" s="3" t="s">
        <v>157</v>
      </c>
      <c r="G61" s="11"/>
      <c r="H61" s="12"/>
      <c r="I61" s="13"/>
      <c r="J61" s="11">
        <f t="shared" si="0"/>
        <v>0</v>
      </c>
      <c r="K61" s="11"/>
      <c r="L61" s="11"/>
      <c r="M61" s="11"/>
      <c r="N61" s="11"/>
    </row>
    <row r="62" spans="1:14">
      <c r="A62" s="29">
        <v>43556</v>
      </c>
      <c r="B62" s="35" t="s">
        <v>241</v>
      </c>
      <c r="C62" s="24"/>
      <c r="D62" s="21" t="s">
        <v>156</v>
      </c>
      <c r="E62" s="21" t="s">
        <v>46</v>
      </c>
      <c r="F62" s="3" t="s">
        <v>47</v>
      </c>
      <c r="G62" s="11"/>
      <c r="H62" s="12"/>
      <c r="I62" s="13"/>
      <c r="J62" s="11">
        <f t="shared" si="0"/>
        <v>0</v>
      </c>
      <c r="K62" s="11"/>
      <c r="L62" s="11"/>
      <c r="M62" s="11"/>
      <c r="N62" s="11"/>
    </row>
    <row r="63" spans="1:14">
      <c r="A63" s="29"/>
      <c r="B63" s="35"/>
      <c r="C63" s="24"/>
      <c r="D63" s="21" t="s">
        <v>156</v>
      </c>
      <c r="E63" s="21" t="s">
        <v>46</v>
      </c>
      <c r="F63" s="3" t="s">
        <v>157</v>
      </c>
      <c r="G63" s="11"/>
      <c r="H63" s="12"/>
      <c r="I63" s="13"/>
      <c r="J63" s="11">
        <f t="shared" si="0"/>
        <v>0</v>
      </c>
      <c r="K63" s="11"/>
      <c r="L63" s="11"/>
      <c r="M63" s="11"/>
      <c r="N63" s="11"/>
    </row>
    <row r="64" spans="1:14">
      <c r="A64" s="29">
        <v>43556</v>
      </c>
      <c r="B64" s="35" t="s">
        <v>241</v>
      </c>
      <c r="C64" s="24"/>
      <c r="D64" s="21" t="s">
        <v>143</v>
      </c>
      <c r="E64" s="21" t="s">
        <v>13</v>
      </c>
      <c r="F64" s="3" t="s">
        <v>14</v>
      </c>
      <c r="G64" s="79"/>
      <c r="H64" s="12"/>
      <c r="I64" s="81"/>
      <c r="J64" s="11">
        <f t="shared" si="0"/>
        <v>0</v>
      </c>
      <c r="K64" s="11"/>
      <c r="L64" s="11">
        <f>K64/0.04*0.25</f>
        <v>0</v>
      </c>
      <c r="M64" s="11">
        <f>L64-K64</f>
        <v>0</v>
      </c>
      <c r="N64" s="11"/>
    </row>
    <row r="65" spans="1:14">
      <c r="A65" s="29">
        <v>43556</v>
      </c>
      <c r="B65" s="35" t="s">
        <v>241</v>
      </c>
      <c r="C65" s="24"/>
      <c r="D65" s="21" t="s">
        <v>143</v>
      </c>
      <c r="E65" s="21" t="s">
        <v>13</v>
      </c>
      <c r="F65" s="3" t="s">
        <v>264</v>
      </c>
      <c r="G65" s="79"/>
      <c r="H65" s="12"/>
      <c r="I65" s="13"/>
      <c r="J65" s="11">
        <f t="shared" si="0"/>
        <v>0</v>
      </c>
      <c r="K65" s="11"/>
      <c r="L65" s="11"/>
      <c r="M65" s="11"/>
      <c r="N65" s="11"/>
    </row>
    <row r="66" spans="1:14">
      <c r="A66" s="29">
        <v>43556</v>
      </c>
      <c r="B66" s="35" t="s">
        <v>241</v>
      </c>
      <c r="C66" s="24"/>
      <c r="D66" s="21" t="s">
        <v>265</v>
      </c>
      <c r="E66" s="21" t="s">
        <v>261</v>
      </c>
      <c r="F66" s="3" t="s">
        <v>262</v>
      </c>
      <c r="G66" s="11"/>
      <c r="H66" s="12"/>
      <c r="I66" s="14"/>
      <c r="J66" s="11">
        <f t="shared" si="0"/>
        <v>0</v>
      </c>
      <c r="K66" s="11"/>
      <c r="L66" s="11">
        <f>K66/0.03*0.25</f>
        <v>0</v>
      </c>
      <c r="M66" s="11">
        <f>L66-K66</f>
        <v>0</v>
      </c>
      <c r="N66" s="11"/>
    </row>
    <row r="67" spans="1:14">
      <c r="A67" s="29">
        <v>43556</v>
      </c>
      <c r="B67" s="35" t="s">
        <v>241</v>
      </c>
      <c r="C67" s="24"/>
      <c r="D67" s="21" t="s">
        <v>266</v>
      </c>
      <c r="E67" s="21" t="s">
        <v>46</v>
      </c>
      <c r="F67" s="3" t="s">
        <v>47</v>
      </c>
      <c r="G67" s="79"/>
      <c r="H67" s="12"/>
      <c r="I67" s="13"/>
      <c r="J67" s="11">
        <f t="shared" ref="J67:J130" si="4">(G67*H67*1)-I67</f>
        <v>0</v>
      </c>
      <c r="K67" s="11">
        <f>(J67+J68+J69+J60+J61+J62+J63)*0.2*N2</f>
        <v>0</v>
      </c>
      <c r="L67" s="11"/>
      <c r="M67" s="11"/>
      <c r="N67" s="11"/>
    </row>
    <row r="68" spans="1:14">
      <c r="A68" s="29">
        <v>43556</v>
      </c>
      <c r="B68" s="35" t="s">
        <v>241</v>
      </c>
      <c r="C68" s="24"/>
      <c r="D68" s="21" t="s">
        <v>267</v>
      </c>
      <c r="E68" s="21" t="s">
        <v>46</v>
      </c>
      <c r="F68" s="3" t="s">
        <v>47</v>
      </c>
      <c r="G68" s="11"/>
      <c r="H68" s="12"/>
      <c r="I68" s="13"/>
      <c r="J68" s="11">
        <f t="shared" si="4"/>
        <v>0</v>
      </c>
      <c r="K68" s="11"/>
      <c r="L68" s="11"/>
      <c r="M68" s="11"/>
      <c r="N68" s="11"/>
    </row>
    <row r="69" spans="1:14">
      <c r="A69" s="29">
        <v>43556</v>
      </c>
      <c r="B69" s="35" t="s">
        <v>241</v>
      </c>
      <c r="C69" s="24"/>
      <c r="D69" s="21" t="s">
        <v>267</v>
      </c>
      <c r="E69" s="21" t="s">
        <v>46</v>
      </c>
      <c r="F69" s="3" t="s">
        <v>157</v>
      </c>
      <c r="G69" s="11"/>
      <c r="H69" s="12"/>
      <c r="I69" s="13"/>
      <c r="J69" s="11">
        <f t="shared" si="4"/>
        <v>0</v>
      </c>
      <c r="K69" s="11"/>
      <c r="L69" s="11"/>
      <c r="M69" s="11"/>
      <c r="N69" s="11"/>
    </row>
    <row r="70" spans="1:14">
      <c r="A70" s="29">
        <v>43556</v>
      </c>
      <c r="B70" s="35" t="s">
        <v>241</v>
      </c>
      <c r="C70" s="24"/>
      <c r="D70" s="21" t="s">
        <v>268</v>
      </c>
      <c r="E70" s="21" t="s">
        <v>261</v>
      </c>
      <c r="F70" s="3" t="s">
        <v>262</v>
      </c>
      <c r="G70" s="11"/>
      <c r="H70" s="12"/>
      <c r="I70" s="13"/>
      <c r="J70" s="11">
        <f t="shared" si="4"/>
        <v>0</v>
      </c>
      <c r="K70" s="11"/>
      <c r="L70" s="11"/>
      <c r="M70" s="11"/>
      <c r="N70" s="11"/>
    </row>
    <row r="71" spans="1:14">
      <c r="A71" s="29">
        <v>43556</v>
      </c>
      <c r="B71" s="35" t="s">
        <v>241</v>
      </c>
      <c r="C71" s="24" t="s">
        <v>269</v>
      </c>
      <c r="D71" s="21" t="s">
        <v>140</v>
      </c>
      <c r="E71" s="21" t="s">
        <v>38</v>
      </c>
      <c r="F71" s="3" t="s">
        <v>39</v>
      </c>
      <c r="G71" s="11"/>
      <c r="H71" s="12"/>
      <c r="I71" s="13"/>
      <c r="J71" s="11">
        <f t="shared" si="4"/>
        <v>0</v>
      </c>
      <c r="K71" s="11"/>
      <c r="L71" s="11">
        <f>K71/0.05*0.25</f>
        <v>0</v>
      </c>
      <c r="M71" s="11">
        <f>L71-K71</f>
        <v>0</v>
      </c>
      <c r="N71" s="11"/>
    </row>
    <row r="72" spans="1:14">
      <c r="A72" s="29">
        <v>43556</v>
      </c>
      <c r="B72" s="35" t="s">
        <v>241</v>
      </c>
      <c r="C72" s="24"/>
      <c r="D72" s="21" t="s">
        <v>19</v>
      </c>
      <c r="E72" s="21" t="s">
        <v>20</v>
      </c>
      <c r="F72" s="3" t="s">
        <v>21</v>
      </c>
      <c r="G72" s="11"/>
      <c r="H72" s="12"/>
      <c r="I72" s="81"/>
      <c r="J72" s="11">
        <f t="shared" si="4"/>
        <v>0</v>
      </c>
      <c r="K72" s="11">
        <f>(J72+J73+J92+J93+J74+J75+J94)*0.03*N2</f>
        <v>0</v>
      </c>
      <c r="L72" s="11">
        <f>K72/0.03*0.25</f>
        <v>0</v>
      </c>
      <c r="M72" s="11">
        <f>L72-K72</f>
        <v>0</v>
      </c>
      <c r="N72" s="11"/>
    </row>
    <row r="73" spans="1:14">
      <c r="A73" s="29">
        <v>43556</v>
      </c>
      <c r="B73" s="35" t="s">
        <v>241</v>
      </c>
      <c r="C73" s="24"/>
      <c r="D73" s="21" t="s">
        <v>19</v>
      </c>
      <c r="E73" s="21" t="s">
        <v>20</v>
      </c>
      <c r="F73" s="3" t="s">
        <v>133</v>
      </c>
      <c r="G73" s="11"/>
      <c r="H73" s="12"/>
      <c r="I73" s="14"/>
      <c r="J73" s="11">
        <f t="shared" si="4"/>
        <v>0</v>
      </c>
      <c r="K73" s="11"/>
      <c r="L73" s="11"/>
      <c r="M73" s="11"/>
      <c r="N73" s="11"/>
    </row>
    <row r="74" spans="1:14">
      <c r="A74" s="29">
        <v>43556</v>
      </c>
      <c r="B74" s="35" t="s">
        <v>241</v>
      </c>
      <c r="C74" s="24"/>
      <c r="D74" s="21" t="s">
        <v>23</v>
      </c>
      <c r="E74" s="21" t="s">
        <v>20</v>
      </c>
      <c r="F74" s="3" t="s">
        <v>21</v>
      </c>
      <c r="G74" s="11"/>
      <c r="H74" s="12"/>
      <c r="I74" s="81"/>
      <c r="J74" s="11">
        <f t="shared" si="4"/>
        <v>0</v>
      </c>
      <c r="K74" s="11"/>
      <c r="L74" s="11"/>
      <c r="M74" s="11"/>
      <c r="N74" s="11"/>
    </row>
    <row r="75" spans="1:14">
      <c r="A75" s="29"/>
      <c r="B75" s="35"/>
      <c r="C75" s="24"/>
      <c r="D75" s="21" t="s">
        <v>23</v>
      </c>
      <c r="E75" s="21" t="s">
        <v>20</v>
      </c>
      <c r="F75" s="3" t="s">
        <v>133</v>
      </c>
      <c r="G75" s="11"/>
      <c r="H75" s="12"/>
      <c r="I75" s="81"/>
      <c r="J75" s="11">
        <f t="shared" si="4"/>
        <v>0</v>
      </c>
      <c r="K75" s="11"/>
      <c r="L75" s="11"/>
      <c r="M75" s="11"/>
      <c r="N75" s="11"/>
    </row>
    <row r="76" spans="1:14">
      <c r="A76" s="29">
        <v>43556</v>
      </c>
      <c r="B76" s="35" t="s">
        <v>241</v>
      </c>
      <c r="C76" s="24"/>
      <c r="D76" s="21" t="s">
        <v>27</v>
      </c>
      <c r="E76" s="21" t="s">
        <v>25</v>
      </c>
      <c r="F76" s="3" t="s">
        <v>26</v>
      </c>
      <c r="G76" s="11"/>
      <c r="H76" s="12"/>
      <c r="I76" s="13"/>
      <c r="J76" s="11">
        <f t="shared" si="4"/>
        <v>0</v>
      </c>
      <c r="K76" s="11">
        <f>(J76+J77)*0.15*N2</f>
        <v>0</v>
      </c>
      <c r="L76" s="11"/>
      <c r="M76" s="11"/>
      <c r="N76" s="11"/>
    </row>
    <row r="77" spans="1:14">
      <c r="A77" s="29">
        <v>43556</v>
      </c>
      <c r="B77" s="35" t="s">
        <v>241</v>
      </c>
      <c r="C77" s="24"/>
      <c r="D77" s="21" t="s">
        <v>27</v>
      </c>
      <c r="E77" s="21" t="s">
        <v>25</v>
      </c>
      <c r="F77" s="3" t="s">
        <v>270</v>
      </c>
      <c r="G77" s="11"/>
      <c r="H77" s="12"/>
      <c r="I77" s="13"/>
      <c r="J77" s="11">
        <f t="shared" si="4"/>
        <v>0</v>
      </c>
      <c r="K77" s="11"/>
      <c r="L77" s="11"/>
      <c r="M77" s="11"/>
      <c r="N77" s="11"/>
    </row>
    <row r="78" spans="1:14">
      <c r="A78" s="29">
        <v>43556</v>
      </c>
      <c r="B78" s="35" t="s">
        <v>241</v>
      </c>
      <c r="C78" s="24"/>
      <c r="D78" s="21" t="s">
        <v>37</v>
      </c>
      <c r="E78" s="21" t="s">
        <v>35</v>
      </c>
      <c r="F78" s="3" t="s">
        <v>36</v>
      </c>
      <c r="G78" s="11"/>
      <c r="H78" s="12"/>
      <c r="I78" s="81"/>
      <c r="J78" s="11">
        <f t="shared" si="4"/>
        <v>0</v>
      </c>
      <c r="K78" s="11"/>
      <c r="L78" s="11">
        <f>K78/0.03*0.25</f>
        <v>0</v>
      </c>
      <c r="M78" s="11">
        <f>L78-K78</f>
        <v>0</v>
      </c>
      <c r="N78" s="11"/>
    </row>
    <row r="79" spans="1:14">
      <c r="A79" s="29">
        <v>43556</v>
      </c>
      <c r="B79" s="35" t="s">
        <v>241</v>
      </c>
      <c r="C79" s="24"/>
      <c r="D79" s="21" t="s">
        <v>37</v>
      </c>
      <c r="E79" s="21" t="s">
        <v>35</v>
      </c>
      <c r="F79" s="3" t="s">
        <v>271</v>
      </c>
      <c r="G79" s="11"/>
      <c r="H79" s="12"/>
      <c r="I79" s="13"/>
      <c r="J79" s="11">
        <f t="shared" si="4"/>
        <v>0</v>
      </c>
      <c r="K79" s="11"/>
      <c r="L79" s="11"/>
      <c r="M79" s="11"/>
      <c r="N79" s="11"/>
    </row>
    <row r="80" spans="1:14">
      <c r="A80" s="29">
        <v>43556</v>
      </c>
      <c r="B80" s="35" t="s">
        <v>241</v>
      </c>
      <c r="C80" s="24"/>
      <c r="D80" s="21" t="s">
        <v>16</v>
      </c>
      <c r="E80" s="21" t="s">
        <v>17</v>
      </c>
      <c r="F80" s="3" t="s">
        <v>18</v>
      </c>
      <c r="G80" s="11"/>
      <c r="H80" s="12"/>
      <c r="I80" s="14"/>
      <c r="J80" s="11">
        <f t="shared" si="4"/>
        <v>0</v>
      </c>
      <c r="K80" s="11"/>
      <c r="L80" s="11"/>
      <c r="M80" s="11"/>
      <c r="N80" s="11"/>
    </row>
    <row r="81" spans="1:14">
      <c r="A81" s="29">
        <v>43556</v>
      </c>
      <c r="B81" s="35" t="s">
        <v>241</v>
      </c>
      <c r="C81" s="24"/>
      <c r="D81" s="21" t="s">
        <v>16</v>
      </c>
      <c r="E81" s="21" t="s">
        <v>17</v>
      </c>
      <c r="F81" s="3" t="s">
        <v>141</v>
      </c>
      <c r="G81" s="11"/>
      <c r="H81" s="12"/>
      <c r="I81" s="81"/>
      <c r="J81" s="11">
        <f t="shared" si="4"/>
        <v>0</v>
      </c>
      <c r="K81" s="11"/>
      <c r="L81" s="11"/>
      <c r="M81" s="11"/>
      <c r="N81" s="11"/>
    </row>
    <row r="82" spans="1:14">
      <c r="A82" s="29">
        <v>43556</v>
      </c>
      <c r="B82" s="35" t="s">
        <v>241</v>
      </c>
      <c r="C82" s="24"/>
      <c r="D82" s="21" t="s">
        <v>134</v>
      </c>
      <c r="E82" s="21" t="s">
        <v>29</v>
      </c>
      <c r="F82" s="3" t="s">
        <v>30</v>
      </c>
      <c r="G82" s="11"/>
      <c r="H82" s="12"/>
      <c r="I82" s="81"/>
      <c r="J82" s="11">
        <f t="shared" si="4"/>
        <v>0</v>
      </c>
      <c r="K82" s="11">
        <f>(J82+J83+J84+J86+J85+J87)*0.05*N2</f>
        <v>0</v>
      </c>
      <c r="L82" s="11">
        <f>K82/0.05*0.25</f>
        <v>0</v>
      </c>
      <c r="M82" s="11">
        <f>L82-K82</f>
        <v>0</v>
      </c>
      <c r="N82" s="11"/>
    </row>
    <row r="83" spans="1:14">
      <c r="A83" s="29">
        <v>43556</v>
      </c>
      <c r="B83" s="35" t="s">
        <v>241</v>
      </c>
      <c r="C83" s="24"/>
      <c r="D83" s="21" t="s">
        <v>134</v>
      </c>
      <c r="E83" s="21" t="s">
        <v>29</v>
      </c>
      <c r="F83" s="3" t="s">
        <v>135</v>
      </c>
      <c r="G83" s="11"/>
      <c r="H83" s="12"/>
      <c r="I83" s="13"/>
      <c r="J83" s="11">
        <f t="shared" si="4"/>
        <v>0</v>
      </c>
      <c r="K83" s="11"/>
      <c r="L83" s="11"/>
      <c r="M83" s="11"/>
      <c r="N83" s="11"/>
    </row>
    <row r="84" spans="1:14">
      <c r="A84" s="29">
        <v>43556</v>
      </c>
      <c r="B84" s="35" t="s">
        <v>241</v>
      </c>
      <c r="C84" s="24"/>
      <c r="D84" s="21" t="s">
        <v>136</v>
      </c>
      <c r="E84" s="21" t="s">
        <v>29</v>
      </c>
      <c r="F84" s="3" t="s">
        <v>30</v>
      </c>
      <c r="G84" s="11"/>
      <c r="H84" s="12"/>
      <c r="I84" s="81"/>
      <c r="J84" s="11">
        <f t="shared" si="4"/>
        <v>0</v>
      </c>
      <c r="K84" s="11"/>
      <c r="L84" s="11"/>
      <c r="M84" s="11"/>
      <c r="N84" s="11"/>
    </row>
    <row r="85" spans="1:14">
      <c r="A85" s="29">
        <v>43556</v>
      </c>
      <c r="B85" s="35" t="s">
        <v>241</v>
      </c>
      <c r="C85" s="24"/>
      <c r="D85" s="21" t="s">
        <v>136</v>
      </c>
      <c r="E85" s="21" t="s">
        <v>29</v>
      </c>
      <c r="F85" s="3" t="s">
        <v>135</v>
      </c>
      <c r="G85" s="11"/>
      <c r="H85" s="12"/>
      <c r="I85" s="81"/>
      <c r="J85" s="11">
        <f t="shared" si="4"/>
        <v>0</v>
      </c>
      <c r="K85" s="11"/>
      <c r="L85" s="11"/>
      <c r="M85" s="11"/>
      <c r="N85" s="11"/>
    </row>
    <row r="86" spans="1:14">
      <c r="A86" s="29">
        <v>43556</v>
      </c>
      <c r="B86" s="35" t="s">
        <v>241</v>
      </c>
      <c r="C86" s="24"/>
      <c r="D86" s="21" t="s">
        <v>28</v>
      </c>
      <c r="E86" s="21" t="s">
        <v>29</v>
      </c>
      <c r="F86" s="3" t="s">
        <v>30</v>
      </c>
      <c r="G86" s="11"/>
      <c r="H86" s="12"/>
      <c r="I86" s="81"/>
      <c r="J86" s="11">
        <f t="shared" si="4"/>
        <v>0</v>
      </c>
      <c r="K86" s="11"/>
      <c r="L86" s="11"/>
      <c r="M86" s="11"/>
      <c r="N86" s="11"/>
    </row>
    <row r="87" spans="1:14">
      <c r="A87" s="29">
        <v>43556</v>
      </c>
      <c r="B87" s="35" t="s">
        <v>241</v>
      </c>
      <c r="C87" s="24"/>
      <c r="D87" s="21" t="s">
        <v>28</v>
      </c>
      <c r="E87" s="21" t="s">
        <v>29</v>
      </c>
      <c r="F87" s="3" t="s">
        <v>135</v>
      </c>
      <c r="G87" s="11"/>
      <c r="H87" s="12"/>
      <c r="I87" s="14"/>
      <c r="J87" s="11">
        <f t="shared" si="4"/>
        <v>0</v>
      </c>
      <c r="K87" s="11"/>
      <c r="L87" s="11"/>
      <c r="M87" s="11"/>
      <c r="N87" s="11"/>
    </row>
    <row r="88" spans="1:14">
      <c r="A88" s="29">
        <v>43556</v>
      </c>
      <c r="B88" s="35" t="s">
        <v>241</v>
      </c>
      <c r="C88" s="24"/>
      <c r="D88" s="21" t="s">
        <v>31</v>
      </c>
      <c r="E88" s="21" t="s">
        <v>17</v>
      </c>
      <c r="F88" s="3" t="s">
        <v>18</v>
      </c>
      <c r="G88" s="11"/>
      <c r="H88" s="12"/>
      <c r="I88" s="14"/>
      <c r="J88" s="11">
        <f t="shared" si="4"/>
        <v>0</v>
      </c>
      <c r="K88" s="11">
        <f>(J88+J89+J80+J81)*0.05*N2</f>
        <v>0</v>
      </c>
      <c r="L88" s="11">
        <f>K88/0.05*0.25</f>
        <v>0</v>
      </c>
      <c r="M88" s="11">
        <f>L88-K88</f>
        <v>0</v>
      </c>
      <c r="N88" s="11"/>
    </row>
    <row r="89" spans="1:14">
      <c r="A89" s="29">
        <v>43556</v>
      </c>
      <c r="B89" s="35" t="s">
        <v>241</v>
      </c>
      <c r="C89" s="24"/>
      <c r="D89" s="21" t="s">
        <v>31</v>
      </c>
      <c r="E89" s="21" t="s">
        <v>17</v>
      </c>
      <c r="F89" s="3" t="s">
        <v>141</v>
      </c>
      <c r="G89" s="11"/>
      <c r="H89" s="12"/>
      <c r="I89" s="14"/>
      <c r="J89" s="11">
        <f t="shared" si="4"/>
        <v>0</v>
      </c>
      <c r="K89" s="11"/>
      <c r="L89" s="11"/>
      <c r="M89" s="11"/>
      <c r="N89" s="11"/>
    </row>
    <row r="90" spans="1:14">
      <c r="A90" s="29">
        <v>43556</v>
      </c>
      <c r="B90" s="35" t="s">
        <v>241</v>
      </c>
      <c r="C90" s="24"/>
      <c r="D90" s="21" t="s">
        <v>139</v>
      </c>
      <c r="E90" s="21" t="s">
        <v>35</v>
      </c>
      <c r="F90" s="3" t="s">
        <v>272</v>
      </c>
      <c r="G90" s="11"/>
      <c r="H90" s="12"/>
      <c r="I90" s="13"/>
      <c r="J90" s="11">
        <f t="shared" si="4"/>
        <v>0</v>
      </c>
      <c r="K90" s="11"/>
      <c r="L90" s="11"/>
      <c r="M90" s="11"/>
      <c r="N90" s="11"/>
    </row>
    <row r="91" spans="1:14">
      <c r="A91" s="29"/>
      <c r="B91" s="35"/>
      <c r="C91" s="24"/>
      <c r="D91" s="21" t="s">
        <v>212</v>
      </c>
      <c r="E91" s="21" t="s">
        <v>35</v>
      </c>
      <c r="F91" s="3" t="s">
        <v>213</v>
      </c>
      <c r="G91" s="11"/>
      <c r="H91" s="12"/>
      <c r="I91" s="13"/>
      <c r="J91" s="11">
        <f t="shared" si="4"/>
        <v>0</v>
      </c>
      <c r="K91" s="11"/>
      <c r="L91" s="11"/>
      <c r="M91" s="11"/>
      <c r="N91" s="11"/>
    </row>
    <row r="92" spans="1:14">
      <c r="A92" s="29">
        <v>43556</v>
      </c>
      <c r="B92" s="35" t="s">
        <v>241</v>
      </c>
      <c r="C92" s="24"/>
      <c r="D92" s="21" t="s">
        <v>22</v>
      </c>
      <c r="E92" s="21" t="s">
        <v>20</v>
      </c>
      <c r="F92" s="3" t="s">
        <v>21</v>
      </c>
      <c r="G92" s="11"/>
      <c r="H92" s="12"/>
      <c r="I92" s="81"/>
      <c r="J92" s="11">
        <f t="shared" si="4"/>
        <v>0</v>
      </c>
      <c r="K92" s="11"/>
      <c r="L92" s="11"/>
      <c r="M92" s="11"/>
      <c r="N92" s="11"/>
    </row>
    <row r="93" spans="1:14">
      <c r="A93" s="29">
        <v>43556</v>
      </c>
      <c r="B93" s="35" t="s">
        <v>241</v>
      </c>
      <c r="C93" s="24"/>
      <c r="D93" s="21" t="s">
        <v>22</v>
      </c>
      <c r="E93" s="21" t="s">
        <v>20</v>
      </c>
      <c r="F93" s="3" t="s">
        <v>133</v>
      </c>
      <c r="G93" s="11"/>
      <c r="H93" s="12"/>
      <c r="I93" s="81"/>
      <c r="J93" s="11">
        <f t="shared" si="4"/>
        <v>0</v>
      </c>
      <c r="K93" s="11"/>
      <c r="L93" s="11"/>
      <c r="M93" s="11"/>
      <c r="N93" s="11"/>
    </row>
    <row r="94" spans="1:14">
      <c r="A94" s="29"/>
      <c r="B94" s="35"/>
      <c r="C94" s="24"/>
      <c r="D94" s="21" t="s">
        <v>76</v>
      </c>
      <c r="E94" s="21" t="s">
        <v>20</v>
      </c>
      <c r="F94" s="3" t="s">
        <v>21</v>
      </c>
      <c r="G94" s="11"/>
      <c r="H94" s="12"/>
      <c r="I94" s="81"/>
      <c r="J94" s="11">
        <f t="shared" si="4"/>
        <v>0</v>
      </c>
      <c r="K94" s="11"/>
      <c r="L94" s="11"/>
      <c r="M94" s="11"/>
      <c r="N94" s="11"/>
    </row>
    <row r="95" spans="1:14">
      <c r="A95" s="29">
        <v>43556</v>
      </c>
      <c r="B95" s="35" t="s">
        <v>241</v>
      </c>
      <c r="C95" s="24"/>
      <c r="D95" s="21" t="s">
        <v>34</v>
      </c>
      <c r="E95" s="21" t="s">
        <v>38</v>
      </c>
      <c r="F95" s="3" t="s">
        <v>39</v>
      </c>
      <c r="G95" s="11"/>
      <c r="H95" s="12"/>
      <c r="I95" s="81"/>
      <c r="J95" s="11">
        <f t="shared" si="4"/>
        <v>0</v>
      </c>
      <c r="K95" s="11"/>
      <c r="L95" s="11"/>
      <c r="M95" s="11"/>
      <c r="N95" s="11"/>
    </row>
    <row r="96" spans="1:14">
      <c r="A96" s="29">
        <v>43556</v>
      </c>
      <c r="B96" s="35" t="s">
        <v>241</v>
      </c>
      <c r="C96" s="24" t="s">
        <v>158</v>
      </c>
      <c r="D96" s="21" t="s">
        <v>222</v>
      </c>
      <c r="E96" s="21" t="s">
        <v>223</v>
      </c>
      <c r="F96" s="3" t="s">
        <v>225</v>
      </c>
      <c r="G96" s="11"/>
      <c r="H96" s="12"/>
      <c r="I96" s="81"/>
      <c r="J96" s="11">
        <f t="shared" si="4"/>
        <v>0</v>
      </c>
      <c r="K96" s="11"/>
      <c r="L96" s="11"/>
      <c r="M96" s="11"/>
      <c r="N96" s="11"/>
    </row>
    <row r="97" spans="1:14">
      <c r="A97" s="29">
        <v>43556</v>
      </c>
      <c r="B97" s="35" t="s">
        <v>241</v>
      </c>
      <c r="C97" s="24"/>
      <c r="D97" s="21" t="s">
        <v>222</v>
      </c>
      <c r="E97" s="21" t="s">
        <v>223</v>
      </c>
      <c r="F97" s="3" t="s">
        <v>273</v>
      </c>
      <c r="G97" s="11"/>
      <c r="H97" s="12"/>
      <c r="I97" s="81"/>
      <c r="J97" s="11">
        <f t="shared" si="4"/>
        <v>0</v>
      </c>
      <c r="K97" s="11"/>
      <c r="L97" s="11"/>
      <c r="M97" s="11"/>
      <c r="N97" s="11"/>
    </row>
    <row r="98" spans="1:14">
      <c r="A98" s="29">
        <v>43556</v>
      </c>
      <c r="B98" s="35" t="s">
        <v>241</v>
      </c>
      <c r="C98" s="24"/>
      <c r="D98" s="21" t="s">
        <v>169</v>
      </c>
      <c r="E98" s="21" t="s">
        <v>167</v>
      </c>
      <c r="F98" s="3" t="s">
        <v>168</v>
      </c>
      <c r="G98" s="11"/>
      <c r="H98" s="12"/>
      <c r="I98" s="81"/>
      <c r="J98" s="11">
        <f t="shared" si="4"/>
        <v>0</v>
      </c>
      <c r="K98" s="11">
        <f>(J98+J99+J100+J102+J103+J101)*0.04*N2</f>
        <v>0</v>
      </c>
      <c r="L98" s="11">
        <f>K98/0.04*0.25</f>
        <v>0</v>
      </c>
      <c r="M98" s="11">
        <f>L98-K98</f>
        <v>0</v>
      </c>
      <c r="N98" s="11"/>
    </row>
    <row r="99" spans="1:14">
      <c r="A99" s="29">
        <v>43556</v>
      </c>
      <c r="B99" s="35" t="s">
        <v>241</v>
      </c>
      <c r="C99" s="24"/>
      <c r="D99" s="21" t="s">
        <v>169</v>
      </c>
      <c r="E99" s="21" t="s">
        <v>167</v>
      </c>
      <c r="F99" s="3" t="s">
        <v>170</v>
      </c>
      <c r="G99" s="11"/>
      <c r="H99" s="12"/>
      <c r="I99" s="13"/>
      <c r="J99" s="11">
        <f t="shared" si="4"/>
        <v>0</v>
      </c>
      <c r="K99" s="11"/>
      <c r="L99" s="11"/>
      <c r="M99" s="11"/>
      <c r="N99" s="11"/>
    </row>
    <row r="100" spans="1:14">
      <c r="A100" s="29">
        <v>43556</v>
      </c>
      <c r="B100" s="35" t="s">
        <v>241</v>
      </c>
      <c r="C100" s="24"/>
      <c r="D100" s="21" t="s">
        <v>169</v>
      </c>
      <c r="E100" s="21" t="s">
        <v>167</v>
      </c>
      <c r="F100" s="3" t="s">
        <v>215</v>
      </c>
      <c r="G100" s="11"/>
      <c r="H100" s="12"/>
      <c r="I100" s="13"/>
      <c r="J100" s="11">
        <f t="shared" si="4"/>
        <v>0</v>
      </c>
      <c r="K100" s="11"/>
      <c r="L100" s="11"/>
      <c r="M100" s="11"/>
      <c r="N100" s="11"/>
    </row>
    <row r="101" spans="1:14">
      <c r="A101" s="29"/>
      <c r="B101" s="35"/>
      <c r="C101" s="24"/>
      <c r="D101" s="21" t="s">
        <v>166</v>
      </c>
      <c r="E101" s="21" t="s">
        <v>167</v>
      </c>
      <c r="F101" s="3" t="s">
        <v>168</v>
      </c>
      <c r="G101" s="11"/>
      <c r="H101" s="12"/>
      <c r="I101" s="81"/>
      <c r="J101" s="11">
        <f t="shared" si="4"/>
        <v>0</v>
      </c>
      <c r="K101" s="11"/>
      <c r="L101" s="11"/>
      <c r="M101" s="11"/>
      <c r="N101" s="11"/>
    </row>
    <row r="102" spans="1:14">
      <c r="A102" s="29"/>
      <c r="B102" s="35"/>
      <c r="C102" s="24"/>
      <c r="D102" s="21" t="s">
        <v>166</v>
      </c>
      <c r="E102" s="21" t="s">
        <v>167</v>
      </c>
      <c r="F102" s="3" t="s">
        <v>170</v>
      </c>
      <c r="G102" s="11"/>
      <c r="H102" s="12"/>
      <c r="I102" s="14"/>
      <c r="J102" s="11">
        <f t="shared" si="4"/>
        <v>0</v>
      </c>
      <c r="K102" s="11"/>
      <c r="L102" s="11"/>
      <c r="M102" s="11"/>
      <c r="N102" s="11"/>
    </row>
    <row r="103" spans="1:14">
      <c r="A103" s="29"/>
      <c r="B103" s="35"/>
      <c r="C103" s="24"/>
      <c r="D103" s="21" t="s">
        <v>166</v>
      </c>
      <c r="E103" s="21" t="s">
        <v>167</v>
      </c>
      <c r="F103" s="3" t="s">
        <v>215</v>
      </c>
      <c r="G103" s="11"/>
      <c r="H103" s="12"/>
      <c r="I103" s="14"/>
      <c r="J103" s="11">
        <f t="shared" si="4"/>
        <v>0</v>
      </c>
      <c r="K103" s="11"/>
      <c r="L103" s="11"/>
      <c r="M103" s="11"/>
      <c r="N103" s="11"/>
    </row>
    <row r="104" spans="1:14">
      <c r="A104" s="29">
        <v>43556</v>
      </c>
      <c r="B104" s="35" t="s">
        <v>241</v>
      </c>
      <c r="C104" s="24"/>
      <c r="D104" s="21" t="s">
        <v>229</v>
      </c>
      <c r="E104" s="21" t="s">
        <v>177</v>
      </c>
      <c r="F104" s="3" t="s">
        <v>178</v>
      </c>
      <c r="G104" s="11"/>
      <c r="H104" s="12"/>
      <c r="I104" s="81"/>
      <c r="J104" s="11">
        <f t="shared" si="4"/>
        <v>0</v>
      </c>
      <c r="K104" s="11">
        <f>(J104+J105+J122+J123+J124)*0.03*N2</f>
        <v>0</v>
      </c>
      <c r="L104" s="11">
        <f>K104/0.03*0.25</f>
        <v>0</v>
      </c>
      <c r="M104" s="11">
        <f>L104-K104</f>
        <v>0</v>
      </c>
      <c r="N104" s="11"/>
    </row>
    <row r="105" spans="1:14">
      <c r="A105" s="29"/>
      <c r="B105" s="35"/>
      <c r="C105" s="24"/>
      <c r="D105" s="21" t="s">
        <v>229</v>
      </c>
      <c r="E105" s="21" t="s">
        <v>177</v>
      </c>
      <c r="F105" s="3" t="s">
        <v>274</v>
      </c>
      <c r="G105" s="11"/>
      <c r="H105" s="12"/>
      <c r="I105" s="13"/>
      <c r="J105" s="11">
        <f t="shared" si="4"/>
        <v>0</v>
      </c>
      <c r="K105" s="11"/>
      <c r="L105" s="11"/>
      <c r="M105" s="11"/>
      <c r="N105" s="11"/>
    </row>
    <row r="106" spans="1:14">
      <c r="A106" s="29"/>
      <c r="B106" s="35"/>
      <c r="C106" s="24"/>
      <c r="D106" s="21" t="s">
        <v>229</v>
      </c>
      <c r="E106" s="21" t="s">
        <v>223</v>
      </c>
      <c r="F106" s="3" t="s">
        <v>225</v>
      </c>
      <c r="G106" s="11"/>
      <c r="H106" s="12"/>
      <c r="I106" s="13"/>
      <c r="J106" s="11">
        <f t="shared" si="4"/>
        <v>0</v>
      </c>
      <c r="K106" s="11">
        <f>(J106+J107+J108+J96+J97)*0.05*N2</f>
        <v>0</v>
      </c>
      <c r="L106" s="11">
        <f>K106/0.05*0.25</f>
        <v>0</v>
      </c>
      <c r="M106" s="11">
        <f>L106-K106</f>
        <v>0</v>
      </c>
      <c r="N106" s="11"/>
    </row>
    <row r="107" spans="1:14">
      <c r="A107" s="29">
        <v>43556</v>
      </c>
      <c r="B107" s="35" t="s">
        <v>241</v>
      </c>
      <c r="C107" s="24"/>
      <c r="D107" s="21" t="s">
        <v>231</v>
      </c>
      <c r="E107" s="21" t="s">
        <v>223</v>
      </c>
      <c r="F107" s="3" t="s">
        <v>225</v>
      </c>
      <c r="G107" s="11"/>
      <c r="H107" s="12"/>
      <c r="I107" s="13"/>
      <c r="J107" s="11">
        <f t="shared" si="4"/>
        <v>0</v>
      </c>
      <c r="K107" s="11"/>
      <c r="L107" s="11"/>
      <c r="M107" s="11"/>
      <c r="N107" s="11"/>
    </row>
    <row r="108" spans="1:14">
      <c r="A108" s="29">
        <v>43556</v>
      </c>
      <c r="B108" s="35" t="s">
        <v>241</v>
      </c>
      <c r="C108" s="24"/>
      <c r="D108" s="21" t="s">
        <v>231</v>
      </c>
      <c r="E108" s="21" t="s">
        <v>223</v>
      </c>
      <c r="F108" s="3" t="s">
        <v>273</v>
      </c>
      <c r="G108" s="11"/>
      <c r="H108" s="12"/>
      <c r="I108" s="13"/>
      <c r="J108" s="11">
        <f t="shared" si="4"/>
        <v>0</v>
      </c>
      <c r="K108" s="11"/>
      <c r="L108" s="11"/>
      <c r="M108" s="11"/>
      <c r="N108" s="11"/>
    </row>
    <row r="109" spans="1:14">
      <c r="A109" s="29">
        <v>43556</v>
      </c>
      <c r="B109" s="35" t="s">
        <v>241</v>
      </c>
      <c r="C109" s="24"/>
      <c r="D109" s="21" t="s">
        <v>41</v>
      </c>
      <c r="E109" s="21" t="s">
        <v>42</v>
      </c>
      <c r="F109" s="3" t="s">
        <v>43</v>
      </c>
      <c r="G109" s="11"/>
      <c r="H109" s="12"/>
      <c r="I109" s="81"/>
      <c r="J109" s="11">
        <f t="shared" si="4"/>
        <v>0</v>
      </c>
      <c r="K109" s="11"/>
      <c r="L109" s="11"/>
      <c r="M109" s="11"/>
      <c r="N109" s="11"/>
    </row>
    <row r="110" spans="1:14">
      <c r="A110" s="29">
        <v>43556</v>
      </c>
      <c r="B110" s="35" t="s">
        <v>241</v>
      </c>
      <c r="C110" s="24"/>
      <c r="D110" s="21" t="s">
        <v>41</v>
      </c>
      <c r="E110" s="21" t="s">
        <v>42</v>
      </c>
      <c r="F110" s="3" t="s">
        <v>165</v>
      </c>
      <c r="G110" s="11"/>
      <c r="H110" s="12"/>
      <c r="I110" s="13"/>
      <c r="J110" s="11">
        <f t="shared" si="4"/>
        <v>0</v>
      </c>
      <c r="K110" s="11"/>
      <c r="L110" s="11">
        <f>K110/0.05*0.25</f>
        <v>0</v>
      </c>
      <c r="M110" s="11">
        <f t="shared" ref="M110:M115" si="5">L110-K110</f>
        <v>0</v>
      </c>
      <c r="N110" s="11"/>
    </row>
    <row r="111" spans="1:14">
      <c r="A111" s="29">
        <v>43556</v>
      </c>
      <c r="B111" s="35" t="s">
        <v>241</v>
      </c>
      <c r="C111" s="24"/>
      <c r="D111" s="21" t="s">
        <v>41</v>
      </c>
      <c r="E111" s="21" t="s">
        <v>42</v>
      </c>
      <c r="F111" s="3" t="s">
        <v>218</v>
      </c>
      <c r="G111" s="11"/>
      <c r="H111" s="12"/>
      <c r="I111" s="13"/>
      <c r="J111" s="11">
        <f t="shared" si="4"/>
        <v>0</v>
      </c>
      <c r="K111" s="11"/>
      <c r="L111" s="11"/>
      <c r="M111" s="11"/>
      <c r="N111" s="11"/>
    </row>
    <row r="112" spans="1:14">
      <c r="A112" s="29">
        <v>43556</v>
      </c>
      <c r="B112" s="35" t="s">
        <v>241</v>
      </c>
      <c r="C112" s="24"/>
      <c r="D112" s="21" t="s">
        <v>175</v>
      </c>
      <c r="E112" s="21" t="s">
        <v>42</v>
      </c>
      <c r="F112" s="3" t="s">
        <v>43</v>
      </c>
      <c r="G112" s="11"/>
      <c r="H112" s="12"/>
      <c r="I112" s="13"/>
      <c r="J112" s="11">
        <f t="shared" si="4"/>
        <v>0</v>
      </c>
      <c r="K112" s="11">
        <f>(J112+J113+J114+J109+J110+J111)*0.03*N2</f>
        <v>0</v>
      </c>
      <c r="L112" s="11">
        <f>K112/0.03*0.25</f>
        <v>0</v>
      </c>
      <c r="M112" s="11">
        <f t="shared" si="5"/>
        <v>0</v>
      </c>
      <c r="N112" s="11"/>
    </row>
    <row r="113" spans="1:14">
      <c r="A113" s="29">
        <v>43556</v>
      </c>
      <c r="B113" s="35" t="s">
        <v>241</v>
      </c>
      <c r="C113" s="24"/>
      <c r="D113" s="21" t="s">
        <v>175</v>
      </c>
      <c r="E113" s="21" t="s">
        <v>42</v>
      </c>
      <c r="F113" s="3" t="s">
        <v>165</v>
      </c>
      <c r="G113" s="11"/>
      <c r="H113" s="12"/>
      <c r="I113" s="14"/>
      <c r="J113" s="11">
        <f t="shared" si="4"/>
        <v>0</v>
      </c>
      <c r="K113" s="11"/>
      <c r="L113" s="11"/>
      <c r="M113" s="11"/>
      <c r="N113" s="11"/>
    </row>
    <row r="114" spans="1:14">
      <c r="A114" s="29"/>
      <c r="B114" s="35"/>
      <c r="C114" s="24"/>
      <c r="D114" s="21" t="s">
        <v>175</v>
      </c>
      <c r="E114" s="21" t="s">
        <v>42</v>
      </c>
      <c r="F114" s="3" t="s">
        <v>218</v>
      </c>
      <c r="G114" s="11"/>
      <c r="H114" s="12"/>
      <c r="I114" s="13"/>
      <c r="J114" s="11">
        <f t="shared" si="4"/>
        <v>0</v>
      </c>
      <c r="K114" s="11"/>
      <c r="L114" s="11"/>
      <c r="M114" s="11"/>
      <c r="N114" s="11"/>
    </row>
    <row r="115" spans="1:14">
      <c r="A115" s="29">
        <v>43556</v>
      </c>
      <c r="B115" s="35" t="s">
        <v>241</v>
      </c>
      <c r="C115" s="24"/>
      <c r="D115" s="21" t="s">
        <v>171</v>
      </c>
      <c r="E115" s="21" t="s">
        <v>172</v>
      </c>
      <c r="F115" s="3" t="s">
        <v>173</v>
      </c>
      <c r="G115" s="11"/>
      <c r="H115" s="12"/>
      <c r="I115" s="13"/>
      <c r="J115" s="11">
        <f t="shared" si="4"/>
        <v>0</v>
      </c>
      <c r="K115" s="11">
        <f>(J115+J116+J117+J118)*0.05*N2</f>
        <v>0</v>
      </c>
      <c r="L115" s="11">
        <f>K115/0.05*0.25</f>
        <v>0</v>
      </c>
      <c r="M115" s="11">
        <f t="shared" si="5"/>
        <v>0</v>
      </c>
      <c r="N115" s="11"/>
    </row>
    <row r="116" spans="1:14">
      <c r="A116" s="29">
        <v>43556</v>
      </c>
      <c r="B116" s="35" t="s">
        <v>241</v>
      </c>
      <c r="C116" s="24"/>
      <c r="D116" s="21" t="s">
        <v>171</v>
      </c>
      <c r="E116" s="21" t="s">
        <v>172</v>
      </c>
      <c r="F116" s="3" t="s">
        <v>174</v>
      </c>
      <c r="G116" s="11"/>
      <c r="H116" s="12"/>
      <c r="I116" s="13"/>
      <c r="J116" s="11">
        <f t="shared" si="4"/>
        <v>0</v>
      </c>
      <c r="K116" s="11"/>
      <c r="L116" s="11"/>
      <c r="M116" s="11"/>
      <c r="N116" s="11"/>
    </row>
    <row r="117" spans="1:14">
      <c r="A117" s="29">
        <v>43556</v>
      </c>
      <c r="B117" s="35" t="s">
        <v>241</v>
      </c>
      <c r="C117" s="24"/>
      <c r="D117" s="21" t="s">
        <v>171</v>
      </c>
      <c r="E117" s="21" t="s">
        <v>172</v>
      </c>
      <c r="F117" s="3" t="s">
        <v>217</v>
      </c>
      <c r="G117" s="11"/>
      <c r="H117" s="12"/>
      <c r="I117" s="13"/>
      <c r="J117" s="11">
        <f t="shared" si="4"/>
        <v>0</v>
      </c>
      <c r="K117" s="11"/>
      <c r="L117" s="11"/>
      <c r="M117" s="11"/>
      <c r="N117" s="11"/>
    </row>
    <row r="118" spans="1:14">
      <c r="A118" s="29"/>
      <c r="B118" s="35"/>
      <c r="C118" s="24"/>
      <c r="D118" s="21" t="s">
        <v>216</v>
      </c>
      <c r="E118" s="21" t="s">
        <v>172</v>
      </c>
      <c r="F118" s="3" t="s">
        <v>217</v>
      </c>
      <c r="G118" s="11"/>
      <c r="H118" s="12"/>
      <c r="I118" s="13"/>
      <c r="J118" s="11">
        <f t="shared" si="4"/>
        <v>0</v>
      </c>
      <c r="K118" s="11"/>
      <c r="L118" s="11"/>
      <c r="M118" s="11"/>
      <c r="N118" s="11"/>
    </row>
    <row r="119" spans="1:14">
      <c r="A119" s="29"/>
      <c r="B119" s="35"/>
      <c r="C119" s="24"/>
      <c r="D119" s="32" t="s">
        <v>230</v>
      </c>
      <c r="E119" s="32" t="s">
        <v>163</v>
      </c>
      <c r="F119" s="32" t="s">
        <v>227</v>
      </c>
      <c r="G119" s="33"/>
      <c r="H119" s="34"/>
      <c r="I119" s="81"/>
      <c r="J119" s="11">
        <f t="shared" si="4"/>
        <v>0</v>
      </c>
      <c r="K119" s="11"/>
      <c r="L119" s="11"/>
      <c r="M119" s="11"/>
      <c r="N119" s="11"/>
    </row>
    <row r="120" spans="1:14">
      <c r="A120" s="29">
        <v>43556</v>
      </c>
      <c r="B120" s="35" t="s">
        <v>241</v>
      </c>
      <c r="C120" s="24"/>
      <c r="D120" s="32" t="s">
        <v>230</v>
      </c>
      <c r="E120" s="32" t="s">
        <v>163</v>
      </c>
      <c r="F120" s="32" t="s">
        <v>164</v>
      </c>
      <c r="G120" s="33"/>
      <c r="H120" s="34"/>
      <c r="I120" s="81"/>
      <c r="J120" s="11">
        <f t="shared" si="4"/>
        <v>0</v>
      </c>
      <c r="K120" s="11"/>
      <c r="L120" s="11"/>
      <c r="M120" s="11"/>
      <c r="N120" s="11"/>
    </row>
    <row r="121" spans="1:14">
      <c r="A121" s="29">
        <v>43556</v>
      </c>
      <c r="B121" s="35" t="s">
        <v>241</v>
      </c>
      <c r="C121" s="24"/>
      <c r="D121" s="32" t="s">
        <v>230</v>
      </c>
      <c r="E121" s="32" t="s">
        <v>163</v>
      </c>
      <c r="F121" s="32" t="s">
        <v>275</v>
      </c>
      <c r="G121" s="33"/>
      <c r="H121" s="34"/>
      <c r="I121" s="81"/>
      <c r="J121" s="11">
        <f t="shared" si="4"/>
        <v>0</v>
      </c>
      <c r="K121" s="11"/>
      <c r="L121" s="11"/>
      <c r="M121" s="11"/>
      <c r="N121" s="11"/>
    </row>
    <row r="122" spans="1:14">
      <c r="A122" s="29">
        <v>43556</v>
      </c>
      <c r="B122" s="35" t="s">
        <v>241</v>
      </c>
      <c r="C122" s="24"/>
      <c r="D122" s="21" t="s">
        <v>176</v>
      </c>
      <c r="E122" s="21" t="s">
        <v>177</v>
      </c>
      <c r="F122" s="3" t="s">
        <v>228</v>
      </c>
      <c r="G122" s="11"/>
      <c r="H122" s="12"/>
      <c r="I122" s="81"/>
      <c r="J122" s="11">
        <f t="shared" si="4"/>
        <v>0</v>
      </c>
      <c r="K122" s="11"/>
      <c r="L122" s="11">
        <f>K122/0.05*0.25</f>
        <v>0</v>
      </c>
      <c r="M122" s="11">
        <f>L122-K122</f>
        <v>0</v>
      </c>
      <c r="N122" s="11"/>
    </row>
    <row r="123" spans="1:14">
      <c r="A123" s="29">
        <v>43556</v>
      </c>
      <c r="B123" s="35" t="s">
        <v>241</v>
      </c>
      <c r="C123" s="24"/>
      <c r="D123" s="21" t="s">
        <v>176</v>
      </c>
      <c r="E123" s="21" t="s">
        <v>177</v>
      </c>
      <c r="F123" s="3" t="s">
        <v>178</v>
      </c>
      <c r="G123" s="11"/>
      <c r="H123" s="12"/>
      <c r="I123" s="81"/>
      <c r="J123" s="11">
        <f t="shared" si="4"/>
        <v>0</v>
      </c>
      <c r="K123" s="11"/>
      <c r="L123" s="11"/>
      <c r="M123" s="11"/>
      <c r="N123" s="11"/>
    </row>
    <row r="124" spans="1:14">
      <c r="A124" s="29">
        <v>43556</v>
      </c>
      <c r="B124" s="35" t="s">
        <v>241</v>
      </c>
      <c r="C124" s="24"/>
      <c r="D124" s="21" t="s">
        <v>176</v>
      </c>
      <c r="E124" s="21" t="s">
        <v>177</v>
      </c>
      <c r="F124" s="3" t="s">
        <v>274</v>
      </c>
      <c r="G124" s="11"/>
      <c r="H124" s="12"/>
      <c r="I124" s="81"/>
      <c r="J124" s="11">
        <f t="shared" si="4"/>
        <v>0</v>
      </c>
      <c r="K124" s="11"/>
      <c r="L124" s="11"/>
      <c r="M124" s="11"/>
      <c r="N124" s="11"/>
    </row>
    <row r="125" spans="1:14">
      <c r="A125" s="29"/>
      <c r="B125" s="35"/>
      <c r="C125" s="24"/>
      <c r="D125" s="32" t="s">
        <v>226</v>
      </c>
      <c r="E125" s="32" t="s">
        <v>163</v>
      </c>
      <c r="F125" s="32" t="s">
        <v>227</v>
      </c>
      <c r="G125" s="33"/>
      <c r="H125" s="34"/>
      <c r="I125" s="81"/>
      <c r="J125" s="11">
        <f t="shared" si="4"/>
        <v>0</v>
      </c>
      <c r="K125" s="11"/>
      <c r="L125" s="11"/>
      <c r="M125" s="11"/>
      <c r="N125" s="11"/>
    </row>
    <row r="126" spans="1:14">
      <c r="A126" s="29"/>
      <c r="B126" s="35"/>
      <c r="C126" s="24"/>
      <c r="D126" s="32" t="s">
        <v>226</v>
      </c>
      <c r="E126" s="32" t="s">
        <v>163</v>
      </c>
      <c r="F126" s="32" t="s">
        <v>164</v>
      </c>
      <c r="G126" s="33"/>
      <c r="H126" s="34"/>
      <c r="I126" s="13"/>
      <c r="J126" s="11">
        <f t="shared" si="4"/>
        <v>0</v>
      </c>
      <c r="K126" s="11">
        <f>(J126+J127+J131+J132+J133+J125+J119+J120+J121)*0.25*N2</f>
        <v>0</v>
      </c>
      <c r="L126" s="11"/>
      <c r="M126" s="11"/>
      <c r="N126" s="11"/>
    </row>
    <row r="127" spans="1:14">
      <c r="A127" s="29"/>
      <c r="B127" s="35"/>
      <c r="C127" s="24"/>
      <c r="D127" s="32" t="s">
        <v>226</v>
      </c>
      <c r="E127" s="32" t="s">
        <v>163</v>
      </c>
      <c r="F127" s="32" t="s">
        <v>275</v>
      </c>
      <c r="G127" s="33"/>
      <c r="H127" s="34"/>
      <c r="I127" s="13"/>
      <c r="J127" s="11">
        <f t="shared" si="4"/>
        <v>0</v>
      </c>
      <c r="K127" s="11"/>
      <c r="L127" s="11"/>
      <c r="M127" s="11"/>
      <c r="N127" s="11"/>
    </row>
    <row r="128" spans="1:14">
      <c r="A128" s="29"/>
      <c r="B128" s="35"/>
      <c r="C128" s="24"/>
      <c r="D128" s="21" t="s">
        <v>159</v>
      </c>
      <c r="E128" s="21" t="s">
        <v>160</v>
      </c>
      <c r="F128" s="3" t="s">
        <v>220</v>
      </c>
      <c r="G128" s="11"/>
      <c r="H128" s="12"/>
      <c r="I128" s="14"/>
      <c r="J128" s="11">
        <f t="shared" si="4"/>
        <v>0</v>
      </c>
      <c r="K128" s="11"/>
      <c r="L128" s="11"/>
      <c r="M128" s="11"/>
      <c r="N128" s="11"/>
    </row>
    <row r="129" spans="1:14">
      <c r="A129" s="29">
        <v>43556</v>
      </c>
      <c r="B129" s="35" t="s">
        <v>241</v>
      </c>
      <c r="C129" s="24"/>
      <c r="D129" s="21" t="s">
        <v>159</v>
      </c>
      <c r="E129" s="21" t="s">
        <v>160</v>
      </c>
      <c r="F129" s="3" t="s">
        <v>161</v>
      </c>
      <c r="G129" s="11"/>
      <c r="H129" s="12"/>
      <c r="I129" s="81"/>
      <c r="J129" s="11">
        <f t="shared" si="4"/>
        <v>0</v>
      </c>
      <c r="K129" s="11">
        <f>(J129+J128+J130)*0.04*N2</f>
        <v>0</v>
      </c>
      <c r="L129" s="11">
        <f>K129/0.04*0.25</f>
        <v>0</v>
      </c>
      <c r="M129" s="11">
        <f>L129-K129</f>
        <v>0</v>
      </c>
      <c r="N129" s="11"/>
    </row>
    <row r="130" spans="1:14">
      <c r="A130" s="29"/>
      <c r="B130" s="35"/>
      <c r="C130" s="24"/>
      <c r="D130" s="21" t="s">
        <v>159</v>
      </c>
      <c r="E130" s="21" t="s">
        <v>160</v>
      </c>
      <c r="F130" s="3" t="s">
        <v>221</v>
      </c>
      <c r="G130" s="11"/>
      <c r="H130" s="12"/>
      <c r="I130" s="81"/>
      <c r="J130" s="11">
        <f t="shared" si="4"/>
        <v>0</v>
      </c>
      <c r="K130" s="11"/>
      <c r="L130" s="11"/>
      <c r="M130" s="11"/>
      <c r="N130" s="11"/>
    </row>
    <row r="131" spans="1:14">
      <c r="A131" s="29">
        <v>43556</v>
      </c>
      <c r="B131" s="35" t="s">
        <v>241</v>
      </c>
      <c r="C131" s="24"/>
      <c r="D131" s="32" t="s">
        <v>162</v>
      </c>
      <c r="E131" s="32" t="s">
        <v>163</v>
      </c>
      <c r="F131" s="32" t="s">
        <v>227</v>
      </c>
      <c r="G131" s="33"/>
      <c r="H131" s="34"/>
      <c r="I131" s="13"/>
      <c r="J131" s="11">
        <f t="shared" ref="J131:J167" si="6">(G131*H131*1)-I131</f>
        <v>0</v>
      </c>
      <c r="K131" s="11"/>
      <c r="L131" s="11"/>
      <c r="M131" s="11"/>
      <c r="N131" s="11"/>
    </row>
    <row r="132" spans="1:14">
      <c r="A132" s="29">
        <v>43556</v>
      </c>
      <c r="B132" s="35" t="s">
        <v>241</v>
      </c>
      <c r="C132" s="24"/>
      <c r="D132" s="32" t="s">
        <v>162</v>
      </c>
      <c r="E132" s="32" t="s">
        <v>163</v>
      </c>
      <c r="F132" s="32" t="s">
        <v>164</v>
      </c>
      <c r="G132" s="33"/>
      <c r="H132" s="34"/>
      <c r="I132" s="13"/>
      <c r="J132" s="11">
        <f t="shared" si="6"/>
        <v>0</v>
      </c>
      <c r="K132" s="11"/>
      <c r="L132" s="11">
        <f>K132/0.03*0.25</f>
        <v>0</v>
      </c>
      <c r="M132" s="11">
        <f>L132-K132</f>
        <v>0</v>
      </c>
      <c r="N132" s="11"/>
    </row>
    <row r="133" spans="1:14">
      <c r="A133" s="29">
        <v>43556</v>
      </c>
      <c r="B133" s="35" t="s">
        <v>241</v>
      </c>
      <c r="C133" s="24"/>
      <c r="D133" s="32" t="s">
        <v>162</v>
      </c>
      <c r="E133" s="32" t="s">
        <v>163</v>
      </c>
      <c r="F133" s="32" t="s">
        <v>275</v>
      </c>
      <c r="G133" s="33"/>
      <c r="H133" s="34"/>
      <c r="I133" s="13"/>
      <c r="J133" s="11">
        <f t="shared" si="6"/>
        <v>0</v>
      </c>
      <c r="K133" s="11"/>
      <c r="L133" s="11"/>
      <c r="M133" s="11"/>
      <c r="N133" s="11"/>
    </row>
    <row r="134" spans="1:14">
      <c r="A134" s="29"/>
      <c r="B134" s="35"/>
      <c r="C134" s="25" t="s">
        <v>276</v>
      </c>
      <c r="D134" s="21" t="s">
        <v>191</v>
      </c>
      <c r="E134" s="21" t="s">
        <v>46</v>
      </c>
      <c r="F134" s="3" t="s">
        <v>47</v>
      </c>
      <c r="G134" s="11"/>
      <c r="H134" s="12"/>
      <c r="I134" s="13"/>
      <c r="J134" s="11">
        <f t="shared" si="6"/>
        <v>0</v>
      </c>
      <c r="K134" s="11"/>
      <c r="L134" s="11"/>
      <c r="M134" s="11"/>
      <c r="N134" s="11"/>
    </row>
    <row r="135" spans="1:14">
      <c r="A135" s="29">
        <v>43556</v>
      </c>
      <c r="B135" s="35" t="s">
        <v>241</v>
      </c>
      <c r="C135" s="30"/>
      <c r="D135" s="21" t="s">
        <v>234</v>
      </c>
      <c r="E135" s="21" t="s">
        <v>46</v>
      </c>
      <c r="F135" s="3" t="s">
        <v>47</v>
      </c>
      <c r="G135" s="11"/>
      <c r="H135" s="12"/>
      <c r="I135" s="13"/>
      <c r="J135" s="11">
        <f t="shared" si="6"/>
        <v>0</v>
      </c>
      <c r="K135" s="11"/>
      <c r="L135" s="11"/>
      <c r="M135" s="11"/>
      <c r="N135" s="11"/>
    </row>
    <row r="136" spans="1:14">
      <c r="A136" s="29">
        <v>43556</v>
      </c>
      <c r="B136" s="35" t="s">
        <v>241</v>
      </c>
      <c r="C136" s="26"/>
      <c r="D136" s="21" t="s">
        <v>234</v>
      </c>
      <c r="E136" s="21" t="s">
        <v>46</v>
      </c>
      <c r="F136" s="3" t="s">
        <v>47</v>
      </c>
      <c r="G136" s="11"/>
      <c r="H136" s="12"/>
      <c r="I136" s="13"/>
      <c r="J136" s="11">
        <f t="shared" si="6"/>
        <v>0</v>
      </c>
      <c r="K136" s="11">
        <f>(J136+J135+J134)*0.25*N2</f>
        <v>0</v>
      </c>
      <c r="L136" s="11"/>
      <c r="M136" s="11"/>
      <c r="N136" s="11"/>
    </row>
    <row r="137" spans="1:14">
      <c r="A137" s="29"/>
      <c r="B137" s="35"/>
      <c r="C137" s="30" t="s">
        <v>181</v>
      </c>
      <c r="D137" s="21" t="s">
        <v>277</v>
      </c>
      <c r="E137" s="21" t="s">
        <v>187</v>
      </c>
      <c r="F137" s="87" t="s">
        <v>278</v>
      </c>
      <c r="G137" s="11"/>
      <c r="H137" s="12"/>
      <c r="I137" s="13"/>
      <c r="J137" s="11">
        <f t="shared" si="6"/>
        <v>0</v>
      </c>
      <c r="K137" s="11"/>
      <c r="L137" s="11"/>
      <c r="M137" s="11"/>
      <c r="N137" s="11"/>
    </row>
    <row r="138" spans="1:14">
      <c r="A138" s="29">
        <v>43556</v>
      </c>
      <c r="B138" s="35" t="s">
        <v>241</v>
      </c>
      <c r="C138" s="30"/>
      <c r="D138" s="21" t="s">
        <v>277</v>
      </c>
      <c r="E138" s="21" t="s">
        <v>187</v>
      </c>
      <c r="F138" s="3" t="s">
        <v>279</v>
      </c>
      <c r="G138" s="79"/>
      <c r="H138" s="12"/>
      <c r="I138" s="13"/>
      <c r="J138" s="11">
        <f t="shared" si="6"/>
        <v>0</v>
      </c>
      <c r="K138" s="11">
        <f>(J138+J140+J143+J137+J139)*0.05*N2</f>
        <v>0</v>
      </c>
      <c r="L138" s="11">
        <f>K138/0.05*0.25</f>
        <v>0</v>
      </c>
      <c r="M138" s="11">
        <f>L138-K138</f>
        <v>0</v>
      </c>
      <c r="N138" s="11"/>
    </row>
    <row r="139" spans="1:14">
      <c r="A139" s="29"/>
      <c r="B139" s="35"/>
      <c r="C139" s="30"/>
      <c r="D139" s="21" t="s">
        <v>186</v>
      </c>
      <c r="E139" s="21" t="s">
        <v>187</v>
      </c>
      <c r="F139" s="87" t="s">
        <v>278</v>
      </c>
      <c r="G139" s="79"/>
      <c r="H139" s="12"/>
      <c r="I139" s="13"/>
      <c r="J139" s="11">
        <f t="shared" si="6"/>
        <v>0</v>
      </c>
      <c r="K139" s="11"/>
      <c r="L139" s="11"/>
      <c r="M139" s="11"/>
      <c r="N139" s="11"/>
    </row>
    <row r="140" spans="1:14">
      <c r="A140" s="29">
        <v>43556</v>
      </c>
      <c r="B140" s="35" t="s">
        <v>241</v>
      </c>
      <c r="C140" s="30"/>
      <c r="D140" s="21" t="s">
        <v>186</v>
      </c>
      <c r="E140" s="21" t="s">
        <v>187</v>
      </c>
      <c r="F140" s="3" t="s">
        <v>279</v>
      </c>
      <c r="G140" s="79"/>
      <c r="H140" s="12"/>
      <c r="I140" s="13"/>
      <c r="J140" s="11">
        <f t="shared" si="6"/>
        <v>0</v>
      </c>
      <c r="K140" s="11"/>
      <c r="L140" s="11"/>
      <c r="M140" s="11"/>
      <c r="N140" s="11"/>
    </row>
    <row r="141" spans="1:14">
      <c r="A141" s="29"/>
      <c r="B141" s="35"/>
      <c r="C141" s="30"/>
      <c r="D141" s="21" t="s">
        <v>280</v>
      </c>
      <c r="E141" s="32" t="s">
        <v>281</v>
      </c>
      <c r="F141" s="32" t="s">
        <v>282</v>
      </c>
      <c r="G141" s="80"/>
      <c r="H141" s="34"/>
      <c r="I141" s="13"/>
      <c r="J141" s="11">
        <f t="shared" si="6"/>
        <v>0</v>
      </c>
      <c r="K141" s="11">
        <f>(J141)*0.25*N2</f>
        <v>0</v>
      </c>
      <c r="L141" s="11"/>
      <c r="M141" s="11"/>
      <c r="N141" s="11"/>
    </row>
    <row r="142" spans="1:14">
      <c r="A142" s="29"/>
      <c r="B142" s="35"/>
      <c r="C142" s="30"/>
      <c r="D142" s="4" t="s">
        <v>283</v>
      </c>
      <c r="E142" s="21" t="s">
        <v>183</v>
      </c>
      <c r="F142" s="3" t="s">
        <v>185</v>
      </c>
      <c r="G142" s="79"/>
      <c r="H142" s="12"/>
      <c r="I142" s="14"/>
      <c r="J142" s="11">
        <f t="shared" si="6"/>
        <v>0</v>
      </c>
      <c r="K142" s="11">
        <f>(J142)*0.05*N2</f>
        <v>0</v>
      </c>
      <c r="L142" s="11">
        <f>K142/0.05*0.25</f>
        <v>0</v>
      </c>
      <c r="M142" s="11">
        <f>L142-K142</f>
        <v>0</v>
      </c>
      <c r="N142" s="11"/>
    </row>
    <row r="143" spans="1:14">
      <c r="A143" s="29">
        <v>43556</v>
      </c>
      <c r="B143" s="35" t="s">
        <v>241</v>
      </c>
      <c r="C143" s="21" t="s">
        <v>189</v>
      </c>
      <c r="D143" s="21" t="s">
        <v>186</v>
      </c>
      <c r="E143" s="21" t="s">
        <v>187</v>
      </c>
      <c r="F143" s="3" t="s">
        <v>188</v>
      </c>
      <c r="G143" s="11"/>
      <c r="H143" s="12"/>
      <c r="I143" s="14"/>
      <c r="J143" s="11">
        <f t="shared" si="6"/>
        <v>0</v>
      </c>
      <c r="K143" s="11"/>
      <c r="L143" s="11"/>
      <c r="M143" s="11"/>
      <c r="N143" s="11"/>
    </row>
    <row r="144" spans="1:14">
      <c r="A144" s="29">
        <v>43556</v>
      </c>
      <c r="B144" s="35" t="s">
        <v>241</v>
      </c>
      <c r="C144" s="30" t="s">
        <v>284</v>
      </c>
      <c r="D144" s="21" t="s">
        <v>285</v>
      </c>
      <c r="E144" s="21" t="s">
        <v>160</v>
      </c>
      <c r="F144" s="3" t="s">
        <v>286</v>
      </c>
      <c r="G144" s="11"/>
      <c r="H144" s="12"/>
      <c r="I144" s="14"/>
      <c r="J144" s="11">
        <f t="shared" ref="J144:J146" si="7">G144*H144*0.98-I144</f>
        <v>0</v>
      </c>
      <c r="K144" s="11">
        <f>(J144+J145)*0.25*N2</f>
        <v>0</v>
      </c>
      <c r="L144" s="88"/>
      <c r="M144" s="88"/>
      <c r="N144" s="88"/>
    </row>
    <row r="145" spans="1:14">
      <c r="A145" s="29"/>
      <c r="B145" s="35"/>
      <c r="C145" s="30"/>
      <c r="D145" s="21" t="s">
        <v>285</v>
      </c>
      <c r="E145" s="21" t="s">
        <v>160</v>
      </c>
      <c r="F145" s="3" t="s">
        <v>287</v>
      </c>
      <c r="G145" s="11"/>
      <c r="H145" s="12"/>
      <c r="I145" s="14"/>
      <c r="J145" s="11">
        <f t="shared" si="7"/>
        <v>0</v>
      </c>
      <c r="K145" s="11"/>
      <c r="L145" s="88"/>
      <c r="M145" s="88"/>
      <c r="N145" s="88"/>
    </row>
    <row r="146" spans="1:14">
      <c r="A146" s="29">
        <v>43556</v>
      </c>
      <c r="B146" s="35" t="s">
        <v>241</v>
      </c>
      <c r="C146" s="26"/>
      <c r="D146" s="21" t="s">
        <v>288</v>
      </c>
      <c r="E146" s="21" t="s">
        <v>160</v>
      </c>
      <c r="F146" s="3" t="s">
        <v>286</v>
      </c>
      <c r="G146" s="11"/>
      <c r="H146" s="12"/>
      <c r="I146" s="14"/>
      <c r="J146" s="11">
        <f t="shared" si="7"/>
        <v>0</v>
      </c>
      <c r="K146" s="11">
        <f>(J146)*0.25*N2</f>
        <v>0</v>
      </c>
      <c r="L146" s="88"/>
      <c r="M146" s="88"/>
      <c r="N146" s="88"/>
    </row>
    <row r="147" spans="1:14">
      <c r="A147" s="21"/>
      <c r="B147" s="21"/>
      <c r="C147" s="24" t="s">
        <v>49</v>
      </c>
      <c r="D147" s="24"/>
      <c r="E147" s="21" t="s">
        <v>50</v>
      </c>
      <c r="F147" s="3" t="s">
        <v>50</v>
      </c>
      <c r="G147" s="11"/>
      <c r="H147" s="12"/>
      <c r="I147" s="14"/>
      <c r="J147" s="11">
        <f t="shared" ref="J147:J150" si="8">(G147*H147*0.98)-I147</f>
        <v>0</v>
      </c>
      <c r="K147" s="11">
        <f>(J3+J4+J5+J14+J15+J20+J21+J22+J24+J26+J30+J31+J37+J38+J39+J41+J42+J43+J48+J49+J50+J51+J52+J17+J40)*0.07*N2+(J74+J75+J94)*0.04*N2+(J6+J7+J8+J9+J11+J12+J13+J27+J28+J29+J32+J34+J35+J36+J45+J46+J47+J58+J60+J64+J65+J68+J69+J70+J72+J73+J78+J79+J82+J91+J92+J93+J96+J97+J98+J99+J100+J104+J109+J110+J111+J116+J117+J120+J121+J129+J132+J133+J138+J140+J143+J76+J83+J86+J108+J112+J84+J85+J81+J10+J16+J18+J19+J44+J56+J80+J87+J95+J107+J113+J131+J53+J54+J57+J71+J90+J102+J105+J106+J114+J115+J119+J126+J128+J130+J23+J61+J103+J118+J127+J142+J66+J77+J88+J89+J137+J139+J141+J62+J63+J125)*0.01*N2+(J67+J122+J123+J124)*0.08*N2</f>
        <v>0</v>
      </c>
      <c r="L147" s="11"/>
      <c r="M147" s="11"/>
      <c r="N147" s="11"/>
    </row>
    <row r="148" spans="1:14">
      <c r="A148" s="21"/>
      <c r="B148" s="21"/>
      <c r="C148" s="24"/>
      <c r="D148" s="24"/>
      <c r="E148" s="21" t="s">
        <v>51</v>
      </c>
      <c r="F148" s="3" t="s">
        <v>51</v>
      </c>
      <c r="G148" s="11"/>
      <c r="H148" s="12"/>
      <c r="I148" s="14"/>
      <c r="J148" s="11">
        <f t="shared" si="8"/>
        <v>0</v>
      </c>
      <c r="K148" s="11">
        <f>(J6+J11+J12+J13+J35+J36+J7)*0.06*N2+(J55+J70+J96+J97+J98+J99+J100+J56+J57)*0.07*N2+(J78+J79+J76+J77)*0.03*N2</f>
        <v>0</v>
      </c>
      <c r="L148" s="11"/>
      <c r="M148" s="11"/>
      <c r="N148" s="11"/>
    </row>
    <row r="149" spans="1:14">
      <c r="A149" s="21"/>
      <c r="B149" s="21"/>
      <c r="C149" s="24"/>
      <c r="D149" s="24"/>
      <c r="E149" s="21" t="s">
        <v>52</v>
      </c>
      <c r="F149" s="3" t="s">
        <v>52</v>
      </c>
      <c r="G149" s="11"/>
      <c r="H149" s="12"/>
      <c r="I149" s="14"/>
      <c r="J149" s="11">
        <f t="shared" si="8"/>
        <v>0</v>
      </c>
      <c r="K149" s="11">
        <f>(J8+J9+J27+J28+J47+J29+J10)*0.06*N2+(J120+J121+J132+J133+J58+J68+J69+J108+J107+J131+J119+J126+J127+J125)*0.07*N2+(J140+J143+J139+J141)*0.03*N2</f>
        <v>0</v>
      </c>
      <c r="L149" s="11"/>
      <c r="M149" s="11"/>
      <c r="N149" s="11"/>
    </row>
    <row r="150" spans="1:14">
      <c r="A150" s="21"/>
      <c r="B150" s="21"/>
      <c r="C150" s="24"/>
      <c r="D150" s="24"/>
      <c r="E150" s="21" t="s">
        <v>53</v>
      </c>
      <c r="F150" s="3" t="s">
        <v>53</v>
      </c>
      <c r="G150" s="11"/>
      <c r="H150" s="12"/>
      <c r="I150" s="14"/>
      <c r="J150" s="11">
        <f t="shared" si="8"/>
        <v>0</v>
      </c>
      <c r="K150" s="11">
        <f>(J80+J81+J72+J73+J86+J87+J71+J90)*0.03*N2+(J129+J128+J130+J62+J63)*0.07*N2+J23*0.06*N2+J60*0.08*N2</f>
        <v>0</v>
      </c>
      <c r="L150" s="11"/>
      <c r="M150" s="11"/>
      <c r="N150" s="11"/>
    </row>
    <row r="151" spans="1:14">
      <c r="A151" s="21"/>
      <c r="B151" s="21"/>
      <c r="C151" s="24"/>
      <c r="D151" s="24"/>
      <c r="E151" s="21" t="s">
        <v>192</v>
      </c>
      <c r="F151" s="3" t="s">
        <v>192</v>
      </c>
      <c r="G151" s="11"/>
      <c r="H151" s="12"/>
      <c r="I151" s="14"/>
      <c r="J151" s="11">
        <v>0</v>
      </c>
      <c r="K151" s="11">
        <f>(J16+J18+J19+J44+J54+J53+J17)*0.06*N2</f>
        <v>0</v>
      </c>
      <c r="L151" s="11"/>
      <c r="M151" s="11"/>
      <c r="N151" s="11"/>
    </row>
    <row r="152" spans="1:14">
      <c r="A152" s="21"/>
      <c r="B152" s="21"/>
      <c r="C152" s="24"/>
      <c r="D152" s="24"/>
      <c r="E152" s="21" t="s">
        <v>55</v>
      </c>
      <c r="F152" s="3" t="s">
        <v>55</v>
      </c>
      <c r="G152" s="11"/>
      <c r="H152" s="12"/>
      <c r="I152" s="14"/>
      <c r="J152" s="11">
        <v>0</v>
      </c>
      <c r="K152" s="11">
        <f>(J82+J83+J137+J138+J142)*0.03*N2+(J64+J65+J115+J116+J117+J112+J103+J113+J114+J101+J102)*0.07*N2+(0)*0.06*N2</f>
        <v>0</v>
      </c>
      <c r="L152" s="11"/>
      <c r="M152" s="11"/>
      <c r="N152" s="11"/>
    </row>
    <row r="153" spans="1:14">
      <c r="A153" s="21"/>
      <c r="B153" s="21"/>
      <c r="C153" s="24"/>
      <c r="D153" s="24"/>
      <c r="E153" s="21" t="s">
        <v>56</v>
      </c>
      <c r="F153" s="3" t="s">
        <v>56</v>
      </c>
      <c r="G153" s="11"/>
      <c r="H153" s="12"/>
      <c r="I153" s="14"/>
      <c r="J153" s="11">
        <v>0</v>
      </c>
      <c r="K153" s="11">
        <f>(J109+J110+J111+J118)*0.07*N2+(J32+J34)*0.06*N2+(J84+J85+J88+J89+J95)*0.03*N2</f>
        <v>0</v>
      </c>
      <c r="L153" s="11"/>
      <c r="M153" s="11"/>
      <c r="N153" s="11"/>
    </row>
    <row r="154" spans="1:14">
      <c r="A154" s="21"/>
      <c r="B154" s="21"/>
      <c r="C154" s="21"/>
      <c r="D154" s="21"/>
      <c r="E154" s="21" t="s">
        <v>54</v>
      </c>
      <c r="F154" s="3" t="s">
        <v>54</v>
      </c>
      <c r="G154" s="11"/>
      <c r="H154" s="12"/>
      <c r="I154" s="14"/>
      <c r="J154" s="11">
        <v>0</v>
      </c>
      <c r="K154" s="11">
        <f>(J122+J123+J124+J104+J105+J66)*0.07*N2+(J92+J93)*0.03*N2+(J45+J46)*0.06*N2</f>
        <v>0</v>
      </c>
      <c r="L154" s="11"/>
      <c r="M154" s="11"/>
      <c r="N154" s="11"/>
    </row>
    <row r="155" spans="1:14">
      <c r="A155" s="21"/>
      <c r="B155" s="21"/>
      <c r="C155" s="21"/>
      <c r="D155" s="21"/>
      <c r="E155" s="21"/>
      <c r="F155" s="4" t="s">
        <v>57</v>
      </c>
      <c r="G155" s="15">
        <f>SUM(G3:G151)</f>
        <v>0</v>
      </c>
      <c r="H155" s="16"/>
      <c r="I155" s="17">
        <f>SUM(I3:I151)</f>
        <v>0</v>
      </c>
      <c r="J155" s="15">
        <f>SUM(J3:J150)</f>
        <v>0</v>
      </c>
      <c r="K155" s="15">
        <f>J155*N2</f>
        <v>0</v>
      </c>
      <c r="L155" s="11"/>
      <c r="M155" s="11"/>
      <c r="N155" s="11"/>
    </row>
    <row r="156" spans="1:14">
      <c r="A156" s="21"/>
      <c r="B156" s="21"/>
      <c r="C156" s="21"/>
      <c r="D156" s="21"/>
      <c r="E156" s="21"/>
      <c r="F156" s="4" t="s">
        <v>58</v>
      </c>
      <c r="G156" s="15"/>
      <c r="H156" s="16"/>
      <c r="I156" s="17"/>
      <c r="J156" s="15"/>
      <c r="K156" s="15">
        <f>K155*0.4</f>
        <v>0</v>
      </c>
      <c r="L156" s="11"/>
      <c r="M156" s="11"/>
      <c r="N156" s="11"/>
    </row>
    <row r="157" spans="1:14">
      <c r="A157" s="21"/>
      <c r="B157" s="21"/>
      <c r="C157" s="21"/>
      <c r="D157" s="21"/>
      <c r="E157" s="21"/>
      <c r="F157" s="4" t="s">
        <v>59</v>
      </c>
      <c r="G157" s="15"/>
      <c r="H157" s="16"/>
      <c r="I157" s="17"/>
      <c r="J157" s="15"/>
      <c r="K157" s="15">
        <f>K155*0.6</f>
        <v>0</v>
      </c>
      <c r="L157" s="11"/>
      <c r="M157" s="11"/>
      <c r="N157" s="11"/>
    </row>
    <row r="158" spans="1:14">
      <c r="A158" s="21"/>
      <c r="B158" s="21"/>
      <c r="C158" s="21" t="s">
        <v>193</v>
      </c>
      <c r="D158" s="21"/>
      <c r="E158" s="21" t="s">
        <v>61</v>
      </c>
      <c r="F158" s="3"/>
      <c r="G158" s="11"/>
      <c r="H158" s="12"/>
      <c r="I158" s="14"/>
      <c r="J158" s="11"/>
      <c r="K158" s="11">
        <f>(J6+J8+J9+J14+J7+J10)*0.05*N2+M18+M28+M35+M44+M47+M48+M3+M11-N18-N28-N35+M32+M20-N48+M37+M22</f>
        <v>0</v>
      </c>
      <c r="L158" s="11"/>
      <c r="M158" s="11"/>
      <c r="N158" s="11"/>
    </row>
    <row r="159" spans="1:14">
      <c r="A159" s="21"/>
      <c r="B159" s="21"/>
      <c r="C159" s="21" t="s">
        <v>194</v>
      </c>
      <c r="D159" s="21"/>
      <c r="E159" s="21" t="s">
        <v>61</v>
      </c>
      <c r="F159" s="3"/>
      <c r="G159" s="11"/>
      <c r="H159" s="12"/>
      <c r="I159" s="14"/>
      <c r="J159" s="11"/>
      <c r="K159" s="11">
        <f>(0)*0.05*N2+M98+M110+M132+M104+M122+M129+M106+M115+M112</f>
        <v>0</v>
      </c>
      <c r="L159" s="11"/>
      <c r="M159" s="11"/>
      <c r="N159" s="11"/>
    </row>
    <row r="160" spans="1:14">
      <c r="A160" s="21"/>
      <c r="B160" s="21"/>
      <c r="C160" s="21" t="s">
        <v>195</v>
      </c>
      <c r="D160" s="21"/>
      <c r="E160" s="21" t="s">
        <v>64</v>
      </c>
      <c r="F160" s="3"/>
      <c r="G160" s="11"/>
      <c r="H160" s="12"/>
      <c r="I160" s="14"/>
      <c r="J160" s="11"/>
      <c r="K160" s="11">
        <f>(J67+J68+J69+J60+J62+J63)*0.05*N2+M64+M66+M56+M58</f>
        <v>0</v>
      </c>
      <c r="L160" s="11"/>
      <c r="M160" s="11"/>
      <c r="N160" s="11"/>
    </row>
    <row r="161" spans="1:14">
      <c r="A161" s="21"/>
      <c r="B161" s="21"/>
      <c r="C161" s="21" t="s">
        <v>196</v>
      </c>
      <c r="D161" s="21"/>
      <c r="E161" s="21" t="s">
        <v>61</v>
      </c>
      <c r="F161" s="3"/>
      <c r="G161" s="11"/>
      <c r="H161" s="12"/>
      <c r="I161" s="14"/>
      <c r="J161" s="11"/>
      <c r="K161" s="11">
        <f>(0)*0.03*N2+M72+M71+M82+M88+M78</f>
        <v>0</v>
      </c>
      <c r="L161" s="11"/>
      <c r="M161" s="11"/>
      <c r="N161" s="11"/>
    </row>
    <row r="162" spans="1:14">
      <c r="A162" s="21"/>
      <c r="B162" s="21"/>
      <c r="C162" s="21" t="s">
        <v>66</v>
      </c>
      <c r="D162" s="21"/>
      <c r="E162" s="21" t="s">
        <v>61</v>
      </c>
      <c r="F162" s="3"/>
      <c r="G162" s="11"/>
      <c r="H162" s="12"/>
      <c r="I162" s="14"/>
      <c r="J162" s="11"/>
      <c r="K162" s="11">
        <f>M138+M142</f>
        <v>0</v>
      </c>
      <c r="L162" s="11"/>
      <c r="M162" s="11"/>
      <c r="N162" s="11"/>
    </row>
    <row r="163" spans="1:14">
      <c r="A163" s="21"/>
      <c r="B163" s="21"/>
      <c r="C163" s="21" t="s">
        <v>68</v>
      </c>
      <c r="D163" s="21" t="s">
        <v>61</v>
      </c>
      <c r="E163" s="21" t="s">
        <v>289</v>
      </c>
      <c r="F163" s="3"/>
      <c r="G163" s="11"/>
      <c r="H163" s="12"/>
      <c r="I163" s="14"/>
      <c r="J163" s="11"/>
      <c r="K163" s="11">
        <f>J155*0.07*N2</f>
        <v>0</v>
      </c>
      <c r="L163" s="11"/>
      <c r="M163" s="11"/>
      <c r="N163" s="11"/>
    </row>
    <row r="164" spans="1:14">
      <c r="A164" s="21"/>
      <c r="B164" s="21"/>
      <c r="C164" s="21"/>
      <c r="D164" s="21"/>
      <c r="E164" s="21"/>
      <c r="F164" s="3"/>
      <c r="G164" s="11"/>
      <c r="H164" s="12"/>
      <c r="I164" s="14"/>
      <c r="J164" s="11"/>
      <c r="K164" s="11">
        <f>K163/7*3</f>
        <v>0</v>
      </c>
      <c r="L164" s="11"/>
      <c r="M164" s="11"/>
      <c r="N164" s="11"/>
    </row>
    <row r="165" spans="1:14">
      <c r="A165" s="21"/>
      <c r="B165" s="21"/>
      <c r="C165" s="21"/>
      <c r="D165" s="21"/>
      <c r="E165" s="21"/>
      <c r="F165" s="3"/>
      <c r="G165" s="11"/>
      <c r="H165" s="12"/>
      <c r="I165" s="14"/>
      <c r="J165" s="11"/>
      <c r="K165" s="11">
        <f>K163/7*4</f>
        <v>0</v>
      </c>
      <c r="L165" s="11"/>
      <c r="M165" s="11"/>
      <c r="N165" s="11"/>
    </row>
    <row r="166" spans="1:14">
      <c r="A166" s="21"/>
      <c r="B166" s="21"/>
      <c r="C166" s="21"/>
      <c r="D166" s="21"/>
      <c r="E166" s="21"/>
      <c r="F166" s="21"/>
      <c r="G166" s="5"/>
      <c r="H166" s="6"/>
      <c r="I166" s="7"/>
      <c r="J166" s="5"/>
      <c r="K166" s="5">
        <f>K158+K159+K160+K161+K164+K165</f>
        <v>0</v>
      </c>
      <c r="L166" s="5"/>
      <c r="M166" s="5"/>
      <c r="N166" s="5"/>
    </row>
    <row r="167" spans="1:14">
      <c r="A167" s="21"/>
      <c r="B167" s="21"/>
      <c r="C167" s="21"/>
      <c r="D167" s="21"/>
      <c r="E167" s="21"/>
      <c r="F167" s="21"/>
      <c r="G167" s="5"/>
      <c r="H167" s="6"/>
      <c r="I167" s="7"/>
      <c r="J167" s="5"/>
      <c r="K167" s="15">
        <f>K158+K159+K160+K161+K162</f>
        <v>0</v>
      </c>
      <c r="L167" s="5"/>
      <c r="M167" s="5"/>
      <c r="N167" s="5"/>
    </row>
  </sheetData>
  <mergeCells count="8">
    <mergeCell ref="C134:C136"/>
    <mergeCell ref="C137:C142"/>
    <mergeCell ref="C144:C146"/>
    <mergeCell ref="C147:D153"/>
    <mergeCell ref="C3:C54"/>
    <mergeCell ref="C55:C70"/>
    <mergeCell ref="C71:C95"/>
    <mergeCell ref="C96:C133"/>
  </mergeCells>
  <phoneticPr fontId="1" type="noConversion"/>
  <conditionalFormatting sqref="E144">
    <cfRule type="containsText" dxfId="15" priority="4" operator="containsText" text="方泽斯">
      <formula>NOT(ISERROR(SEARCH("方泽斯",E144)))</formula>
    </cfRule>
  </conditionalFormatting>
  <conditionalFormatting sqref="E145">
    <cfRule type="containsText" dxfId="14" priority="3" operator="containsText" text="方泽斯">
      <formula>NOT(ISERROR(SEARCH("方泽斯",E145)))</formula>
    </cfRule>
  </conditionalFormatting>
  <conditionalFormatting sqref="E153">
    <cfRule type="containsText" dxfId="13" priority="2" operator="containsText" text="方泽斯">
      <formula>NOT(ISERROR(SEARCH("方泽斯",E153)))</formula>
    </cfRule>
  </conditionalFormatting>
  <conditionalFormatting sqref="E160">
    <cfRule type="containsText" dxfId="12" priority="1" operator="containsText" text="方泽斯">
      <formula>NOT(ISERROR(SEARCH("方泽斯",E160)))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sqref="A1:N91"/>
    </sheetView>
  </sheetViews>
  <sheetFormatPr defaultRowHeight="13.5"/>
  <sheetData>
    <row r="1" spans="1:14">
      <c r="A1" s="21"/>
      <c r="B1" s="21"/>
      <c r="C1" s="24" t="s">
        <v>290</v>
      </c>
      <c r="D1" s="24"/>
      <c r="E1" s="21"/>
      <c r="F1" s="21"/>
      <c r="G1" s="5"/>
      <c r="H1" s="6"/>
      <c r="I1" s="7"/>
      <c r="J1" s="5"/>
      <c r="K1" s="5"/>
      <c r="L1" s="5"/>
      <c r="M1" s="5"/>
      <c r="N1" s="5"/>
    </row>
    <row r="2" spans="1:14" ht="14.25">
      <c r="A2" s="27"/>
      <c r="B2" s="27"/>
      <c r="C2" s="1" t="s">
        <v>1</v>
      </c>
      <c r="D2" s="1" t="s">
        <v>2</v>
      </c>
      <c r="E2" s="1"/>
      <c r="F2" s="2" t="s">
        <v>3</v>
      </c>
      <c r="G2" s="8" t="s">
        <v>69</v>
      </c>
      <c r="H2" s="9" t="s">
        <v>70</v>
      </c>
      <c r="I2" s="10" t="s">
        <v>71</v>
      </c>
      <c r="J2" s="10" t="s">
        <v>72</v>
      </c>
      <c r="K2" s="18" t="s">
        <v>73</v>
      </c>
      <c r="L2" s="19"/>
      <c r="M2" s="20" t="s">
        <v>74</v>
      </c>
      <c r="N2" s="28">
        <v>7.01</v>
      </c>
    </row>
    <row r="3" spans="1:14">
      <c r="A3" s="29">
        <v>43556</v>
      </c>
      <c r="B3" s="22" t="s">
        <v>290</v>
      </c>
      <c r="C3" s="25" t="s">
        <v>4</v>
      </c>
      <c r="D3" s="21" t="s">
        <v>8</v>
      </c>
      <c r="E3" s="21" t="s">
        <v>9</v>
      </c>
      <c r="F3" s="3" t="s">
        <v>10</v>
      </c>
      <c r="G3" s="11"/>
      <c r="H3" s="12"/>
      <c r="I3" s="14"/>
      <c r="J3" s="11">
        <f t="shared" ref="J3:J66" si="0">G3*H3*0.98-I3</f>
        <v>0</v>
      </c>
      <c r="K3" s="11">
        <f>(J3+J4)*0.05*N2</f>
        <v>0</v>
      </c>
      <c r="L3" s="11">
        <f>K3/0.05*0.25</f>
        <v>0</v>
      </c>
      <c r="M3" s="11">
        <f t="shared" ref="M3:M6" si="1">L3-K3</f>
        <v>0</v>
      </c>
      <c r="N3" s="5"/>
    </row>
    <row r="4" spans="1:14">
      <c r="A4" s="29">
        <v>43556</v>
      </c>
      <c r="B4" s="22" t="s">
        <v>290</v>
      </c>
      <c r="C4" s="30"/>
      <c r="D4" s="21" t="s">
        <v>88</v>
      </c>
      <c r="E4" s="21" t="s">
        <v>9</v>
      </c>
      <c r="F4" s="3" t="s">
        <v>10</v>
      </c>
      <c r="G4" s="11"/>
      <c r="H4" s="12"/>
      <c r="I4" s="13"/>
      <c r="J4" s="11">
        <f t="shared" si="0"/>
        <v>0</v>
      </c>
      <c r="K4" s="11"/>
      <c r="L4" s="11"/>
      <c r="M4" s="11"/>
      <c r="N4" s="5"/>
    </row>
    <row r="5" spans="1:14">
      <c r="A5" s="29">
        <v>43556</v>
      </c>
      <c r="B5" s="22" t="s">
        <v>290</v>
      </c>
      <c r="C5" s="30"/>
      <c r="D5" s="21" t="s">
        <v>252</v>
      </c>
      <c r="E5" s="21" t="s">
        <v>103</v>
      </c>
      <c r="F5" s="3" t="s">
        <v>104</v>
      </c>
      <c r="G5" s="11"/>
      <c r="H5" s="12"/>
      <c r="I5" s="14"/>
      <c r="J5" s="11">
        <f t="shared" si="0"/>
        <v>0</v>
      </c>
      <c r="K5" s="11">
        <f>(J5+J8)*0.05*N2</f>
        <v>0</v>
      </c>
      <c r="L5" s="11">
        <f>K5/0.05*0.25</f>
        <v>0</v>
      </c>
      <c r="M5" s="11">
        <f t="shared" si="1"/>
        <v>0</v>
      </c>
      <c r="N5" s="5"/>
    </row>
    <row r="6" spans="1:14">
      <c r="A6" s="29">
        <v>43556</v>
      </c>
      <c r="B6" s="22" t="s">
        <v>290</v>
      </c>
      <c r="C6" s="30"/>
      <c r="D6" s="21" t="s">
        <v>95</v>
      </c>
      <c r="E6" s="21" t="s">
        <v>96</v>
      </c>
      <c r="F6" s="3" t="s">
        <v>97</v>
      </c>
      <c r="G6" s="11"/>
      <c r="H6" s="12"/>
      <c r="I6" s="14"/>
      <c r="J6" s="11">
        <f t="shared" si="0"/>
        <v>0</v>
      </c>
      <c r="K6" s="11">
        <f>(J6)*0.05*N2</f>
        <v>0</v>
      </c>
      <c r="L6" s="11">
        <f>K6/0.05*0.25</f>
        <v>0</v>
      </c>
      <c r="M6" s="11">
        <f t="shared" si="1"/>
        <v>0</v>
      </c>
      <c r="N6" s="5"/>
    </row>
    <row r="7" spans="1:14">
      <c r="A7" s="29">
        <v>43556</v>
      </c>
      <c r="B7" s="22" t="s">
        <v>290</v>
      </c>
      <c r="C7" s="30"/>
      <c r="D7" s="21" t="s">
        <v>5</v>
      </c>
      <c r="E7" s="21" t="s">
        <v>103</v>
      </c>
      <c r="F7" s="3" t="s">
        <v>104</v>
      </c>
      <c r="G7" s="11"/>
      <c r="H7" s="12"/>
      <c r="I7" s="14"/>
      <c r="J7" s="11">
        <f t="shared" si="0"/>
        <v>0</v>
      </c>
      <c r="K7" s="11"/>
      <c r="L7" s="11"/>
      <c r="M7" s="11"/>
      <c r="N7" s="5"/>
    </row>
    <row r="8" spans="1:14">
      <c r="A8" s="29">
        <v>43556</v>
      </c>
      <c r="B8" s="22" t="s">
        <v>290</v>
      </c>
      <c r="C8" s="30"/>
      <c r="D8" s="21" t="s">
        <v>102</v>
      </c>
      <c r="E8" s="21" t="s">
        <v>103</v>
      </c>
      <c r="F8" s="3" t="s">
        <v>104</v>
      </c>
      <c r="G8" s="11"/>
      <c r="H8" s="12"/>
      <c r="I8" s="14"/>
      <c r="J8" s="11">
        <f t="shared" si="0"/>
        <v>0</v>
      </c>
      <c r="K8" s="11"/>
      <c r="L8" s="11"/>
      <c r="M8" s="11"/>
      <c r="N8" s="5"/>
    </row>
    <row r="9" spans="1:14">
      <c r="A9" s="29">
        <v>43556</v>
      </c>
      <c r="B9" s="22" t="s">
        <v>290</v>
      </c>
      <c r="C9" s="30"/>
      <c r="D9" s="21" t="s">
        <v>107</v>
      </c>
      <c r="E9" s="21" t="s">
        <v>108</v>
      </c>
      <c r="F9" s="3" t="s">
        <v>109</v>
      </c>
      <c r="G9" s="11"/>
      <c r="H9" s="12"/>
      <c r="I9" s="14"/>
      <c r="J9" s="11">
        <f t="shared" si="0"/>
        <v>0</v>
      </c>
      <c r="K9" s="11">
        <f>(J9+J10+J11+J12)*0.05*N2</f>
        <v>0</v>
      </c>
      <c r="L9" s="11">
        <f>K9/0.05*0.25</f>
        <v>0</v>
      </c>
      <c r="M9" s="11">
        <f>L9-K9</f>
        <v>0</v>
      </c>
      <c r="N9" s="5"/>
    </row>
    <row r="10" spans="1:14">
      <c r="A10" s="29">
        <v>43556</v>
      </c>
      <c r="B10" s="22" t="s">
        <v>290</v>
      </c>
      <c r="C10" s="30"/>
      <c r="D10" s="21" t="s">
        <v>106</v>
      </c>
      <c r="E10" s="21" t="s">
        <v>108</v>
      </c>
      <c r="F10" s="3" t="s">
        <v>109</v>
      </c>
      <c r="G10" s="11"/>
      <c r="H10" s="12"/>
      <c r="I10" s="14"/>
      <c r="J10" s="11">
        <f t="shared" si="0"/>
        <v>0</v>
      </c>
      <c r="K10" s="11"/>
      <c r="L10" s="11"/>
      <c r="M10" s="11"/>
      <c r="N10" s="5"/>
    </row>
    <row r="11" spans="1:14">
      <c r="A11" s="29">
        <v>43556</v>
      </c>
      <c r="B11" s="22" t="s">
        <v>290</v>
      </c>
      <c r="C11" s="30"/>
      <c r="D11" s="21" t="s">
        <v>111</v>
      </c>
      <c r="E11" s="21" t="s">
        <v>108</v>
      </c>
      <c r="F11" s="3" t="s">
        <v>109</v>
      </c>
      <c r="G11" s="11"/>
      <c r="H11" s="12"/>
      <c r="I11" s="14"/>
      <c r="J11" s="11">
        <f t="shared" si="0"/>
        <v>0</v>
      </c>
      <c r="K11" s="11"/>
      <c r="L11" s="11"/>
      <c r="M11" s="11"/>
      <c r="N11" s="5"/>
    </row>
    <row r="12" spans="1:14">
      <c r="A12" s="29">
        <v>43556</v>
      </c>
      <c r="B12" s="22" t="s">
        <v>290</v>
      </c>
      <c r="C12" s="30"/>
      <c r="D12" s="21" t="s">
        <v>111</v>
      </c>
      <c r="E12" s="21" t="s">
        <v>108</v>
      </c>
      <c r="F12" s="3" t="s">
        <v>110</v>
      </c>
      <c r="G12" s="11"/>
      <c r="H12" s="12"/>
      <c r="I12" s="13"/>
      <c r="J12" s="11">
        <f t="shared" si="0"/>
        <v>0</v>
      </c>
      <c r="K12" s="11"/>
      <c r="L12" s="11"/>
      <c r="M12" s="11"/>
      <c r="N12" s="5"/>
    </row>
    <row r="13" spans="1:14">
      <c r="A13" s="29">
        <v>43556</v>
      </c>
      <c r="B13" s="22" t="s">
        <v>290</v>
      </c>
      <c r="C13" s="30"/>
      <c r="D13" s="21" t="s">
        <v>119</v>
      </c>
      <c r="E13" s="21" t="s">
        <v>77</v>
      </c>
      <c r="F13" s="3" t="s">
        <v>78</v>
      </c>
      <c r="G13" s="11"/>
      <c r="H13" s="12"/>
      <c r="I13" s="14"/>
      <c r="J13" s="11">
        <f t="shared" si="0"/>
        <v>0</v>
      </c>
      <c r="K13" s="11"/>
      <c r="L13" s="11"/>
      <c r="M13" s="11"/>
      <c r="N13" s="5"/>
    </row>
    <row r="14" spans="1:14">
      <c r="A14" s="29">
        <v>43556</v>
      </c>
      <c r="B14" s="22" t="s">
        <v>290</v>
      </c>
      <c r="C14" s="30"/>
      <c r="D14" s="21" t="s">
        <v>76</v>
      </c>
      <c r="E14" s="21" t="s">
        <v>77</v>
      </c>
      <c r="F14" s="3" t="s">
        <v>78</v>
      </c>
      <c r="G14" s="11"/>
      <c r="H14" s="12"/>
      <c r="I14" s="13"/>
      <c r="J14" s="11">
        <f t="shared" si="0"/>
        <v>0</v>
      </c>
      <c r="K14" s="11"/>
      <c r="L14" s="11"/>
      <c r="M14" s="11"/>
      <c r="N14" s="5"/>
    </row>
    <row r="15" spans="1:14">
      <c r="A15" s="29">
        <v>43556</v>
      </c>
      <c r="B15" s="22" t="s">
        <v>290</v>
      </c>
      <c r="C15" s="30"/>
      <c r="D15" s="21" t="s">
        <v>76</v>
      </c>
      <c r="E15" s="21" t="s">
        <v>77</v>
      </c>
      <c r="F15" s="3" t="s">
        <v>79</v>
      </c>
      <c r="G15" s="11"/>
      <c r="H15" s="12"/>
      <c r="I15" s="14"/>
      <c r="J15" s="11">
        <f t="shared" si="0"/>
        <v>0</v>
      </c>
      <c r="K15" s="11"/>
      <c r="L15" s="11"/>
      <c r="M15" s="11"/>
      <c r="N15" s="5"/>
    </row>
    <row r="16" spans="1:14">
      <c r="A16" s="29">
        <v>43556</v>
      </c>
      <c r="B16" s="22" t="s">
        <v>290</v>
      </c>
      <c r="C16" s="30"/>
      <c r="D16" s="21" t="s">
        <v>76</v>
      </c>
      <c r="E16" s="21" t="s">
        <v>77</v>
      </c>
      <c r="F16" s="3" t="s">
        <v>80</v>
      </c>
      <c r="G16" s="11"/>
      <c r="H16" s="12"/>
      <c r="I16" s="13"/>
      <c r="J16" s="11">
        <f t="shared" si="0"/>
        <v>0</v>
      </c>
      <c r="K16" s="11">
        <f>(J16+J14+J13+J15)*0.015*N2</f>
        <v>0</v>
      </c>
      <c r="L16" s="11">
        <f>K16/0.015*0.25</f>
        <v>0</v>
      </c>
      <c r="M16" s="11">
        <f t="shared" ref="M16:M21" si="2">L16-K16</f>
        <v>0</v>
      </c>
      <c r="N16" s="5"/>
    </row>
    <row r="17" spans="1:14">
      <c r="A17" s="29">
        <v>43556</v>
      </c>
      <c r="B17" s="22" t="s">
        <v>290</v>
      </c>
      <c r="C17" s="30"/>
      <c r="D17" s="21" t="s">
        <v>89</v>
      </c>
      <c r="E17" s="21" t="s">
        <v>90</v>
      </c>
      <c r="F17" s="3" t="s">
        <v>91</v>
      </c>
      <c r="G17" s="11"/>
      <c r="H17" s="12"/>
      <c r="I17" s="14"/>
      <c r="J17" s="11">
        <f t="shared" si="0"/>
        <v>0</v>
      </c>
      <c r="K17" s="11">
        <f>(J17+J18)*0.2*N2</f>
        <v>0</v>
      </c>
      <c r="L17" s="11"/>
      <c r="M17" s="11"/>
      <c r="N17" s="5"/>
    </row>
    <row r="18" spans="1:14">
      <c r="A18" s="29">
        <v>43556</v>
      </c>
      <c r="B18" s="22" t="s">
        <v>290</v>
      </c>
      <c r="C18" s="30"/>
      <c r="D18" s="21" t="s">
        <v>94</v>
      </c>
      <c r="E18" s="21" t="s">
        <v>90</v>
      </c>
      <c r="F18" s="3" t="s">
        <v>91</v>
      </c>
      <c r="G18" s="11"/>
      <c r="H18" s="12"/>
      <c r="I18" s="14"/>
      <c r="J18" s="11">
        <f t="shared" si="0"/>
        <v>0</v>
      </c>
      <c r="K18" s="11"/>
      <c r="L18" s="11"/>
      <c r="M18" s="11"/>
      <c r="N18" s="5"/>
    </row>
    <row r="19" spans="1:14">
      <c r="A19" s="29">
        <v>43556</v>
      </c>
      <c r="B19" s="22" t="s">
        <v>290</v>
      </c>
      <c r="C19" s="30"/>
      <c r="D19" s="21" t="s">
        <v>81</v>
      </c>
      <c r="E19" s="21" t="s">
        <v>82</v>
      </c>
      <c r="F19" s="3" t="s">
        <v>84</v>
      </c>
      <c r="G19" s="11"/>
      <c r="H19" s="12"/>
      <c r="I19" s="13"/>
      <c r="J19" s="11">
        <f t="shared" si="0"/>
        <v>0</v>
      </c>
      <c r="K19" s="11">
        <f>J19*0.025*N2</f>
        <v>0</v>
      </c>
      <c r="L19" s="11">
        <f>K19/0.025*0.25</f>
        <v>0</v>
      </c>
      <c r="M19" s="11">
        <f t="shared" si="2"/>
        <v>0</v>
      </c>
      <c r="N19" s="5"/>
    </row>
    <row r="20" spans="1:14">
      <c r="A20" s="29">
        <v>43556</v>
      </c>
      <c r="B20" s="22" t="s">
        <v>290</v>
      </c>
      <c r="C20" s="30"/>
      <c r="D20" s="21" t="s">
        <v>117</v>
      </c>
      <c r="E20" s="21" t="s">
        <v>82</v>
      </c>
      <c r="F20" s="3" t="s">
        <v>83</v>
      </c>
      <c r="G20" s="11"/>
      <c r="H20" s="12"/>
      <c r="I20" s="14"/>
      <c r="J20" s="11">
        <f t="shared" si="0"/>
        <v>0</v>
      </c>
      <c r="K20" s="11">
        <f>J20*0.05*N2</f>
        <v>0</v>
      </c>
      <c r="L20" s="11">
        <f>K20/0.05*0.25</f>
        <v>0</v>
      </c>
      <c r="M20" s="11">
        <f t="shared" si="2"/>
        <v>0</v>
      </c>
      <c r="N20" s="5"/>
    </row>
    <row r="21" spans="1:14">
      <c r="A21" s="29">
        <v>43556</v>
      </c>
      <c r="B21" s="22" t="s">
        <v>290</v>
      </c>
      <c r="C21" s="30"/>
      <c r="D21" s="21" t="s">
        <v>119</v>
      </c>
      <c r="E21" s="21" t="s">
        <v>77</v>
      </c>
      <c r="F21" s="3" t="s">
        <v>78</v>
      </c>
      <c r="G21" s="11"/>
      <c r="H21" s="12"/>
      <c r="I21" s="14"/>
      <c r="J21" s="11">
        <f t="shared" si="0"/>
        <v>0</v>
      </c>
      <c r="K21" s="11">
        <f>(J21+J22)*0.03*N2</f>
        <v>0</v>
      </c>
      <c r="L21" s="11">
        <f>K21/0.03*0.25</f>
        <v>0</v>
      </c>
      <c r="M21" s="11">
        <f t="shared" si="2"/>
        <v>0</v>
      </c>
      <c r="N21" s="5"/>
    </row>
    <row r="22" spans="1:14">
      <c r="A22" s="29">
        <v>43556</v>
      </c>
      <c r="B22" s="22" t="s">
        <v>290</v>
      </c>
      <c r="C22" s="30"/>
      <c r="D22" s="21" t="s">
        <v>118</v>
      </c>
      <c r="E22" s="21" t="s">
        <v>77</v>
      </c>
      <c r="F22" s="3" t="s">
        <v>78</v>
      </c>
      <c r="G22" s="11"/>
      <c r="H22" s="12"/>
      <c r="I22" s="14"/>
      <c r="J22" s="11">
        <f t="shared" si="0"/>
        <v>0</v>
      </c>
      <c r="K22" s="11"/>
      <c r="L22" s="11"/>
      <c r="M22" s="11"/>
      <c r="N22" s="5"/>
    </row>
    <row r="23" spans="1:14">
      <c r="A23" s="29">
        <v>43556</v>
      </c>
      <c r="B23" s="22" t="s">
        <v>290</v>
      </c>
      <c r="C23" s="26"/>
      <c r="D23" s="21" t="s">
        <v>129</v>
      </c>
      <c r="E23" s="21" t="s">
        <v>291</v>
      </c>
      <c r="F23" s="3" t="s">
        <v>292</v>
      </c>
      <c r="G23" s="11"/>
      <c r="H23" s="12"/>
      <c r="I23" s="14"/>
      <c r="J23" s="11">
        <f t="shared" si="0"/>
        <v>0</v>
      </c>
      <c r="K23" s="11">
        <f>J23*0.03*N2</f>
        <v>0</v>
      </c>
      <c r="L23" s="11"/>
      <c r="M23" s="11"/>
      <c r="N23" s="5"/>
    </row>
    <row r="24" spans="1:14">
      <c r="A24" s="29">
        <v>43556</v>
      </c>
      <c r="B24" s="22" t="s">
        <v>290</v>
      </c>
      <c r="C24" s="25" t="s">
        <v>158</v>
      </c>
      <c r="D24" s="32" t="s">
        <v>230</v>
      </c>
      <c r="E24" s="32" t="s">
        <v>163</v>
      </c>
      <c r="F24" s="32" t="s">
        <v>164</v>
      </c>
      <c r="G24" s="80"/>
      <c r="H24" s="34"/>
      <c r="I24" s="14"/>
      <c r="J24" s="11">
        <f t="shared" si="0"/>
        <v>0</v>
      </c>
      <c r="K24" s="11">
        <f>(J24+J25+J28+J29+J47)*0.25*N2</f>
        <v>0</v>
      </c>
      <c r="L24" s="11"/>
      <c r="M24" s="11"/>
      <c r="N24" s="5"/>
    </row>
    <row r="25" spans="1:14">
      <c r="A25" s="29">
        <v>43556</v>
      </c>
      <c r="B25" s="22" t="s">
        <v>290</v>
      </c>
      <c r="C25" s="30"/>
      <c r="D25" s="32" t="s">
        <v>230</v>
      </c>
      <c r="E25" s="32" t="s">
        <v>163</v>
      </c>
      <c r="F25" s="32" t="s">
        <v>275</v>
      </c>
      <c r="G25" s="80"/>
      <c r="H25" s="34"/>
      <c r="I25" s="14"/>
      <c r="J25" s="11">
        <f t="shared" si="0"/>
        <v>0</v>
      </c>
      <c r="K25" s="11"/>
      <c r="L25" s="11"/>
      <c r="M25" s="11"/>
      <c r="N25" s="5"/>
    </row>
    <row r="26" spans="1:14">
      <c r="A26" s="29">
        <v>43556</v>
      </c>
      <c r="B26" s="22" t="s">
        <v>290</v>
      </c>
      <c r="C26" s="30"/>
      <c r="D26" s="21" t="s">
        <v>159</v>
      </c>
      <c r="E26" s="21" t="s">
        <v>160</v>
      </c>
      <c r="F26" s="3" t="s">
        <v>161</v>
      </c>
      <c r="G26" s="11"/>
      <c r="H26" s="12"/>
      <c r="I26" s="14"/>
      <c r="J26" s="11">
        <f t="shared" si="0"/>
        <v>0</v>
      </c>
      <c r="K26" s="11">
        <f>(J26+J27)*0.04*N2</f>
        <v>0</v>
      </c>
      <c r="L26" s="11">
        <f>K26/0.04*0.25</f>
        <v>0</v>
      </c>
      <c r="M26" s="11">
        <f>L26-K26</f>
        <v>0</v>
      </c>
      <c r="N26" s="5"/>
    </row>
    <row r="27" spans="1:14">
      <c r="A27" s="29">
        <v>43556</v>
      </c>
      <c r="B27" s="22" t="s">
        <v>290</v>
      </c>
      <c r="C27" s="30"/>
      <c r="D27" s="21" t="s">
        <v>159</v>
      </c>
      <c r="E27" s="21" t="s">
        <v>160</v>
      </c>
      <c r="F27" s="3" t="s">
        <v>221</v>
      </c>
      <c r="G27" s="11"/>
      <c r="H27" s="12"/>
      <c r="I27" s="14"/>
      <c r="J27" s="11">
        <f t="shared" si="0"/>
        <v>0</v>
      </c>
      <c r="K27" s="11"/>
      <c r="L27" s="11"/>
      <c r="M27" s="11"/>
      <c r="N27" s="5"/>
    </row>
    <row r="28" spans="1:14">
      <c r="A28" s="29">
        <v>43556</v>
      </c>
      <c r="B28" s="22" t="s">
        <v>290</v>
      </c>
      <c r="C28" s="30"/>
      <c r="D28" s="32" t="s">
        <v>162</v>
      </c>
      <c r="E28" s="32" t="s">
        <v>163</v>
      </c>
      <c r="F28" s="32" t="s">
        <v>227</v>
      </c>
      <c r="G28" s="33"/>
      <c r="H28" s="34"/>
      <c r="I28" s="14"/>
      <c r="J28" s="11">
        <f t="shared" si="0"/>
        <v>0</v>
      </c>
      <c r="K28" s="11"/>
      <c r="L28" s="11">
        <f>K28/0.03*0.25</f>
        <v>0</v>
      </c>
      <c r="M28" s="11">
        <f>L28-K28</f>
        <v>0</v>
      </c>
      <c r="N28" s="5"/>
    </row>
    <row r="29" spans="1:14">
      <c r="A29" s="29">
        <v>43556</v>
      </c>
      <c r="B29" s="22" t="s">
        <v>290</v>
      </c>
      <c r="C29" s="30"/>
      <c r="D29" s="32" t="s">
        <v>162</v>
      </c>
      <c r="E29" s="32" t="s">
        <v>163</v>
      </c>
      <c r="F29" s="32" t="s">
        <v>275</v>
      </c>
      <c r="G29" s="33"/>
      <c r="H29" s="34"/>
      <c r="I29" s="14"/>
      <c r="J29" s="11">
        <f t="shared" si="0"/>
        <v>0</v>
      </c>
      <c r="K29" s="11"/>
      <c r="L29" s="11"/>
      <c r="M29" s="11"/>
      <c r="N29" s="5"/>
    </row>
    <row r="30" spans="1:14">
      <c r="A30" s="29">
        <v>43556</v>
      </c>
      <c r="B30" s="22" t="s">
        <v>290</v>
      </c>
      <c r="C30" s="30"/>
      <c r="D30" s="21" t="s">
        <v>176</v>
      </c>
      <c r="E30" s="21" t="s">
        <v>177</v>
      </c>
      <c r="F30" s="3" t="s">
        <v>274</v>
      </c>
      <c r="G30" s="11"/>
      <c r="H30" s="12"/>
      <c r="I30" s="14"/>
      <c r="J30" s="11">
        <f t="shared" si="0"/>
        <v>0</v>
      </c>
      <c r="K30" s="11">
        <f>(J30)*0.03*N2</f>
        <v>0</v>
      </c>
      <c r="L30" s="11">
        <f>K30/0.03*0.25</f>
        <v>0</v>
      </c>
      <c r="M30" s="11">
        <f>L30-K30</f>
        <v>0</v>
      </c>
      <c r="N30" s="5"/>
    </row>
    <row r="31" spans="1:14">
      <c r="A31" s="29">
        <v>43556</v>
      </c>
      <c r="B31" s="22" t="s">
        <v>290</v>
      </c>
      <c r="C31" s="30"/>
      <c r="D31" s="21" t="s">
        <v>222</v>
      </c>
      <c r="E31" s="21" t="s">
        <v>223</v>
      </c>
      <c r="F31" s="3" t="s">
        <v>224</v>
      </c>
      <c r="G31" s="11"/>
      <c r="H31" s="12"/>
      <c r="I31" s="14"/>
      <c r="J31" s="11">
        <f t="shared" si="0"/>
        <v>0</v>
      </c>
      <c r="K31" s="11"/>
      <c r="L31" s="11"/>
      <c r="M31" s="11"/>
      <c r="N31" s="5"/>
    </row>
    <row r="32" spans="1:14">
      <c r="A32" s="29">
        <v>43556</v>
      </c>
      <c r="B32" s="22" t="s">
        <v>290</v>
      </c>
      <c r="C32" s="30"/>
      <c r="D32" s="21" t="s">
        <v>222</v>
      </c>
      <c r="E32" s="21" t="s">
        <v>223</v>
      </c>
      <c r="F32" s="3" t="s">
        <v>225</v>
      </c>
      <c r="G32" s="11"/>
      <c r="H32" s="12"/>
      <c r="I32" s="13"/>
      <c r="J32" s="11">
        <f t="shared" si="0"/>
        <v>0</v>
      </c>
      <c r="K32" s="11"/>
      <c r="L32" s="11">
        <f>K32/0.05*0.25</f>
        <v>0</v>
      </c>
      <c r="M32" s="11">
        <f>L32-K32</f>
        <v>0</v>
      </c>
      <c r="N32" s="5"/>
    </row>
    <row r="33" spans="1:14">
      <c r="A33" s="29">
        <v>43556</v>
      </c>
      <c r="B33" s="22" t="s">
        <v>290</v>
      </c>
      <c r="C33" s="30"/>
      <c r="D33" s="21" t="s">
        <v>222</v>
      </c>
      <c r="E33" s="21" t="s">
        <v>223</v>
      </c>
      <c r="F33" s="3" t="s">
        <v>273</v>
      </c>
      <c r="G33" s="11"/>
      <c r="H33" s="12"/>
      <c r="I33" s="14"/>
      <c r="J33" s="11">
        <f t="shared" si="0"/>
        <v>0</v>
      </c>
      <c r="K33" s="11"/>
      <c r="L33" s="11"/>
      <c r="M33" s="11"/>
      <c r="N33" s="5"/>
    </row>
    <row r="34" spans="1:14">
      <c r="A34" s="29">
        <v>43556</v>
      </c>
      <c r="B34" s="22" t="s">
        <v>290</v>
      </c>
      <c r="C34" s="30"/>
      <c r="D34" s="21" t="s">
        <v>169</v>
      </c>
      <c r="E34" s="21" t="s">
        <v>167</v>
      </c>
      <c r="F34" s="3" t="s">
        <v>168</v>
      </c>
      <c r="G34" s="11"/>
      <c r="H34" s="12"/>
      <c r="I34" s="14"/>
      <c r="J34" s="11">
        <f t="shared" si="0"/>
        <v>0</v>
      </c>
      <c r="K34" s="11"/>
      <c r="L34" s="11"/>
      <c r="M34" s="11"/>
      <c r="N34" s="5"/>
    </row>
    <row r="35" spans="1:14">
      <c r="A35" s="29">
        <v>43556</v>
      </c>
      <c r="B35" s="22" t="s">
        <v>290</v>
      </c>
      <c r="C35" s="30"/>
      <c r="D35" s="21" t="s">
        <v>169</v>
      </c>
      <c r="E35" s="21" t="s">
        <v>167</v>
      </c>
      <c r="F35" s="3" t="s">
        <v>170</v>
      </c>
      <c r="G35" s="11"/>
      <c r="H35" s="12"/>
      <c r="I35" s="14"/>
      <c r="J35" s="11">
        <f t="shared" si="0"/>
        <v>0</v>
      </c>
      <c r="K35" s="11"/>
      <c r="L35" s="11"/>
      <c r="M35" s="11"/>
      <c r="N35" s="5"/>
    </row>
    <row r="36" spans="1:14">
      <c r="A36" s="29"/>
      <c r="B36" s="22"/>
      <c r="C36" s="30"/>
      <c r="D36" s="21" t="s">
        <v>169</v>
      </c>
      <c r="E36" s="21" t="s">
        <v>167</v>
      </c>
      <c r="F36" s="3" t="s">
        <v>215</v>
      </c>
      <c r="G36" s="11"/>
      <c r="H36" s="12"/>
      <c r="I36" s="14"/>
      <c r="J36" s="11">
        <f t="shared" si="0"/>
        <v>0</v>
      </c>
      <c r="K36" s="11"/>
      <c r="L36" s="11"/>
      <c r="M36" s="11"/>
      <c r="N36" s="5"/>
    </row>
    <row r="37" spans="1:14">
      <c r="A37" s="29"/>
      <c r="B37" s="22"/>
      <c r="C37" s="30"/>
      <c r="D37" s="21" t="s">
        <v>166</v>
      </c>
      <c r="E37" s="21" t="s">
        <v>167</v>
      </c>
      <c r="F37" s="3" t="s">
        <v>215</v>
      </c>
      <c r="G37" s="11"/>
      <c r="H37" s="12"/>
      <c r="I37" s="14"/>
      <c r="J37" s="11">
        <f t="shared" si="0"/>
        <v>0</v>
      </c>
      <c r="K37" s="11"/>
      <c r="L37" s="11"/>
      <c r="M37" s="11"/>
      <c r="N37" s="5"/>
    </row>
    <row r="38" spans="1:14">
      <c r="A38" s="29">
        <v>43556</v>
      </c>
      <c r="B38" s="22" t="s">
        <v>290</v>
      </c>
      <c r="C38" s="30"/>
      <c r="D38" s="21" t="s">
        <v>41</v>
      </c>
      <c r="E38" s="21" t="s">
        <v>42</v>
      </c>
      <c r="F38" s="3" t="s">
        <v>43</v>
      </c>
      <c r="G38" s="11"/>
      <c r="H38" s="12"/>
      <c r="I38" s="13"/>
      <c r="J38" s="11">
        <f t="shared" si="0"/>
        <v>0</v>
      </c>
      <c r="K38" s="11">
        <f>(J38+J39+J40)*0.03*N2</f>
        <v>0</v>
      </c>
      <c r="L38" s="11">
        <f>K38/0.03*0.25</f>
        <v>0</v>
      </c>
      <c r="M38" s="11">
        <f>L38-K38</f>
        <v>0</v>
      </c>
      <c r="N38" s="5"/>
    </row>
    <row r="39" spans="1:14">
      <c r="A39" s="29">
        <v>43556</v>
      </c>
      <c r="B39" s="22" t="s">
        <v>290</v>
      </c>
      <c r="C39" s="30"/>
      <c r="D39" s="21" t="s">
        <v>41</v>
      </c>
      <c r="E39" s="21" t="s">
        <v>42</v>
      </c>
      <c r="F39" s="3" t="s">
        <v>165</v>
      </c>
      <c r="G39" s="11"/>
      <c r="H39" s="12"/>
      <c r="I39" s="13"/>
      <c r="J39" s="11">
        <f t="shared" si="0"/>
        <v>0</v>
      </c>
      <c r="K39" s="11"/>
      <c r="L39" s="11"/>
      <c r="M39" s="11"/>
      <c r="N39" s="5"/>
    </row>
    <row r="40" spans="1:14">
      <c r="A40" s="29"/>
      <c r="B40" s="22"/>
      <c r="C40" s="30"/>
      <c r="D40" s="21" t="s">
        <v>175</v>
      </c>
      <c r="E40" s="21" t="s">
        <v>42</v>
      </c>
      <c r="F40" s="3" t="s">
        <v>43</v>
      </c>
      <c r="G40" s="11"/>
      <c r="H40" s="12"/>
      <c r="I40" s="13"/>
      <c r="J40" s="11">
        <f t="shared" si="0"/>
        <v>0</v>
      </c>
      <c r="K40" s="11"/>
      <c r="L40" s="11"/>
      <c r="M40" s="11"/>
      <c r="N40" s="5"/>
    </row>
    <row r="41" spans="1:14">
      <c r="A41" s="29">
        <v>43556</v>
      </c>
      <c r="B41" s="22" t="s">
        <v>290</v>
      </c>
      <c r="C41" s="30"/>
      <c r="D41" s="21" t="s">
        <v>171</v>
      </c>
      <c r="E41" s="21" t="s">
        <v>172</v>
      </c>
      <c r="F41" s="3" t="s">
        <v>174</v>
      </c>
      <c r="G41" s="11"/>
      <c r="H41" s="12"/>
      <c r="I41" s="13"/>
      <c r="J41" s="11">
        <f t="shared" si="0"/>
        <v>0</v>
      </c>
      <c r="K41" s="11">
        <f>(J41+J42)*0.05*N2</f>
        <v>0</v>
      </c>
      <c r="L41" s="11">
        <f>K41/0.05*0.25</f>
        <v>0</v>
      </c>
      <c r="M41" s="11">
        <f>L41-K41</f>
        <v>0</v>
      </c>
      <c r="N41" s="5"/>
    </row>
    <row r="42" spans="1:14">
      <c r="A42" s="29">
        <v>43556</v>
      </c>
      <c r="B42" s="22" t="s">
        <v>290</v>
      </c>
      <c r="C42" s="30"/>
      <c r="D42" s="21" t="s">
        <v>171</v>
      </c>
      <c r="E42" s="21" t="s">
        <v>172</v>
      </c>
      <c r="F42" s="3" t="s">
        <v>217</v>
      </c>
      <c r="G42" s="11"/>
      <c r="H42" s="12"/>
      <c r="I42" s="14"/>
      <c r="J42" s="11">
        <f t="shared" si="0"/>
        <v>0</v>
      </c>
      <c r="K42" s="11"/>
      <c r="L42" s="11"/>
      <c r="M42" s="11"/>
      <c r="N42" s="5"/>
    </row>
    <row r="43" spans="1:14">
      <c r="A43" s="29">
        <v>43556</v>
      </c>
      <c r="B43" s="22" t="s">
        <v>290</v>
      </c>
      <c r="C43" s="30"/>
      <c r="D43" s="21" t="s">
        <v>169</v>
      </c>
      <c r="E43" s="21" t="s">
        <v>167</v>
      </c>
      <c r="F43" s="3" t="s">
        <v>168</v>
      </c>
      <c r="G43" s="11"/>
      <c r="H43" s="12"/>
      <c r="I43" s="13"/>
      <c r="J43" s="11">
        <f t="shared" si="0"/>
        <v>0</v>
      </c>
      <c r="K43" s="11">
        <f>(J43+J44+J45+J34+J35+J36+J37)*0.04*N2</f>
        <v>0</v>
      </c>
      <c r="L43" s="11">
        <f>K43/0.04*0.25</f>
        <v>0</v>
      </c>
      <c r="M43" s="11">
        <f>L43-K43</f>
        <v>0</v>
      </c>
      <c r="N43" s="5"/>
    </row>
    <row r="44" spans="1:14">
      <c r="A44" s="29">
        <v>43556</v>
      </c>
      <c r="B44" s="22" t="s">
        <v>290</v>
      </c>
      <c r="C44" s="30"/>
      <c r="D44" s="21" t="s">
        <v>169</v>
      </c>
      <c r="E44" s="21" t="s">
        <v>167</v>
      </c>
      <c r="F44" s="3" t="s">
        <v>170</v>
      </c>
      <c r="G44" s="11"/>
      <c r="H44" s="12"/>
      <c r="I44" s="13"/>
      <c r="J44" s="11">
        <f t="shared" si="0"/>
        <v>0</v>
      </c>
      <c r="K44" s="11"/>
      <c r="L44" s="11"/>
      <c r="M44" s="11"/>
      <c r="N44" s="5"/>
    </row>
    <row r="45" spans="1:14">
      <c r="A45" s="29">
        <v>43556</v>
      </c>
      <c r="B45" s="22" t="s">
        <v>290</v>
      </c>
      <c r="C45" s="30"/>
      <c r="D45" s="21" t="s">
        <v>169</v>
      </c>
      <c r="E45" s="21" t="s">
        <v>167</v>
      </c>
      <c r="F45" s="3" t="s">
        <v>215</v>
      </c>
      <c r="G45" s="11"/>
      <c r="H45" s="12"/>
      <c r="I45" s="14"/>
      <c r="J45" s="11">
        <f t="shared" si="0"/>
        <v>0</v>
      </c>
      <c r="K45" s="11"/>
      <c r="L45" s="11"/>
      <c r="M45" s="11"/>
      <c r="N45" s="5"/>
    </row>
    <row r="46" spans="1:14">
      <c r="A46" s="29">
        <v>43556</v>
      </c>
      <c r="B46" s="22" t="s">
        <v>290</v>
      </c>
      <c r="C46" s="30"/>
      <c r="D46" s="21" t="s">
        <v>229</v>
      </c>
      <c r="E46" s="21" t="s">
        <v>293</v>
      </c>
      <c r="F46" s="3" t="s">
        <v>294</v>
      </c>
      <c r="G46" s="11"/>
      <c r="H46" s="12"/>
      <c r="I46" s="14"/>
      <c r="J46" s="11">
        <f t="shared" si="0"/>
        <v>0</v>
      </c>
      <c r="K46" s="11">
        <f>(J46)*0.04*N2</f>
        <v>0</v>
      </c>
      <c r="L46" s="11">
        <f>K46/0.04*0.25</f>
        <v>0</v>
      </c>
      <c r="M46" s="11">
        <f>L46-K46</f>
        <v>0</v>
      </c>
      <c r="N46" s="5"/>
    </row>
    <row r="47" spans="1:14">
      <c r="A47" s="29"/>
      <c r="B47" s="22"/>
      <c r="C47" s="30"/>
      <c r="D47" s="32" t="s">
        <v>226</v>
      </c>
      <c r="E47" s="32" t="s">
        <v>163</v>
      </c>
      <c r="F47" s="32" t="s">
        <v>295</v>
      </c>
      <c r="G47" s="33"/>
      <c r="H47" s="34"/>
      <c r="I47" s="14"/>
      <c r="J47" s="11">
        <f t="shared" si="0"/>
        <v>0</v>
      </c>
      <c r="K47" s="11"/>
      <c r="L47" s="11"/>
      <c r="M47" s="11"/>
      <c r="N47" s="5"/>
    </row>
    <row r="48" spans="1:14">
      <c r="A48" s="29">
        <v>43556</v>
      </c>
      <c r="B48" s="22" t="s">
        <v>290</v>
      </c>
      <c r="C48" s="25" t="s">
        <v>11</v>
      </c>
      <c r="D48" s="21" t="s">
        <v>268</v>
      </c>
      <c r="E48" s="21" t="s">
        <v>261</v>
      </c>
      <c r="F48" s="3" t="s">
        <v>262</v>
      </c>
      <c r="G48" s="11"/>
      <c r="H48" s="12"/>
      <c r="I48" s="14"/>
      <c r="J48" s="11">
        <f t="shared" si="0"/>
        <v>0</v>
      </c>
      <c r="K48" s="11">
        <f>(J48+J49+J60+J61)*0.03*N2</f>
        <v>0</v>
      </c>
      <c r="L48" s="11">
        <f>K48/0.03*0.25</f>
        <v>0</v>
      </c>
      <c r="M48" s="11">
        <f>L48-K48</f>
        <v>0</v>
      </c>
      <c r="N48" s="5"/>
    </row>
    <row r="49" spans="1:14">
      <c r="A49" s="29">
        <v>43556</v>
      </c>
      <c r="B49" s="22" t="s">
        <v>290</v>
      </c>
      <c r="C49" s="30"/>
      <c r="D49" s="21" t="s">
        <v>268</v>
      </c>
      <c r="E49" s="21" t="s">
        <v>261</v>
      </c>
      <c r="F49" s="3" t="s">
        <v>263</v>
      </c>
      <c r="G49" s="11"/>
      <c r="H49" s="12"/>
      <c r="I49" s="14"/>
      <c r="J49" s="11">
        <f t="shared" si="0"/>
        <v>0</v>
      </c>
      <c r="K49" s="11"/>
      <c r="L49" s="11"/>
      <c r="M49" s="11"/>
      <c r="N49" s="5"/>
    </row>
    <row r="50" spans="1:14">
      <c r="A50" s="29">
        <v>43556</v>
      </c>
      <c r="B50" s="22" t="s">
        <v>290</v>
      </c>
      <c r="C50" s="30"/>
      <c r="D50" s="21" t="s">
        <v>147</v>
      </c>
      <c r="E50" s="21" t="s">
        <v>13</v>
      </c>
      <c r="F50" s="3" t="s">
        <v>14</v>
      </c>
      <c r="G50" s="11"/>
      <c r="H50" s="12"/>
      <c r="I50" s="14"/>
      <c r="J50" s="11">
        <f t="shared" si="0"/>
        <v>0</v>
      </c>
      <c r="K50" s="11">
        <f>(J50+J51+J56+J57)*0.03*N2</f>
        <v>0</v>
      </c>
      <c r="L50" s="11">
        <f>K50/0.03*0.25</f>
        <v>0</v>
      </c>
      <c r="M50" s="11">
        <f>L50-K50</f>
        <v>0</v>
      </c>
      <c r="N50" s="5"/>
    </row>
    <row r="51" spans="1:14">
      <c r="A51" s="29">
        <v>43556</v>
      </c>
      <c r="B51" s="22" t="s">
        <v>290</v>
      </c>
      <c r="C51" s="30"/>
      <c r="D51" s="21" t="s">
        <v>147</v>
      </c>
      <c r="E51" s="21" t="s">
        <v>13</v>
      </c>
      <c r="F51" s="3" t="s">
        <v>264</v>
      </c>
      <c r="G51" s="11"/>
      <c r="H51" s="12"/>
      <c r="I51" s="14"/>
      <c r="J51" s="11">
        <f t="shared" si="0"/>
        <v>0</v>
      </c>
      <c r="K51" s="11"/>
      <c r="L51" s="11"/>
      <c r="M51" s="11"/>
      <c r="N51" s="5"/>
    </row>
    <row r="52" spans="1:14">
      <c r="A52" s="29">
        <v>43556</v>
      </c>
      <c r="B52" s="22" t="s">
        <v>290</v>
      </c>
      <c r="C52" s="30"/>
      <c r="D52" s="21" t="s">
        <v>154</v>
      </c>
      <c r="E52" s="21" t="s">
        <v>150</v>
      </c>
      <c r="F52" s="3" t="s">
        <v>151</v>
      </c>
      <c r="G52" s="11"/>
      <c r="H52" s="12"/>
      <c r="I52" s="14"/>
      <c r="J52" s="11">
        <f t="shared" si="0"/>
        <v>0</v>
      </c>
      <c r="K52" s="11"/>
      <c r="L52" s="11">
        <f>K52/0.05*0.25</f>
        <v>0</v>
      </c>
      <c r="M52" s="11">
        <f>L52-K52</f>
        <v>0</v>
      </c>
      <c r="N52" s="5"/>
    </row>
    <row r="53" spans="1:14">
      <c r="A53" s="29">
        <v>43556</v>
      </c>
      <c r="B53" s="22" t="s">
        <v>290</v>
      </c>
      <c r="C53" s="30"/>
      <c r="D53" s="21" t="s">
        <v>154</v>
      </c>
      <c r="E53" s="21" t="s">
        <v>150</v>
      </c>
      <c r="F53" s="3" t="s">
        <v>296</v>
      </c>
      <c r="G53" s="11"/>
      <c r="H53" s="12"/>
      <c r="I53" s="14"/>
      <c r="J53" s="11">
        <f t="shared" si="0"/>
        <v>0</v>
      </c>
      <c r="K53" s="11"/>
      <c r="L53" s="11"/>
      <c r="M53" s="11"/>
      <c r="N53" s="5"/>
    </row>
    <row r="54" spans="1:14">
      <c r="A54" s="29">
        <v>43556</v>
      </c>
      <c r="B54" s="22" t="s">
        <v>290</v>
      </c>
      <c r="C54" s="30"/>
      <c r="D54" s="21" t="s">
        <v>155</v>
      </c>
      <c r="E54" s="21" t="s">
        <v>150</v>
      </c>
      <c r="F54" s="3" t="s">
        <v>151</v>
      </c>
      <c r="G54" s="11"/>
      <c r="H54" s="12"/>
      <c r="I54" s="14"/>
      <c r="J54" s="11">
        <f t="shared" si="0"/>
        <v>0</v>
      </c>
      <c r="K54" s="11"/>
      <c r="L54" s="11"/>
      <c r="M54" s="11"/>
      <c r="N54" s="5"/>
    </row>
    <row r="55" spans="1:14">
      <c r="A55" s="29">
        <v>43556</v>
      </c>
      <c r="B55" s="22" t="s">
        <v>290</v>
      </c>
      <c r="C55" s="30"/>
      <c r="D55" s="21" t="s">
        <v>156</v>
      </c>
      <c r="E55" s="21" t="s">
        <v>144</v>
      </c>
      <c r="F55" s="3" t="s">
        <v>153</v>
      </c>
      <c r="G55" s="11"/>
      <c r="H55" s="12"/>
      <c r="I55" s="14"/>
      <c r="J55" s="11">
        <f t="shared" si="0"/>
        <v>0</v>
      </c>
      <c r="K55" s="11"/>
      <c r="L55" s="11"/>
      <c r="M55" s="11"/>
      <c r="N55" s="5"/>
    </row>
    <row r="56" spans="1:14">
      <c r="A56" s="29">
        <v>43556</v>
      </c>
      <c r="B56" s="22" t="s">
        <v>290</v>
      </c>
      <c r="C56" s="30"/>
      <c r="D56" s="21" t="s">
        <v>143</v>
      </c>
      <c r="E56" s="21" t="s">
        <v>13</v>
      </c>
      <c r="F56" s="3" t="s">
        <v>14</v>
      </c>
      <c r="G56" s="11"/>
      <c r="H56" s="12"/>
      <c r="I56" s="14"/>
      <c r="J56" s="11">
        <f t="shared" si="0"/>
        <v>0</v>
      </c>
      <c r="K56" s="11"/>
      <c r="L56" s="11">
        <f>K56/0.04*0.25</f>
        <v>0</v>
      </c>
      <c r="M56" s="11">
        <f>L56-K56</f>
        <v>0</v>
      </c>
      <c r="N56" s="5"/>
    </row>
    <row r="57" spans="1:14">
      <c r="A57" s="29">
        <v>43556</v>
      </c>
      <c r="B57" s="22" t="s">
        <v>290</v>
      </c>
      <c r="C57" s="30"/>
      <c r="D57" s="21" t="s">
        <v>143</v>
      </c>
      <c r="E57" s="21" t="s">
        <v>13</v>
      </c>
      <c r="F57" s="3" t="s">
        <v>264</v>
      </c>
      <c r="G57" s="11"/>
      <c r="H57" s="12"/>
      <c r="I57" s="14"/>
      <c r="J57" s="11">
        <f t="shared" si="0"/>
        <v>0</v>
      </c>
      <c r="K57" s="11"/>
      <c r="L57" s="11"/>
      <c r="M57" s="11"/>
      <c r="N57" s="5"/>
    </row>
    <row r="58" spans="1:14">
      <c r="A58" s="29">
        <v>43556</v>
      </c>
      <c r="B58" s="22" t="s">
        <v>290</v>
      </c>
      <c r="C58" s="30"/>
      <c r="D58" s="21" t="s">
        <v>152</v>
      </c>
      <c r="E58" s="21" t="s">
        <v>46</v>
      </c>
      <c r="F58" s="3" t="s">
        <v>47</v>
      </c>
      <c r="G58" s="11"/>
      <c r="H58" s="12"/>
      <c r="I58" s="14"/>
      <c r="J58" s="11">
        <f t="shared" si="0"/>
        <v>0</v>
      </c>
      <c r="K58" s="11">
        <f>(J58+J59)*0.2*N2</f>
        <v>0</v>
      </c>
      <c r="L58" s="11"/>
      <c r="M58" s="11"/>
      <c r="N58" s="5"/>
    </row>
    <row r="59" spans="1:14">
      <c r="A59" s="29"/>
      <c r="B59" s="22"/>
      <c r="C59" s="30"/>
      <c r="D59" s="21" t="s">
        <v>152</v>
      </c>
      <c r="E59" s="21" t="s">
        <v>46</v>
      </c>
      <c r="F59" s="3" t="s">
        <v>157</v>
      </c>
      <c r="G59" s="11"/>
      <c r="H59" s="12"/>
      <c r="I59" s="14"/>
      <c r="J59" s="11">
        <f t="shared" si="0"/>
        <v>0</v>
      </c>
      <c r="K59" s="11"/>
      <c r="L59" s="11"/>
      <c r="M59" s="11"/>
      <c r="N59" s="5"/>
    </row>
    <row r="60" spans="1:14">
      <c r="A60" s="29">
        <v>43556</v>
      </c>
      <c r="B60" s="22" t="s">
        <v>290</v>
      </c>
      <c r="C60" s="30"/>
      <c r="D60" s="21" t="s">
        <v>260</v>
      </c>
      <c r="E60" s="21" t="s">
        <v>261</v>
      </c>
      <c r="F60" s="3" t="s">
        <v>262</v>
      </c>
      <c r="G60" s="11"/>
      <c r="H60" s="12"/>
      <c r="I60" s="14"/>
      <c r="J60" s="11">
        <f t="shared" si="0"/>
        <v>0</v>
      </c>
      <c r="K60" s="11"/>
      <c r="L60" s="11"/>
      <c r="M60" s="11"/>
      <c r="N60" s="5"/>
    </row>
    <row r="61" spans="1:14">
      <c r="A61" s="29">
        <v>43556</v>
      </c>
      <c r="B61" s="22" t="s">
        <v>290</v>
      </c>
      <c r="C61" s="26"/>
      <c r="D61" s="21" t="s">
        <v>260</v>
      </c>
      <c r="E61" s="21" t="s">
        <v>261</v>
      </c>
      <c r="F61" s="3" t="s">
        <v>263</v>
      </c>
      <c r="G61" s="11"/>
      <c r="H61" s="12"/>
      <c r="I61" s="14"/>
      <c r="J61" s="11">
        <f t="shared" si="0"/>
        <v>0</v>
      </c>
      <c r="K61" s="11"/>
      <c r="L61" s="11"/>
      <c r="M61" s="11"/>
      <c r="N61" s="5"/>
    </row>
    <row r="62" spans="1:14">
      <c r="A62" s="29">
        <v>43556</v>
      </c>
      <c r="B62" s="22" t="s">
        <v>290</v>
      </c>
      <c r="C62" s="24" t="s">
        <v>269</v>
      </c>
      <c r="D62" s="21" t="s">
        <v>22</v>
      </c>
      <c r="E62" s="21" t="s">
        <v>20</v>
      </c>
      <c r="F62" s="3" t="s">
        <v>21</v>
      </c>
      <c r="G62" s="11"/>
      <c r="H62" s="12"/>
      <c r="I62" s="81"/>
      <c r="J62" s="11">
        <f t="shared" si="0"/>
        <v>0</v>
      </c>
      <c r="K62" s="11">
        <f>(J62+J63+J67+J68)*0.03*N2</f>
        <v>0</v>
      </c>
      <c r="L62" s="11">
        <f>K62/0.03*0.25</f>
        <v>0</v>
      </c>
      <c r="M62" s="11">
        <f>L62-K62</f>
        <v>0</v>
      </c>
      <c r="N62" s="5"/>
    </row>
    <row r="63" spans="1:14">
      <c r="A63" s="29">
        <v>43556</v>
      </c>
      <c r="B63" s="22" t="s">
        <v>290</v>
      </c>
      <c r="C63" s="24"/>
      <c r="D63" s="21" t="s">
        <v>22</v>
      </c>
      <c r="E63" s="21" t="s">
        <v>20</v>
      </c>
      <c r="F63" s="3" t="s">
        <v>133</v>
      </c>
      <c r="G63" s="11"/>
      <c r="H63" s="12"/>
      <c r="I63" s="14"/>
      <c r="J63" s="11">
        <f t="shared" si="0"/>
        <v>0</v>
      </c>
      <c r="K63" s="11"/>
      <c r="L63" s="11"/>
      <c r="M63" s="11"/>
      <c r="N63" s="5"/>
    </row>
    <row r="64" spans="1:14">
      <c r="A64" s="29">
        <v>43556</v>
      </c>
      <c r="B64" s="22" t="s">
        <v>290</v>
      </c>
      <c r="C64" s="24"/>
      <c r="D64" s="21" t="s">
        <v>27</v>
      </c>
      <c r="E64" s="21" t="s">
        <v>297</v>
      </c>
      <c r="F64" s="3" t="s">
        <v>298</v>
      </c>
      <c r="G64" s="11"/>
      <c r="H64" s="12"/>
      <c r="I64" s="14"/>
      <c r="J64" s="11">
        <f t="shared" si="0"/>
        <v>0</v>
      </c>
      <c r="K64" s="11"/>
      <c r="L64" s="11"/>
      <c r="M64" s="11"/>
      <c r="N64" s="5"/>
    </row>
    <row r="65" spans="1:14">
      <c r="A65" s="29">
        <v>43556</v>
      </c>
      <c r="B65" s="22" t="s">
        <v>290</v>
      </c>
      <c r="C65" s="24"/>
      <c r="D65" s="21" t="s">
        <v>34</v>
      </c>
      <c r="E65" s="21" t="s">
        <v>35</v>
      </c>
      <c r="F65" s="3" t="s">
        <v>36</v>
      </c>
      <c r="G65" s="11"/>
      <c r="H65" s="12"/>
      <c r="I65" s="13"/>
      <c r="J65" s="11">
        <f t="shared" si="0"/>
        <v>0</v>
      </c>
      <c r="K65" s="11"/>
      <c r="L65" s="11">
        <f>K65/0.03*0.25</f>
        <v>0</v>
      </c>
      <c r="M65" s="11">
        <f>L65-K65</f>
        <v>0</v>
      </c>
      <c r="N65" s="5"/>
    </row>
    <row r="66" spans="1:14">
      <c r="A66" s="29">
        <v>43556</v>
      </c>
      <c r="B66" s="22" t="s">
        <v>290</v>
      </c>
      <c r="C66" s="24"/>
      <c r="D66" s="21" t="s">
        <v>34</v>
      </c>
      <c r="E66" s="21" t="s">
        <v>35</v>
      </c>
      <c r="F66" s="3" t="s">
        <v>271</v>
      </c>
      <c r="G66" s="11"/>
      <c r="H66" s="12"/>
      <c r="I66" s="14"/>
      <c r="J66" s="11">
        <f t="shared" si="0"/>
        <v>0</v>
      </c>
      <c r="K66" s="11"/>
      <c r="L66" s="11"/>
      <c r="M66" s="11"/>
      <c r="N66" s="5"/>
    </row>
    <row r="67" spans="1:14">
      <c r="A67" s="29">
        <v>43556</v>
      </c>
      <c r="B67" s="22" t="s">
        <v>290</v>
      </c>
      <c r="C67" s="24"/>
      <c r="D67" s="21" t="s">
        <v>19</v>
      </c>
      <c r="E67" s="21" t="s">
        <v>20</v>
      </c>
      <c r="F67" s="3" t="s">
        <v>21</v>
      </c>
      <c r="G67" s="11"/>
      <c r="H67" s="12"/>
      <c r="I67" s="81"/>
      <c r="J67" s="11">
        <f t="shared" ref="J67:J81" si="3">G67*H67*0.98-I67</f>
        <v>0</v>
      </c>
      <c r="K67" s="11"/>
      <c r="L67" s="11"/>
      <c r="M67" s="11"/>
      <c r="N67" s="5"/>
    </row>
    <row r="68" spans="1:14">
      <c r="A68" s="29">
        <v>43556</v>
      </c>
      <c r="B68" s="22" t="s">
        <v>290</v>
      </c>
      <c r="C68" s="24"/>
      <c r="D68" s="21" t="s">
        <v>19</v>
      </c>
      <c r="E68" s="21" t="s">
        <v>20</v>
      </c>
      <c r="F68" s="3" t="s">
        <v>133</v>
      </c>
      <c r="G68" s="11"/>
      <c r="H68" s="12"/>
      <c r="I68" s="14"/>
      <c r="J68" s="11">
        <f t="shared" si="3"/>
        <v>0</v>
      </c>
      <c r="K68" s="11"/>
      <c r="L68" s="11"/>
      <c r="M68" s="11"/>
      <c r="N68" s="5"/>
    </row>
    <row r="69" spans="1:14">
      <c r="A69" s="29">
        <v>43556</v>
      </c>
      <c r="B69" s="22" t="s">
        <v>290</v>
      </c>
      <c r="C69" s="24"/>
      <c r="D69" s="21" t="s">
        <v>16</v>
      </c>
      <c r="E69" s="21" t="s">
        <v>17</v>
      </c>
      <c r="F69" s="3" t="s">
        <v>141</v>
      </c>
      <c r="G69" s="11"/>
      <c r="H69" s="12"/>
      <c r="I69" s="14"/>
      <c r="J69" s="11">
        <f t="shared" si="3"/>
        <v>0</v>
      </c>
      <c r="K69" s="11"/>
      <c r="L69" s="11"/>
      <c r="M69" s="11"/>
      <c r="N69" s="5"/>
    </row>
    <row r="70" spans="1:14">
      <c r="A70" s="29">
        <v>43556</v>
      </c>
      <c r="B70" s="22" t="s">
        <v>290</v>
      </c>
      <c r="C70" s="24"/>
      <c r="D70" s="21" t="s">
        <v>31</v>
      </c>
      <c r="E70" s="21" t="s">
        <v>17</v>
      </c>
      <c r="F70" s="3" t="s">
        <v>18</v>
      </c>
      <c r="G70" s="11"/>
      <c r="H70" s="12"/>
      <c r="I70" s="14"/>
      <c r="J70" s="11">
        <f t="shared" si="3"/>
        <v>0</v>
      </c>
      <c r="K70" s="11">
        <f>(J70+J71)*0.05*N2</f>
        <v>0</v>
      </c>
      <c r="L70" s="11">
        <f>K70/0.05*0.25</f>
        <v>0</v>
      </c>
      <c r="M70" s="11">
        <f>L70-K70</f>
        <v>0</v>
      </c>
      <c r="N70" s="5"/>
    </row>
    <row r="71" spans="1:14">
      <c r="A71" s="29">
        <v>43556</v>
      </c>
      <c r="B71" s="22" t="s">
        <v>290</v>
      </c>
      <c r="C71" s="24"/>
      <c r="D71" s="21" t="s">
        <v>31</v>
      </c>
      <c r="E71" s="21" t="s">
        <v>17</v>
      </c>
      <c r="F71" s="3" t="s">
        <v>141</v>
      </c>
      <c r="G71" s="11"/>
      <c r="H71" s="12"/>
      <c r="I71" s="14"/>
      <c r="J71" s="11">
        <f t="shared" si="3"/>
        <v>0</v>
      </c>
      <c r="K71" s="11"/>
      <c r="L71" s="11"/>
      <c r="M71" s="11"/>
      <c r="N71" s="5"/>
    </row>
    <row r="72" spans="1:14">
      <c r="A72" s="29"/>
      <c r="B72" s="22"/>
      <c r="C72" s="24"/>
      <c r="D72" s="21" t="s">
        <v>31</v>
      </c>
      <c r="E72" s="21" t="s">
        <v>35</v>
      </c>
      <c r="F72" s="3" t="s">
        <v>142</v>
      </c>
      <c r="G72" s="11"/>
      <c r="H72" s="12"/>
      <c r="I72" s="14"/>
      <c r="J72" s="11">
        <f t="shared" si="3"/>
        <v>0</v>
      </c>
      <c r="K72" s="11"/>
      <c r="L72" s="11"/>
      <c r="M72" s="11"/>
      <c r="N72" s="5"/>
    </row>
    <row r="73" spans="1:14">
      <c r="A73" s="29"/>
      <c r="B73" s="22"/>
      <c r="C73" s="24"/>
      <c r="D73" s="21" t="s">
        <v>31</v>
      </c>
      <c r="E73" s="21" t="s">
        <v>35</v>
      </c>
      <c r="F73" s="3" t="s">
        <v>299</v>
      </c>
      <c r="G73" s="11"/>
      <c r="H73" s="12"/>
      <c r="I73" s="14"/>
      <c r="J73" s="11">
        <f t="shared" si="3"/>
        <v>0</v>
      </c>
      <c r="K73" s="11"/>
      <c r="L73" s="11"/>
      <c r="M73" s="11"/>
      <c r="N73" s="5"/>
    </row>
    <row r="74" spans="1:14">
      <c r="A74" s="29">
        <v>43556</v>
      </c>
      <c r="B74" s="22" t="s">
        <v>290</v>
      </c>
      <c r="C74" s="24"/>
      <c r="D74" s="21" t="s">
        <v>139</v>
      </c>
      <c r="E74" s="21" t="s">
        <v>35</v>
      </c>
      <c r="F74" s="3" t="s">
        <v>142</v>
      </c>
      <c r="G74" s="11"/>
      <c r="H74" s="12"/>
      <c r="I74" s="14"/>
      <c r="J74" s="11">
        <f t="shared" si="3"/>
        <v>0</v>
      </c>
      <c r="K74" s="11"/>
      <c r="L74" s="11"/>
      <c r="M74" s="11"/>
      <c r="N74" s="5"/>
    </row>
    <row r="75" spans="1:14">
      <c r="A75" s="29">
        <v>43556</v>
      </c>
      <c r="B75" s="22" t="s">
        <v>290</v>
      </c>
      <c r="C75" s="24"/>
      <c r="D75" s="21" t="s">
        <v>139</v>
      </c>
      <c r="E75" s="21" t="s">
        <v>35</v>
      </c>
      <c r="F75" s="3" t="s">
        <v>299</v>
      </c>
      <c r="G75" s="11"/>
      <c r="H75" s="12"/>
      <c r="I75" s="14"/>
      <c r="J75" s="11">
        <f t="shared" si="3"/>
        <v>0</v>
      </c>
      <c r="K75" s="11"/>
      <c r="L75" s="11"/>
      <c r="M75" s="11"/>
      <c r="N75" s="5"/>
    </row>
    <row r="76" spans="1:14">
      <c r="A76" s="29">
        <v>43556</v>
      </c>
      <c r="B76" s="22" t="s">
        <v>290</v>
      </c>
      <c r="C76" s="24" t="s">
        <v>300</v>
      </c>
      <c r="D76" s="21" t="s">
        <v>182</v>
      </c>
      <c r="E76" s="21" t="s">
        <v>187</v>
      </c>
      <c r="F76" s="3" t="s">
        <v>278</v>
      </c>
      <c r="G76" s="11"/>
      <c r="H76" s="12"/>
      <c r="I76" s="14"/>
      <c r="J76" s="11">
        <f t="shared" si="3"/>
        <v>0</v>
      </c>
      <c r="K76" s="11"/>
      <c r="L76" s="11">
        <f>K76/0.03*0.25*3</f>
        <v>0</v>
      </c>
      <c r="M76" s="11">
        <f>L76-K76</f>
        <v>0</v>
      </c>
      <c r="N76" s="5"/>
    </row>
    <row r="77" spans="1:14">
      <c r="A77" s="29">
        <v>43556</v>
      </c>
      <c r="B77" s="22" t="s">
        <v>290</v>
      </c>
      <c r="C77" s="24"/>
      <c r="D77" s="21" t="s">
        <v>182</v>
      </c>
      <c r="E77" s="21" t="s">
        <v>187</v>
      </c>
      <c r="F77" s="3" t="s">
        <v>188</v>
      </c>
      <c r="G77" s="11"/>
      <c r="H77" s="12"/>
      <c r="I77" s="14"/>
      <c r="J77" s="11">
        <f t="shared" si="3"/>
        <v>0</v>
      </c>
      <c r="K77" s="11"/>
      <c r="L77" s="11"/>
      <c r="M77" s="11"/>
      <c r="N77" s="5"/>
    </row>
    <row r="78" spans="1:14">
      <c r="A78" s="29"/>
      <c r="B78" s="22"/>
      <c r="C78" s="24"/>
      <c r="D78" s="21" t="s">
        <v>186</v>
      </c>
      <c r="E78" s="21" t="s">
        <v>187</v>
      </c>
      <c r="F78" s="3" t="s">
        <v>278</v>
      </c>
      <c r="G78" s="11"/>
      <c r="H78" s="12"/>
      <c r="I78" s="14"/>
      <c r="J78" s="11">
        <f t="shared" si="3"/>
        <v>0</v>
      </c>
      <c r="K78" s="11"/>
      <c r="L78" s="11"/>
      <c r="M78" s="11"/>
      <c r="N78" s="5"/>
    </row>
    <row r="79" spans="1:14">
      <c r="A79" s="29">
        <v>43556</v>
      </c>
      <c r="B79" s="22" t="s">
        <v>290</v>
      </c>
      <c r="C79" s="24"/>
      <c r="D79" s="21" t="s">
        <v>186</v>
      </c>
      <c r="E79" s="21" t="s">
        <v>187</v>
      </c>
      <c r="F79" s="3" t="s">
        <v>188</v>
      </c>
      <c r="G79" s="11"/>
      <c r="H79" s="12"/>
      <c r="I79" s="14"/>
      <c r="J79" s="11">
        <f t="shared" si="3"/>
        <v>0</v>
      </c>
      <c r="K79" s="11">
        <f>(J79+J77+J78+J76)*0.05*N2</f>
        <v>0</v>
      </c>
      <c r="L79" s="11">
        <f>K79/0.05*0.25</f>
        <v>0</v>
      </c>
      <c r="M79" s="11">
        <f>L79-K79</f>
        <v>0</v>
      </c>
      <c r="N79" s="5"/>
    </row>
    <row r="80" spans="1:14">
      <c r="A80" s="29">
        <v>43556</v>
      </c>
      <c r="B80" s="22" t="s">
        <v>290</v>
      </c>
      <c r="C80" s="21" t="s">
        <v>276</v>
      </c>
      <c r="D80" s="21" t="s">
        <v>191</v>
      </c>
      <c r="E80" s="21" t="s">
        <v>46</v>
      </c>
      <c r="F80" s="3" t="s">
        <v>47</v>
      </c>
      <c r="G80" s="11"/>
      <c r="H80" s="12"/>
      <c r="I80" s="14"/>
      <c r="J80" s="11">
        <f t="shared" si="3"/>
        <v>0</v>
      </c>
      <c r="K80" s="11">
        <f>(J80)*0.25*N2</f>
        <v>0</v>
      </c>
      <c r="L80" s="11"/>
      <c r="M80" s="11"/>
      <c r="N80" s="5"/>
    </row>
    <row r="81" spans="1:14">
      <c r="A81" s="21">
        <v>42795</v>
      </c>
      <c r="B81" s="42"/>
      <c r="C81" s="36" t="s">
        <v>49</v>
      </c>
      <c r="D81" s="37"/>
      <c r="E81" s="21" t="s">
        <v>50</v>
      </c>
      <c r="F81" s="3" t="s">
        <v>50</v>
      </c>
      <c r="G81" s="11"/>
      <c r="H81" s="12"/>
      <c r="I81" s="14"/>
      <c r="J81" s="11">
        <f t="shared" ref="J81:J84" si="4">(G81*H81*0.98)-I81</f>
        <v>0</v>
      </c>
      <c r="K81" s="11">
        <f>(J4+J5+J8+J10+J13+J14+J15+J16+J21+J22)*0.07*N2+(J3+J6+J7+J9+J11+J12+J17+J18+J19+J20+J23+J24+J25+J26+J27++J28+J29+J30+J31+J32+J33+J34+J35+J36+J37+J38+J39+J40+J41+J42+J43+J44+J45+J46+J47+J48+J49+J50+J51+J56+J57+J58+J59+J60+J61+J62+J63+J64+J65+J66+J67+J68+J69+J70+J71+J72+J73+J74+J75+J76+J77+J78+J79)*0.01*N2+(0)*0.04*N2+(J55)*0.08*N2</f>
        <v>0</v>
      </c>
      <c r="L81" s="11"/>
      <c r="M81" s="11"/>
      <c r="N81" s="5"/>
    </row>
    <row r="82" spans="1:14">
      <c r="A82" s="21">
        <v>42795</v>
      </c>
      <c r="B82" s="43"/>
      <c r="C82" s="38"/>
      <c r="D82" s="39"/>
      <c r="E82" s="21" t="s">
        <v>51</v>
      </c>
      <c r="F82" s="3" t="s">
        <v>51</v>
      </c>
      <c r="G82" s="11"/>
      <c r="H82" s="12"/>
      <c r="I82" s="3"/>
      <c r="J82" s="11">
        <f t="shared" si="4"/>
        <v>0</v>
      </c>
      <c r="K82" s="11">
        <f>(J6+J17+J19)*0.06*N2+(J31+J32+J33+J34+J35+J36+J43+J44+J45+J48+J49+J60+J61)*0.07*N2+(J64)*0.03*N2</f>
        <v>0</v>
      </c>
      <c r="L82" s="11"/>
      <c r="M82" s="11"/>
      <c r="N82" s="5"/>
    </row>
    <row r="83" spans="1:14">
      <c r="A83" s="21">
        <v>42795</v>
      </c>
      <c r="B83" s="43"/>
      <c r="C83" s="38"/>
      <c r="D83" s="39"/>
      <c r="E83" s="21" t="s">
        <v>52</v>
      </c>
      <c r="F83" s="3" t="s">
        <v>52</v>
      </c>
      <c r="G83" s="11"/>
      <c r="H83" s="12"/>
      <c r="I83" s="14"/>
      <c r="J83" s="11">
        <f t="shared" si="4"/>
        <v>0</v>
      </c>
      <c r="K83" s="11">
        <f>(J3+J18)*0.06*N2+(J24+J25+J28+J29+J47+J50+J51)*0.07*N2+(J78+J79)*0.03*N2</f>
        <v>0</v>
      </c>
      <c r="L83" s="11"/>
      <c r="M83" s="11"/>
      <c r="N83" s="5"/>
    </row>
    <row r="84" spans="1:14">
      <c r="A84" s="21">
        <v>42795</v>
      </c>
      <c r="B84" s="43"/>
      <c r="C84" s="38"/>
      <c r="D84" s="39"/>
      <c r="E84" s="21" t="s">
        <v>56</v>
      </c>
      <c r="F84" s="3" t="s">
        <v>56</v>
      </c>
      <c r="G84" s="11"/>
      <c r="H84" s="12"/>
      <c r="I84" s="14"/>
      <c r="J84" s="11">
        <f t="shared" si="4"/>
        <v>0</v>
      </c>
      <c r="K84" s="11">
        <f>(J7)*0.06*N2+(J38+J39)*0.07*N2+(J65+J66+J70+J71+J72+J73)*0.03*N2</f>
        <v>0</v>
      </c>
      <c r="L84" s="11"/>
      <c r="M84" s="11"/>
      <c r="N84" s="5"/>
    </row>
    <row r="85" spans="1:14">
      <c r="A85" s="21">
        <v>42795</v>
      </c>
      <c r="B85" s="43"/>
      <c r="C85" s="38"/>
      <c r="D85" s="39"/>
      <c r="E85" s="21" t="s">
        <v>192</v>
      </c>
      <c r="F85" s="3" t="s">
        <v>192</v>
      </c>
      <c r="G85" s="11"/>
      <c r="H85" s="12"/>
      <c r="I85" s="14"/>
      <c r="J85" s="11">
        <v>0</v>
      </c>
      <c r="K85" s="11">
        <f>(J9+J11+J12)*0.06*N2</f>
        <v>0</v>
      </c>
      <c r="L85" s="11"/>
      <c r="M85" s="11"/>
      <c r="N85" s="5"/>
    </row>
    <row r="86" spans="1:14">
      <c r="A86" s="21"/>
      <c r="B86" s="43"/>
      <c r="C86" s="38"/>
      <c r="D86" s="39"/>
      <c r="E86" s="21" t="s">
        <v>55</v>
      </c>
      <c r="F86" s="3" t="s">
        <v>55</v>
      </c>
      <c r="G86" s="11"/>
      <c r="H86" s="12"/>
      <c r="I86" s="14"/>
      <c r="J86" s="11">
        <v>0</v>
      </c>
      <c r="K86" s="11">
        <f>(0)*0.06*N2+(J37+J40+J41+J42+J56+J57)*0.07*N2+(J76+J77)*0.03*N2</f>
        <v>0</v>
      </c>
      <c r="L86" s="11"/>
      <c r="M86" s="11"/>
      <c r="N86" s="5"/>
    </row>
    <row r="87" spans="1:14">
      <c r="A87" s="21"/>
      <c r="B87" s="43"/>
      <c r="C87" s="38"/>
      <c r="D87" s="39"/>
      <c r="E87" s="21" t="s">
        <v>54</v>
      </c>
      <c r="F87" s="3" t="s">
        <v>54</v>
      </c>
      <c r="G87" s="11"/>
      <c r="H87" s="12"/>
      <c r="I87" s="14"/>
      <c r="J87" s="11">
        <v>0</v>
      </c>
      <c r="K87" s="11">
        <f>(J20)*0.06*N2+(J30+J46)*0.07*N2+(J62+J63)*0.03*N2</f>
        <v>0</v>
      </c>
      <c r="L87" s="11"/>
      <c r="M87" s="11"/>
      <c r="N87" s="5"/>
    </row>
    <row r="88" spans="1:14">
      <c r="A88" s="21"/>
      <c r="B88" s="44"/>
      <c r="C88" s="40"/>
      <c r="D88" s="41"/>
      <c r="E88" s="21" t="s">
        <v>53</v>
      </c>
      <c r="F88" s="3" t="s">
        <v>53</v>
      </c>
      <c r="G88" s="11"/>
      <c r="H88" s="12"/>
      <c r="I88" s="14"/>
      <c r="J88" s="11">
        <v>0</v>
      </c>
      <c r="K88" s="11">
        <f>(J23)*0.06*N2+(J26+J27+J55+J58+J59)*0.07*N2+(J67+J68+J69+J74+J75)*0.03*N2</f>
        <v>0</v>
      </c>
      <c r="L88" s="11"/>
      <c r="M88" s="11"/>
      <c r="N88" s="5"/>
    </row>
    <row r="89" spans="1:14" ht="14.25">
      <c r="A89" s="21">
        <v>42795</v>
      </c>
      <c r="B89" s="21"/>
      <c r="C89" s="21"/>
      <c r="D89" s="21"/>
      <c r="E89" s="21"/>
      <c r="F89" s="89" t="s">
        <v>57</v>
      </c>
      <c r="G89" s="90">
        <f>SUM(G3:G84)</f>
        <v>0</v>
      </c>
      <c r="H89" s="91"/>
      <c r="I89" s="92">
        <f>SUM(I3:I84)</f>
        <v>0</v>
      </c>
      <c r="J89" s="93">
        <f>SUM(J3:J84)</f>
        <v>0</v>
      </c>
      <c r="K89" s="94">
        <f>J89*N2</f>
        <v>0</v>
      </c>
      <c r="L89" s="11"/>
      <c r="M89" s="11"/>
      <c r="N89" s="5"/>
    </row>
    <row r="90" spans="1:14">
      <c r="A90" s="21"/>
      <c r="B90" s="21"/>
      <c r="C90" s="21"/>
      <c r="D90" s="21"/>
      <c r="E90" s="21"/>
      <c r="F90" s="89" t="s">
        <v>58</v>
      </c>
      <c r="G90" s="21"/>
      <c r="H90" s="21"/>
      <c r="I90" s="95"/>
      <c r="J90" s="21"/>
      <c r="K90" s="96">
        <f>K89*0.4</f>
        <v>0</v>
      </c>
      <c r="L90" s="11"/>
      <c r="M90" s="11"/>
      <c r="N90" s="5"/>
    </row>
    <row r="91" spans="1:14">
      <c r="A91" s="21"/>
      <c r="B91" s="21"/>
      <c r="C91" s="21"/>
      <c r="D91" s="21"/>
      <c r="E91" s="21"/>
      <c r="F91" s="89" t="s">
        <v>59</v>
      </c>
      <c r="G91" s="21"/>
      <c r="H91" s="21"/>
      <c r="I91" s="95"/>
      <c r="J91" s="21"/>
      <c r="K91" s="96">
        <f>K89*0.6</f>
        <v>0</v>
      </c>
      <c r="L91" s="11"/>
      <c r="M91" s="11"/>
      <c r="N91" s="5"/>
    </row>
  </sheetData>
  <mergeCells count="7">
    <mergeCell ref="C81:D88"/>
    <mergeCell ref="C1:D1"/>
    <mergeCell ref="C3:C23"/>
    <mergeCell ref="C24:C47"/>
    <mergeCell ref="C48:C61"/>
    <mergeCell ref="C62:C75"/>
    <mergeCell ref="C76:C79"/>
  </mergeCells>
  <phoneticPr fontId="1" type="noConversion"/>
  <conditionalFormatting sqref="E84">
    <cfRule type="containsText" dxfId="11" priority="1" operator="containsText" text="方泽斯">
      <formula>NOT(ISERROR(SEARCH("方泽斯",E84)))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52"/>
  <sheetViews>
    <sheetView workbookViewId="0">
      <selection sqref="A1:N152"/>
    </sheetView>
  </sheetViews>
  <sheetFormatPr defaultRowHeight="13.5"/>
  <sheetData>
    <row r="1" spans="1:14">
      <c r="A1" s="21"/>
      <c r="B1" s="21"/>
      <c r="C1" s="21" t="s">
        <v>301</v>
      </c>
      <c r="D1" s="21"/>
      <c r="E1" s="21"/>
      <c r="F1" s="21"/>
      <c r="G1" s="5"/>
      <c r="H1" s="6"/>
      <c r="I1" s="7"/>
      <c r="J1" s="5"/>
      <c r="K1" s="5"/>
      <c r="L1" s="5"/>
      <c r="M1" s="5"/>
      <c r="N1" s="5"/>
    </row>
    <row r="2" spans="1:14" ht="14.25">
      <c r="A2" s="27"/>
      <c r="B2" s="27"/>
      <c r="C2" s="1" t="s">
        <v>1</v>
      </c>
      <c r="D2" s="1" t="s">
        <v>2</v>
      </c>
      <c r="E2" s="1" t="s">
        <v>302</v>
      </c>
      <c r="F2" s="2" t="s">
        <v>3</v>
      </c>
      <c r="G2" s="8" t="s">
        <v>69</v>
      </c>
      <c r="H2" s="9" t="s">
        <v>70</v>
      </c>
      <c r="I2" s="10" t="s">
        <v>71</v>
      </c>
      <c r="J2" s="10" t="s">
        <v>72</v>
      </c>
      <c r="K2" s="18" t="s">
        <v>73</v>
      </c>
      <c r="L2" s="19"/>
      <c r="M2" s="20" t="s">
        <v>74</v>
      </c>
      <c r="N2" s="28">
        <v>7.01</v>
      </c>
    </row>
    <row r="3" spans="1:14">
      <c r="A3" s="29">
        <v>43556</v>
      </c>
      <c r="B3" s="21" t="s">
        <v>301</v>
      </c>
      <c r="C3" s="24" t="s">
        <v>4</v>
      </c>
      <c r="D3" s="21" t="s">
        <v>81</v>
      </c>
      <c r="E3" s="21" t="s">
        <v>6</v>
      </c>
      <c r="F3" s="3" t="s">
        <v>7</v>
      </c>
      <c r="G3" s="79"/>
      <c r="H3" s="12"/>
      <c r="I3" s="13"/>
      <c r="J3" s="11">
        <f t="shared" ref="J3:J66" si="0">G3*H3*1-I3</f>
        <v>0</v>
      </c>
      <c r="K3" s="11">
        <f>(J3+J4+J32+J33)*N2*0.04</f>
        <v>0</v>
      </c>
      <c r="L3" s="11">
        <f>K3/0.04*0.25</f>
        <v>0</v>
      </c>
      <c r="M3" s="11">
        <f>L3-K3</f>
        <v>0</v>
      </c>
      <c r="N3" s="11" t="s">
        <v>242</v>
      </c>
    </row>
    <row r="4" spans="1:14">
      <c r="A4" s="29">
        <v>43556</v>
      </c>
      <c r="B4" s="21" t="s">
        <v>301</v>
      </c>
      <c r="C4" s="24"/>
      <c r="D4" s="21" t="s">
        <v>81</v>
      </c>
      <c r="E4" s="21" t="s">
        <v>6</v>
      </c>
      <c r="F4" s="3" t="s">
        <v>198</v>
      </c>
      <c r="G4" s="79"/>
      <c r="H4" s="12"/>
      <c r="I4" s="13"/>
      <c r="J4" s="11">
        <f t="shared" si="0"/>
        <v>0</v>
      </c>
      <c r="K4" s="11"/>
      <c r="L4" s="11"/>
      <c r="M4" s="11"/>
      <c r="N4" s="11"/>
    </row>
    <row r="5" spans="1:14">
      <c r="A5" s="29">
        <v>43556</v>
      </c>
      <c r="B5" s="21" t="s">
        <v>301</v>
      </c>
      <c r="C5" s="24"/>
      <c r="D5" s="32" t="s">
        <v>89</v>
      </c>
      <c r="E5" s="32" t="s">
        <v>208</v>
      </c>
      <c r="F5" s="32" t="s">
        <v>209</v>
      </c>
      <c r="G5" s="33"/>
      <c r="H5" s="34"/>
      <c r="I5" s="13"/>
      <c r="J5" s="11">
        <f t="shared" si="0"/>
        <v>0</v>
      </c>
      <c r="K5" s="11">
        <f>(J5+J6+J7+J9+J10+J8)*N2*0.25</f>
        <v>0</v>
      </c>
      <c r="L5" s="11"/>
      <c r="M5" s="11"/>
      <c r="N5" s="11"/>
    </row>
    <row r="6" spans="1:14">
      <c r="A6" s="29">
        <v>43556</v>
      </c>
      <c r="B6" s="21" t="s">
        <v>301</v>
      </c>
      <c r="C6" s="24"/>
      <c r="D6" s="32" t="s">
        <v>89</v>
      </c>
      <c r="E6" s="32" t="s">
        <v>208</v>
      </c>
      <c r="F6" s="32" t="s">
        <v>303</v>
      </c>
      <c r="G6" s="33"/>
      <c r="H6" s="34"/>
      <c r="I6" s="13"/>
      <c r="J6" s="11">
        <f t="shared" si="0"/>
        <v>0</v>
      </c>
      <c r="K6" s="11"/>
      <c r="L6" s="11"/>
      <c r="M6" s="11"/>
      <c r="N6" s="11"/>
    </row>
    <row r="7" spans="1:14">
      <c r="A7" s="29">
        <v>43556</v>
      </c>
      <c r="B7" s="21" t="s">
        <v>301</v>
      </c>
      <c r="C7" s="24"/>
      <c r="D7" s="32" t="s">
        <v>89</v>
      </c>
      <c r="E7" s="32" t="s">
        <v>208</v>
      </c>
      <c r="F7" s="32" t="s">
        <v>210</v>
      </c>
      <c r="G7" s="33"/>
      <c r="H7" s="34"/>
      <c r="I7" s="13"/>
      <c r="J7" s="11">
        <f t="shared" si="0"/>
        <v>0</v>
      </c>
      <c r="K7" s="11"/>
      <c r="L7" s="11"/>
      <c r="M7" s="11"/>
      <c r="N7" s="11"/>
    </row>
    <row r="8" spans="1:14">
      <c r="A8" s="29">
        <v>43556</v>
      </c>
      <c r="B8" s="21" t="s">
        <v>301</v>
      </c>
      <c r="C8" s="24"/>
      <c r="D8" s="32" t="s">
        <v>94</v>
      </c>
      <c r="E8" s="32" t="s">
        <v>208</v>
      </c>
      <c r="F8" s="32" t="s">
        <v>209</v>
      </c>
      <c r="G8" s="33"/>
      <c r="H8" s="34"/>
      <c r="I8" s="13"/>
      <c r="J8" s="11">
        <f t="shared" si="0"/>
        <v>0</v>
      </c>
      <c r="K8" s="11"/>
      <c r="L8" s="11"/>
      <c r="M8" s="11"/>
      <c r="N8" s="11"/>
    </row>
    <row r="9" spans="1:14">
      <c r="A9" s="29">
        <v>43556</v>
      </c>
      <c r="B9" s="21" t="s">
        <v>301</v>
      </c>
      <c r="C9" s="24"/>
      <c r="D9" s="32" t="s">
        <v>94</v>
      </c>
      <c r="E9" s="32" t="s">
        <v>208</v>
      </c>
      <c r="F9" s="32" t="s">
        <v>303</v>
      </c>
      <c r="G9" s="33"/>
      <c r="H9" s="34"/>
      <c r="I9" s="13"/>
      <c r="J9" s="11">
        <f t="shared" si="0"/>
        <v>0</v>
      </c>
      <c r="K9" s="11"/>
      <c r="L9" s="11"/>
      <c r="M9" s="11"/>
      <c r="N9" s="11"/>
    </row>
    <row r="10" spans="1:14">
      <c r="A10" s="29">
        <v>43556</v>
      </c>
      <c r="B10" s="21" t="s">
        <v>301</v>
      </c>
      <c r="C10" s="24"/>
      <c r="D10" s="32" t="s">
        <v>94</v>
      </c>
      <c r="E10" s="32" t="s">
        <v>208</v>
      </c>
      <c r="F10" s="32" t="s">
        <v>210</v>
      </c>
      <c r="G10" s="33"/>
      <c r="H10" s="34"/>
      <c r="I10" s="13"/>
      <c r="J10" s="11">
        <f t="shared" si="0"/>
        <v>0</v>
      </c>
      <c r="K10" s="11"/>
      <c r="L10" s="11"/>
      <c r="M10" s="11"/>
      <c r="N10" s="11"/>
    </row>
    <row r="11" spans="1:14">
      <c r="A11" s="29">
        <v>43556</v>
      </c>
      <c r="B11" s="21" t="s">
        <v>301</v>
      </c>
      <c r="C11" s="24"/>
      <c r="D11" s="21" t="s">
        <v>129</v>
      </c>
      <c r="E11" s="21" t="s">
        <v>304</v>
      </c>
      <c r="F11" s="3" t="s">
        <v>305</v>
      </c>
      <c r="G11" s="11"/>
      <c r="H11" s="12"/>
      <c r="I11" s="13"/>
      <c r="J11" s="11">
        <f t="shared" si="0"/>
        <v>0</v>
      </c>
      <c r="K11" s="11"/>
      <c r="L11" s="11"/>
      <c r="M11" s="11"/>
      <c r="N11" s="11"/>
    </row>
    <row r="12" spans="1:14">
      <c r="A12" s="29">
        <v>43556</v>
      </c>
      <c r="B12" s="21" t="s">
        <v>301</v>
      </c>
      <c r="C12" s="24"/>
      <c r="D12" s="21" t="s">
        <v>107</v>
      </c>
      <c r="E12" s="21" t="s">
        <v>108</v>
      </c>
      <c r="F12" s="3" t="s">
        <v>109</v>
      </c>
      <c r="G12" s="11"/>
      <c r="H12" s="12"/>
      <c r="I12" s="13"/>
      <c r="J12" s="11">
        <f t="shared" si="0"/>
        <v>0</v>
      </c>
      <c r="K12" s="11">
        <f>J12*0.05*N2</f>
        <v>0</v>
      </c>
      <c r="L12" s="11">
        <f t="shared" ref="L12:L17" si="1">K12/0.05*0.25</f>
        <v>0</v>
      </c>
      <c r="M12" s="11">
        <f>L12-K12-N12</f>
        <v>0</v>
      </c>
      <c r="N12" s="11"/>
    </row>
    <row r="13" spans="1:14">
      <c r="A13" s="29">
        <v>43556</v>
      </c>
      <c r="B13" s="21" t="s">
        <v>301</v>
      </c>
      <c r="C13" s="24"/>
      <c r="D13" s="21" t="s">
        <v>112</v>
      </c>
      <c r="E13" s="21" t="s">
        <v>113</v>
      </c>
      <c r="F13" s="3" t="s">
        <v>114</v>
      </c>
      <c r="G13" s="11"/>
      <c r="H13" s="12"/>
      <c r="I13" s="13"/>
      <c r="J13" s="11">
        <f t="shared" si="0"/>
        <v>0</v>
      </c>
      <c r="K13" s="11">
        <f>(J13+J14+J15+J16+J24+J25)*0.05*N2</f>
        <v>0</v>
      </c>
      <c r="L13" s="11">
        <f t="shared" si="1"/>
        <v>0</v>
      </c>
      <c r="M13" s="11">
        <f>L13-K13</f>
        <v>0</v>
      </c>
      <c r="N13" s="11">
        <f>M13*0.1</f>
        <v>0</v>
      </c>
    </row>
    <row r="14" spans="1:14">
      <c r="A14" s="29">
        <v>43556</v>
      </c>
      <c r="B14" s="21" t="s">
        <v>301</v>
      </c>
      <c r="C14" s="24"/>
      <c r="D14" s="21" t="s">
        <v>112</v>
      </c>
      <c r="E14" s="21" t="s">
        <v>113</v>
      </c>
      <c r="F14" s="3" t="s">
        <v>200</v>
      </c>
      <c r="G14" s="11"/>
      <c r="H14" s="12"/>
      <c r="I14" s="14"/>
      <c r="J14" s="11">
        <f t="shared" si="0"/>
        <v>0</v>
      </c>
      <c r="K14" s="11"/>
      <c r="L14" s="11"/>
      <c r="M14" s="11"/>
      <c r="N14" s="11"/>
    </row>
    <row r="15" spans="1:14">
      <c r="A15" s="29">
        <v>43556</v>
      </c>
      <c r="B15" s="21" t="s">
        <v>301</v>
      </c>
      <c r="C15" s="24"/>
      <c r="D15" s="21" t="s">
        <v>102</v>
      </c>
      <c r="E15" s="21" t="s">
        <v>113</v>
      </c>
      <c r="F15" s="3" t="s">
        <v>114</v>
      </c>
      <c r="G15" s="11"/>
      <c r="H15" s="12"/>
      <c r="I15" s="13"/>
      <c r="J15" s="11">
        <f t="shared" si="0"/>
        <v>0</v>
      </c>
      <c r="K15" s="11"/>
      <c r="L15" s="11"/>
      <c r="M15" s="11"/>
      <c r="N15" s="11"/>
    </row>
    <row r="16" spans="1:14">
      <c r="A16" s="29">
        <v>43556</v>
      </c>
      <c r="B16" s="21" t="s">
        <v>301</v>
      </c>
      <c r="C16" s="24"/>
      <c r="D16" s="21" t="s">
        <v>243</v>
      </c>
      <c r="E16" s="21" t="s">
        <v>113</v>
      </c>
      <c r="F16" s="3" t="s">
        <v>114</v>
      </c>
      <c r="G16" s="11"/>
      <c r="H16" s="12"/>
      <c r="I16" s="13"/>
      <c r="J16" s="11">
        <f t="shared" si="0"/>
        <v>0</v>
      </c>
      <c r="K16" s="11"/>
      <c r="L16" s="11"/>
      <c r="M16" s="11"/>
      <c r="N16" s="11"/>
    </row>
    <row r="17" spans="1:14">
      <c r="A17" s="29">
        <v>43556</v>
      </c>
      <c r="B17" s="21" t="s">
        <v>301</v>
      </c>
      <c r="C17" s="24"/>
      <c r="D17" s="21" t="s">
        <v>8</v>
      </c>
      <c r="E17" s="21" t="s">
        <v>9</v>
      </c>
      <c r="F17" s="3" t="s">
        <v>10</v>
      </c>
      <c r="G17" s="11"/>
      <c r="H17" s="12"/>
      <c r="I17" s="14"/>
      <c r="J17" s="11">
        <f t="shared" si="0"/>
        <v>0</v>
      </c>
      <c r="K17" s="11">
        <f>(J17+J18+J19+J20+J21)*0.05*N2</f>
        <v>0</v>
      </c>
      <c r="L17" s="11">
        <f t="shared" si="1"/>
        <v>0</v>
      </c>
      <c r="M17" s="11">
        <f>L17-K17</f>
        <v>0</v>
      </c>
      <c r="N17" s="11">
        <f>M17*0.05</f>
        <v>0</v>
      </c>
    </row>
    <row r="18" spans="1:14">
      <c r="A18" s="29">
        <v>43556</v>
      </c>
      <c r="B18" s="21" t="s">
        <v>301</v>
      </c>
      <c r="C18" s="24"/>
      <c r="D18" s="21" t="s">
        <v>8</v>
      </c>
      <c r="E18" s="21" t="s">
        <v>9</v>
      </c>
      <c r="F18" s="3" t="s">
        <v>86</v>
      </c>
      <c r="G18" s="11"/>
      <c r="H18" s="12"/>
      <c r="I18" s="13"/>
      <c r="J18" s="11">
        <f t="shared" si="0"/>
        <v>0</v>
      </c>
      <c r="K18" s="11"/>
      <c r="L18" s="11"/>
      <c r="M18" s="11"/>
      <c r="N18" s="11"/>
    </row>
    <row r="19" spans="1:14">
      <c r="A19" s="29">
        <v>43556</v>
      </c>
      <c r="B19" s="21" t="s">
        <v>301</v>
      </c>
      <c r="C19" s="24"/>
      <c r="D19" s="21" t="s">
        <v>8</v>
      </c>
      <c r="E19" s="21" t="s">
        <v>9</v>
      </c>
      <c r="F19" s="3" t="s">
        <v>87</v>
      </c>
      <c r="G19" s="11"/>
      <c r="H19" s="12"/>
      <c r="I19" s="13"/>
      <c r="J19" s="11">
        <f t="shared" si="0"/>
        <v>0</v>
      </c>
      <c r="K19" s="11"/>
      <c r="L19" s="11"/>
      <c r="M19" s="11"/>
      <c r="N19" s="11"/>
    </row>
    <row r="20" spans="1:14">
      <c r="A20" s="29">
        <v>43556</v>
      </c>
      <c r="B20" s="21" t="s">
        <v>301</v>
      </c>
      <c r="C20" s="24"/>
      <c r="D20" s="21" t="s">
        <v>88</v>
      </c>
      <c r="E20" s="21" t="s">
        <v>9</v>
      </c>
      <c r="F20" s="3" t="s">
        <v>10</v>
      </c>
      <c r="G20" s="11"/>
      <c r="H20" s="12"/>
      <c r="I20" s="13"/>
      <c r="J20" s="11">
        <f t="shared" si="0"/>
        <v>0</v>
      </c>
      <c r="K20" s="11"/>
      <c r="L20" s="11"/>
      <c r="M20" s="11"/>
      <c r="N20" s="11"/>
    </row>
    <row r="21" spans="1:14">
      <c r="A21" s="29">
        <v>43556</v>
      </c>
      <c r="B21" s="21" t="s">
        <v>301</v>
      </c>
      <c r="C21" s="24"/>
      <c r="D21" s="21" t="s">
        <v>250</v>
      </c>
      <c r="E21" s="21" t="s">
        <v>9</v>
      </c>
      <c r="F21" s="3" t="s">
        <v>10</v>
      </c>
      <c r="G21" s="11"/>
      <c r="H21" s="12"/>
      <c r="I21" s="86"/>
      <c r="J21" s="11">
        <f t="shared" si="0"/>
        <v>0</v>
      </c>
      <c r="K21" s="11"/>
      <c r="L21" s="11"/>
      <c r="M21" s="11"/>
      <c r="N21" s="11"/>
    </row>
    <row r="22" spans="1:14">
      <c r="A22" s="29">
        <v>43556</v>
      </c>
      <c r="B22" s="21" t="s">
        <v>301</v>
      </c>
      <c r="C22" s="24"/>
      <c r="D22" s="21" t="s">
        <v>120</v>
      </c>
      <c r="E22" s="21" t="s">
        <v>115</v>
      </c>
      <c r="F22" s="3" t="s">
        <v>306</v>
      </c>
      <c r="G22" s="11"/>
      <c r="H22" s="12"/>
      <c r="I22" s="14"/>
      <c r="J22" s="11">
        <f t="shared" si="0"/>
        <v>0</v>
      </c>
      <c r="K22" s="11"/>
      <c r="L22" s="11"/>
      <c r="M22" s="11"/>
      <c r="N22" s="11"/>
    </row>
    <row r="23" spans="1:14">
      <c r="A23" s="29"/>
      <c r="B23" s="21"/>
      <c r="C23" s="24"/>
      <c r="D23" s="21" t="s">
        <v>120</v>
      </c>
      <c r="E23" s="21" t="s">
        <v>115</v>
      </c>
      <c r="F23" s="3" t="s">
        <v>204</v>
      </c>
      <c r="G23" s="11"/>
      <c r="H23" s="12"/>
      <c r="I23" s="13"/>
      <c r="J23" s="11">
        <f t="shared" si="0"/>
        <v>0</v>
      </c>
      <c r="K23" s="11"/>
      <c r="L23" s="11"/>
      <c r="M23" s="11"/>
      <c r="N23" s="11"/>
    </row>
    <row r="24" spans="1:14">
      <c r="A24" s="29">
        <v>43556</v>
      </c>
      <c r="B24" s="21" t="s">
        <v>301</v>
      </c>
      <c r="C24" s="24"/>
      <c r="D24" s="21" t="s">
        <v>199</v>
      </c>
      <c r="E24" s="21" t="s">
        <v>113</v>
      </c>
      <c r="F24" s="3" t="s">
        <v>114</v>
      </c>
      <c r="G24" s="11"/>
      <c r="H24" s="12"/>
      <c r="I24" s="13"/>
      <c r="J24" s="11">
        <f t="shared" si="0"/>
        <v>0</v>
      </c>
      <c r="K24" s="11"/>
      <c r="L24" s="11"/>
      <c r="M24" s="11"/>
      <c r="N24" s="11"/>
    </row>
    <row r="25" spans="1:14">
      <c r="A25" s="29">
        <v>43556</v>
      </c>
      <c r="B25" s="21" t="s">
        <v>301</v>
      </c>
      <c r="C25" s="24"/>
      <c r="D25" s="21" t="s">
        <v>199</v>
      </c>
      <c r="E25" s="21" t="s">
        <v>113</v>
      </c>
      <c r="F25" s="3" t="s">
        <v>200</v>
      </c>
      <c r="G25" s="11"/>
      <c r="H25" s="12"/>
      <c r="I25" s="13"/>
      <c r="J25" s="11">
        <f t="shared" si="0"/>
        <v>0</v>
      </c>
      <c r="K25" s="11"/>
      <c r="L25" s="11"/>
      <c r="M25" s="11"/>
      <c r="N25" s="11"/>
    </row>
    <row r="26" spans="1:14">
      <c r="A26" s="29">
        <v>43556</v>
      </c>
      <c r="B26" s="21" t="s">
        <v>301</v>
      </c>
      <c r="C26" s="24"/>
      <c r="D26" s="21" t="s">
        <v>106</v>
      </c>
      <c r="E26" s="21" t="s">
        <v>115</v>
      </c>
      <c r="F26" s="3" t="s">
        <v>116</v>
      </c>
      <c r="G26" s="11"/>
      <c r="H26" s="12"/>
      <c r="I26" s="13"/>
      <c r="J26" s="11">
        <f t="shared" si="0"/>
        <v>0</v>
      </c>
      <c r="K26" s="11">
        <f>(J26+J27+J28+J29+J30+J31+J34+J35+J38+J39+J22+J23)*0.05*N2</f>
        <v>0</v>
      </c>
      <c r="L26" s="11">
        <f>K26/0.05*0.25</f>
        <v>0</v>
      </c>
      <c r="M26" s="11">
        <f>L26-K26</f>
        <v>0</v>
      </c>
      <c r="N26" s="11"/>
    </row>
    <row r="27" spans="1:14">
      <c r="A27" s="29">
        <v>43556</v>
      </c>
      <c r="B27" s="21" t="s">
        <v>301</v>
      </c>
      <c r="C27" s="24"/>
      <c r="D27" s="21" t="s">
        <v>106</v>
      </c>
      <c r="E27" s="21" t="s">
        <v>115</v>
      </c>
      <c r="F27" s="3" t="s">
        <v>204</v>
      </c>
      <c r="G27" s="11"/>
      <c r="H27" s="12"/>
      <c r="I27" s="13"/>
      <c r="J27" s="11">
        <f t="shared" si="0"/>
        <v>0</v>
      </c>
      <c r="K27" s="11"/>
      <c r="L27" s="11"/>
      <c r="M27" s="11"/>
      <c r="N27" s="11"/>
    </row>
    <row r="28" spans="1:14">
      <c r="A28" s="29">
        <v>43556</v>
      </c>
      <c r="B28" s="21" t="s">
        <v>301</v>
      </c>
      <c r="C28" s="24"/>
      <c r="D28" s="21" t="s">
        <v>95</v>
      </c>
      <c r="E28" s="21" t="s">
        <v>115</v>
      </c>
      <c r="F28" s="3" t="s">
        <v>116</v>
      </c>
      <c r="G28" s="11"/>
      <c r="H28" s="12"/>
      <c r="I28" s="13"/>
      <c r="J28" s="11">
        <f t="shared" si="0"/>
        <v>0</v>
      </c>
      <c r="K28" s="11"/>
      <c r="L28" s="11"/>
      <c r="M28" s="11"/>
      <c r="N28" s="11"/>
    </row>
    <row r="29" spans="1:14">
      <c r="A29" s="29">
        <v>43556</v>
      </c>
      <c r="B29" s="21" t="s">
        <v>301</v>
      </c>
      <c r="C29" s="24"/>
      <c r="D29" s="21" t="s">
        <v>95</v>
      </c>
      <c r="E29" s="21" t="s">
        <v>115</v>
      </c>
      <c r="F29" s="3" t="s">
        <v>204</v>
      </c>
      <c r="G29" s="11"/>
      <c r="H29" s="12"/>
      <c r="I29" s="13"/>
      <c r="J29" s="11">
        <f t="shared" si="0"/>
        <v>0</v>
      </c>
      <c r="K29" s="11"/>
      <c r="L29" s="11"/>
      <c r="M29" s="11"/>
      <c r="N29" s="11"/>
    </row>
    <row r="30" spans="1:14">
      <c r="A30" s="29">
        <v>43556</v>
      </c>
      <c r="B30" s="21" t="s">
        <v>301</v>
      </c>
      <c r="C30" s="24"/>
      <c r="D30" s="21" t="s">
        <v>119</v>
      </c>
      <c r="E30" s="21" t="s">
        <v>115</v>
      </c>
      <c r="F30" s="3" t="s">
        <v>116</v>
      </c>
      <c r="G30" s="11"/>
      <c r="H30" s="12"/>
      <c r="I30" s="13"/>
      <c r="J30" s="11">
        <f t="shared" si="0"/>
        <v>0</v>
      </c>
      <c r="K30" s="11"/>
      <c r="L30" s="11"/>
      <c r="M30" s="11"/>
      <c r="N30" s="11"/>
    </row>
    <row r="31" spans="1:14">
      <c r="A31" s="29">
        <v>43556</v>
      </c>
      <c r="B31" s="21" t="s">
        <v>301</v>
      </c>
      <c r="C31" s="24"/>
      <c r="D31" s="21" t="s">
        <v>119</v>
      </c>
      <c r="E31" s="21" t="s">
        <v>115</v>
      </c>
      <c r="F31" s="3" t="s">
        <v>204</v>
      </c>
      <c r="G31" s="11"/>
      <c r="H31" s="12"/>
      <c r="I31" s="14"/>
      <c r="J31" s="11">
        <f t="shared" si="0"/>
        <v>0</v>
      </c>
      <c r="K31" s="11"/>
      <c r="L31" s="11"/>
      <c r="M31" s="11"/>
      <c r="N31" s="11"/>
    </row>
    <row r="32" spans="1:14">
      <c r="A32" s="29">
        <v>43556</v>
      </c>
      <c r="B32" s="21" t="s">
        <v>301</v>
      </c>
      <c r="C32" s="24"/>
      <c r="D32" s="21" t="s">
        <v>5</v>
      </c>
      <c r="E32" s="21" t="s">
        <v>6</v>
      </c>
      <c r="F32" s="3" t="s">
        <v>7</v>
      </c>
      <c r="G32" s="79"/>
      <c r="H32" s="12"/>
      <c r="I32" s="13"/>
      <c r="J32" s="11">
        <f t="shared" si="0"/>
        <v>0</v>
      </c>
      <c r="K32" s="11"/>
      <c r="L32" s="11"/>
      <c r="M32" s="11"/>
      <c r="N32" s="11"/>
    </row>
    <row r="33" spans="1:14">
      <c r="A33" s="29">
        <v>43556</v>
      </c>
      <c r="B33" s="21" t="s">
        <v>301</v>
      </c>
      <c r="C33" s="24"/>
      <c r="D33" s="21" t="s">
        <v>5</v>
      </c>
      <c r="E33" s="21" t="s">
        <v>6</v>
      </c>
      <c r="F33" s="3" t="s">
        <v>198</v>
      </c>
      <c r="G33" s="79"/>
      <c r="H33" s="12"/>
      <c r="I33" s="13"/>
      <c r="J33" s="11">
        <f t="shared" si="0"/>
        <v>0</v>
      </c>
      <c r="K33" s="11"/>
      <c r="L33" s="11"/>
      <c r="M33" s="11"/>
      <c r="N33" s="11"/>
    </row>
    <row r="34" spans="1:14">
      <c r="A34" s="29">
        <v>43556</v>
      </c>
      <c r="B34" s="21" t="s">
        <v>301</v>
      </c>
      <c r="C34" s="24"/>
      <c r="D34" s="21" t="s">
        <v>205</v>
      </c>
      <c r="E34" s="21" t="s">
        <v>115</v>
      </c>
      <c r="F34" s="3" t="s">
        <v>116</v>
      </c>
      <c r="G34" s="11"/>
      <c r="H34" s="12"/>
      <c r="I34" s="14"/>
      <c r="J34" s="11">
        <f t="shared" si="0"/>
        <v>0</v>
      </c>
      <c r="K34" s="11"/>
      <c r="L34" s="11"/>
      <c r="M34" s="11"/>
      <c r="N34" s="11"/>
    </row>
    <row r="35" spans="1:14">
      <c r="A35" s="29">
        <v>43556</v>
      </c>
      <c r="B35" s="21" t="s">
        <v>301</v>
      </c>
      <c r="C35" s="24"/>
      <c r="D35" s="21" t="s">
        <v>205</v>
      </c>
      <c r="E35" s="21" t="s">
        <v>115</v>
      </c>
      <c r="F35" s="3" t="s">
        <v>204</v>
      </c>
      <c r="G35" s="11"/>
      <c r="H35" s="12"/>
      <c r="I35" s="13"/>
      <c r="J35" s="11">
        <f t="shared" si="0"/>
        <v>0</v>
      </c>
      <c r="K35" s="11"/>
      <c r="L35" s="11"/>
      <c r="M35" s="11"/>
      <c r="N35" s="11"/>
    </row>
    <row r="36" spans="1:14">
      <c r="A36" s="29">
        <v>43556</v>
      </c>
      <c r="B36" s="21" t="s">
        <v>301</v>
      </c>
      <c r="C36" s="24"/>
      <c r="D36" s="21" t="s">
        <v>117</v>
      </c>
      <c r="E36" s="21" t="s">
        <v>202</v>
      </c>
      <c r="F36" s="3" t="s">
        <v>203</v>
      </c>
      <c r="G36" s="11"/>
      <c r="H36" s="12"/>
      <c r="I36" s="13"/>
      <c r="J36" s="11">
        <f t="shared" si="0"/>
        <v>0</v>
      </c>
      <c r="K36" s="11"/>
      <c r="L36" s="11"/>
      <c r="M36" s="11"/>
      <c r="N36" s="11"/>
    </row>
    <row r="37" spans="1:14">
      <c r="A37" s="29">
        <v>43556</v>
      </c>
      <c r="B37" s="21" t="s">
        <v>301</v>
      </c>
      <c r="C37" s="24"/>
      <c r="D37" s="21" t="s">
        <v>117</v>
      </c>
      <c r="E37" s="21" t="s">
        <v>202</v>
      </c>
      <c r="F37" s="3" t="s">
        <v>307</v>
      </c>
      <c r="G37" s="11"/>
      <c r="H37" s="12"/>
      <c r="I37" s="13"/>
      <c r="J37" s="11">
        <f t="shared" si="0"/>
        <v>0</v>
      </c>
      <c r="K37" s="11"/>
      <c r="L37" s="11"/>
      <c r="M37" s="11"/>
      <c r="N37" s="11"/>
    </row>
    <row r="38" spans="1:14">
      <c r="A38" s="29">
        <v>43556</v>
      </c>
      <c r="B38" s="21" t="s">
        <v>301</v>
      </c>
      <c r="C38" s="24"/>
      <c r="D38" s="21" t="s">
        <v>252</v>
      </c>
      <c r="E38" s="21" t="s">
        <v>115</v>
      </c>
      <c r="F38" s="3" t="s">
        <v>116</v>
      </c>
      <c r="G38" s="11"/>
      <c r="H38" s="12"/>
      <c r="I38" s="13"/>
      <c r="J38" s="11">
        <f t="shared" si="0"/>
        <v>0</v>
      </c>
      <c r="K38" s="11"/>
      <c r="L38" s="11"/>
      <c r="M38" s="11"/>
      <c r="N38" s="11"/>
    </row>
    <row r="39" spans="1:14">
      <c r="A39" s="29">
        <v>43556</v>
      </c>
      <c r="B39" s="21" t="s">
        <v>301</v>
      </c>
      <c r="C39" s="24"/>
      <c r="D39" s="21" t="s">
        <v>252</v>
      </c>
      <c r="E39" s="21" t="s">
        <v>115</v>
      </c>
      <c r="F39" s="3" t="s">
        <v>204</v>
      </c>
      <c r="G39" s="11"/>
      <c r="H39" s="12"/>
      <c r="I39" s="13"/>
      <c r="J39" s="11">
        <f t="shared" si="0"/>
        <v>0</v>
      </c>
      <c r="K39" s="11"/>
      <c r="L39" s="11"/>
      <c r="M39" s="11"/>
      <c r="N39" s="11"/>
    </row>
    <row r="40" spans="1:14">
      <c r="A40" s="29">
        <v>43556</v>
      </c>
      <c r="B40" s="21" t="s">
        <v>301</v>
      </c>
      <c r="C40" s="24"/>
      <c r="D40" s="21" t="s">
        <v>127</v>
      </c>
      <c r="E40" s="21" t="s">
        <v>202</v>
      </c>
      <c r="F40" s="3" t="s">
        <v>203</v>
      </c>
      <c r="G40" s="11"/>
      <c r="H40" s="12"/>
      <c r="I40" s="14"/>
      <c r="J40" s="11">
        <f t="shared" si="0"/>
        <v>0</v>
      </c>
      <c r="K40" s="11">
        <f>(J40+J41+J42)*0.2*N2</f>
        <v>0</v>
      </c>
      <c r="L40" s="11"/>
      <c r="M40" s="11"/>
      <c r="N40" s="11"/>
    </row>
    <row r="41" spans="1:14">
      <c r="A41" s="29">
        <v>43556</v>
      </c>
      <c r="B41" s="21" t="s">
        <v>301</v>
      </c>
      <c r="C41" s="24"/>
      <c r="D41" s="21" t="s">
        <v>308</v>
      </c>
      <c r="E41" s="21" t="s">
        <v>202</v>
      </c>
      <c r="F41" s="3" t="s">
        <v>203</v>
      </c>
      <c r="G41" s="11"/>
      <c r="H41" s="12"/>
      <c r="I41" s="13"/>
      <c r="J41" s="11">
        <f t="shared" si="0"/>
        <v>0</v>
      </c>
      <c r="K41" s="11"/>
      <c r="L41" s="11"/>
      <c r="M41" s="11"/>
      <c r="N41" s="11"/>
    </row>
    <row r="42" spans="1:14">
      <c r="A42" s="29">
        <v>43556</v>
      </c>
      <c r="B42" s="21" t="s">
        <v>301</v>
      </c>
      <c r="C42" s="24"/>
      <c r="D42" s="21" t="s">
        <v>308</v>
      </c>
      <c r="E42" s="21" t="s">
        <v>202</v>
      </c>
      <c r="F42" s="3" t="s">
        <v>307</v>
      </c>
      <c r="G42" s="11"/>
      <c r="H42" s="12"/>
      <c r="I42" s="13"/>
      <c r="J42" s="11">
        <f t="shared" si="0"/>
        <v>0</v>
      </c>
      <c r="K42" s="11"/>
      <c r="L42" s="11"/>
      <c r="M42" s="11"/>
      <c r="N42" s="11"/>
    </row>
    <row r="43" spans="1:14">
      <c r="A43" s="29">
        <v>43556</v>
      </c>
      <c r="B43" s="21" t="s">
        <v>301</v>
      </c>
      <c r="C43" s="24"/>
      <c r="D43" s="21" t="s">
        <v>201</v>
      </c>
      <c r="E43" s="21" t="s">
        <v>202</v>
      </c>
      <c r="F43" s="3" t="s">
        <v>203</v>
      </c>
      <c r="G43" s="11"/>
      <c r="H43" s="12"/>
      <c r="I43" s="13"/>
      <c r="J43" s="11">
        <f t="shared" si="0"/>
        <v>0</v>
      </c>
      <c r="K43" s="11"/>
      <c r="L43" s="11"/>
      <c r="M43" s="11"/>
      <c r="N43" s="11"/>
    </row>
    <row r="44" spans="1:14">
      <c r="A44" s="29">
        <v>43556</v>
      </c>
      <c r="B44" s="21" t="s">
        <v>301</v>
      </c>
      <c r="C44" s="24"/>
      <c r="D44" s="21" t="s">
        <v>201</v>
      </c>
      <c r="E44" s="21" t="s">
        <v>202</v>
      </c>
      <c r="F44" s="3" t="s">
        <v>307</v>
      </c>
      <c r="G44" s="11"/>
      <c r="H44" s="12"/>
      <c r="I44" s="13"/>
      <c r="J44" s="11">
        <f t="shared" si="0"/>
        <v>0</v>
      </c>
      <c r="K44" s="11"/>
      <c r="L44" s="11"/>
      <c r="M44" s="11"/>
      <c r="N44" s="11"/>
    </row>
    <row r="45" spans="1:14">
      <c r="A45" s="29">
        <v>43556</v>
      </c>
      <c r="B45" s="21" t="s">
        <v>301</v>
      </c>
      <c r="C45" s="25" t="s">
        <v>40</v>
      </c>
      <c r="D45" s="21" t="s">
        <v>229</v>
      </c>
      <c r="E45" s="21" t="s">
        <v>177</v>
      </c>
      <c r="F45" s="3" t="s">
        <v>228</v>
      </c>
      <c r="G45" s="11"/>
      <c r="H45" s="12"/>
      <c r="I45" s="14"/>
      <c r="J45" s="11">
        <f t="shared" si="0"/>
        <v>0</v>
      </c>
      <c r="K45" s="11"/>
      <c r="L45" s="11"/>
      <c r="M45" s="11"/>
      <c r="N45" s="11"/>
    </row>
    <row r="46" spans="1:14">
      <c r="A46" s="29">
        <v>43556</v>
      </c>
      <c r="B46" s="21" t="s">
        <v>301</v>
      </c>
      <c r="C46" s="30"/>
      <c r="D46" s="21" t="s">
        <v>229</v>
      </c>
      <c r="E46" s="21" t="s">
        <v>177</v>
      </c>
      <c r="F46" s="3" t="s">
        <v>178</v>
      </c>
      <c r="G46" s="11"/>
      <c r="H46" s="12"/>
      <c r="I46" s="13"/>
      <c r="J46" s="11">
        <f t="shared" si="0"/>
        <v>0</v>
      </c>
      <c r="K46" s="11">
        <f>(J45+J46+J47+J55+J56+J57)*0.03*N2</f>
        <v>0</v>
      </c>
      <c r="L46" s="11">
        <f>K46/0.03*0.25</f>
        <v>0</v>
      </c>
      <c r="M46" s="11">
        <f>L46-K46</f>
        <v>0</v>
      </c>
      <c r="N46" s="11"/>
    </row>
    <row r="47" spans="1:14">
      <c r="A47" s="29">
        <v>43556</v>
      </c>
      <c r="B47" s="21" t="s">
        <v>301</v>
      </c>
      <c r="C47" s="30"/>
      <c r="D47" s="21" t="s">
        <v>229</v>
      </c>
      <c r="E47" s="21" t="s">
        <v>177</v>
      </c>
      <c r="F47" s="3" t="s">
        <v>274</v>
      </c>
      <c r="G47" s="11"/>
      <c r="H47" s="12"/>
      <c r="I47" s="13"/>
      <c r="J47" s="11">
        <f t="shared" si="0"/>
        <v>0</v>
      </c>
      <c r="K47" s="11"/>
      <c r="L47" s="11"/>
      <c r="M47" s="11"/>
      <c r="N47" s="11"/>
    </row>
    <row r="48" spans="1:14">
      <c r="A48" s="29"/>
      <c r="B48" s="21"/>
      <c r="C48" s="30"/>
      <c r="D48" s="21" t="s">
        <v>231</v>
      </c>
      <c r="E48" s="21" t="s">
        <v>223</v>
      </c>
      <c r="F48" s="3" t="s">
        <v>224</v>
      </c>
      <c r="G48" s="11"/>
      <c r="H48" s="12"/>
      <c r="I48" s="13"/>
      <c r="J48" s="11">
        <f t="shared" si="0"/>
        <v>0</v>
      </c>
      <c r="K48" s="11"/>
      <c r="L48" s="11"/>
      <c r="M48" s="11"/>
      <c r="N48" s="11"/>
    </row>
    <row r="49" spans="1:14">
      <c r="A49" s="29">
        <v>43556</v>
      </c>
      <c r="B49" s="21" t="s">
        <v>301</v>
      </c>
      <c r="C49" s="30"/>
      <c r="D49" s="32" t="s">
        <v>230</v>
      </c>
      <c r="E49" s="32" t="s">
        <v>163</v>
      </c>
      <c r="F49" s="32" t="s">
        <v>227</v>
      </c>
      <c r="G49" s="33"/>
      <c r="H49" s="34"/>
      <c r="I49" s="13"/>
      <c r="J49" s="11">
        <f t="shared" si="0"/>
        <v>0</v>
      </c>
      <c r="K49" s="11"/>
      <c r="L49" s="11"/>
      <c r="M49" s="11"/>
      <c r="N49" s="11"/>
    </row>
    <row r="50" spans="1:14">
      <c r="A50" s="29">
        <v>43556</v>
      </c>
      <c r="B50" s="21" t="s">
        <v>301</v>
      </c>
      <c r="C50" s="30"/>
      <c r="D50" s="32" t="s">
        <v>230</v>
      </c>
      <c r="E50" s="32" t="s">
        <v>163</v>
      </c>
      <c r="F50" s="32" t="s">
        <v>164</v>
      </c>
      <c r="G50" s="33"/>
      <c r="H50" s="34"/>
      <c r="I50" s="13"/>
      <c r="J50" s="11">
        <f t="shared" si="0"/>
        <v>0</v>
      </c>
      <c r="K50" s="11">
        <f>(J50+J51+J49+J52+J53+J54+J86+J87)*0.05*N2</f>
        <v>0</v>
      </c>
      <c r="L50" s="11">
        <f>K50/0.05*0.25</f>
        <v>0</v>
      </c>
      <c r="M50" s="11">
        <f>L50-K50</f>
        <v>0</v>
      </c>
      <c r="N50" s="11"/>
    </row>
    <row r="51" spans="1:14">
      <c r="A51" s="29">
        <v>43556</v>
      </c>
      <c r="B51" s="21" t="s">
        <v>301</v>
      </c>
      <c r="C51" s="30"/>
      <c r="D51" s="32" t="s">
        <v>230</v>
      </c>
      <c r="E51" s="32" t="s">
        <v>163</v>
      </c>
      <c r="F51" s="32" t="s">
        <v>275</v>
      </c>
      <c r="G51" s="33"/>
      <c r="H51" s="34"/>
      <c r="I51" s="13"/>
      <c r="J51" s="11">
        <f t="shared" si="0"/>
        <v>0</v>
      </c>
      <c r="K51" s="11"/>
      <c r="L51" s="11"/>
      <c r="M51" s="11"/>
      <c r="N51" s="11"/>
    </row>
    <row r="52" spans="1:14">
      <c r="A52" s="29">
        <v>43556</v>
      </c>
      <c r="B52" s="21" t="s">
        <v>301</v>
      </c>
      <c r="C52" s="30"/>
      <c r="D52" s="32" t="s">
        <v>162</v>
      </c>
      <c r="E52" s="32" t="s">
        <v>163</v>
      </c>
      <c r="F52" s="32" t="s">
        <v>227</v>
      </c>
      <c r="G52" s="33"/>
      <c r="H52" s="34"/>
      <c r="I52" s="14"/>
      <c r="J52" s="11">
        <f t="shared" si="0"/>
        <v>0</v>
      </c>
      <c r="K52" s="11"/>
      <c r="L52" s="11"/>
      <c r="M52" s="11"/>
      <c r="N52" s="11"/>
    </row>
    <row r="53" spans="1:14">
      <c r="A53" s="29">
        <v>43556</v>
      </c>
      <c r="B53" s="21" t="s">
        <v>301</v>
      </c>
      <c r="C53" s="30"/>
      <c r="D53" s="32" t="s">
        <v>162</v>
      </c>
      <c r="E53" s="32" t="s">
        <v>163</v>
      </c>
      <c r="F53" s="32" t="s">
        <v>164</v>
      </c>
      <c r="G53" s="33"/>
      <c r="H53" s="34"/>
      <c r="I53" s="13"/>
      <c r="J53" s="11">
        <f t="shared" si="0"/>
        <v>0</v>
      </c>
      <c r="K53" s="11"/>
      <c r="L53" s="11"/>
      <c r="M53" s="11"/>
      <c r="N53" s="11"/>
    </row>
    <row r="54" spans="1:14">
      <c r="A54" s="29">
        <v>43556</v>
      </c>
      <c r="B54" s="21" t="s">
        <v>301</v>
      </c>
      <c r="C54" s="30"/>
      <c r="D54" s="32" t="s">
        <v>162</v>
      </c>
      <c r="E54" s="32" t="s">
        <v>163</v>
      </c>
      <c r="F54" s="32" t="s">
        <v>275</v>
      </c>
      <c r="G54" s="33"/>
      <c r="H54" s="34"/>
      <c r="I54" s="13"/>
      <c r="J54" s="11">
        <f t="shared" si="0"/>
        <v>0</v>
      </c>
      <c r="K54" s="11"/>
      <c r="L54" s="11"/>
      <c r="M54" s="11"/>
      <c r="N54" s="11"/>
    </row>
    <row r="55" spans="1:14">
      <c r="A55" s="29">
        <v>43556</v>
      </c>
      <c r="B55" s="21" t="s">
        <v>301</v>
      </c>
      <c r="C55" s="30"/>
      <c r="D55" s="21" t="s">
        <v>176</v>
      </c>
      <c r="E55" s="21" t="s">
        <v>177</v>
      </c>
      <c r="F55" s="3" t="s">
        <v>228</v>
      </c>
      <c r="G55" s="11"/>
      <c r="H55" s="12"/>
      <c r="I55" s="13"/>
      <c r="J55" s="11">
        <f t="shared" si="0"/>
        <v>0</v>
      </c>
      <c r="K55" s="11"/>
      <c r="L55" s="11">
        <f>K55/0.05*0.25</f>
        <v>0</v>
      </c>
      <c r="M55" s="11">
        <f>L55-K55</f>
        <v>0</v>
      </c>
      <c r="N55" s="11"/>
    </row>
    <row r="56" spans="1:14">
      <c r="A56" s="29">
        <v>43556</v>
      </c>
      <c r="B56" s="21" t="s">
        <v>301</v>
      </c>
      <c r="C56" s="30"/>
      <c r="D56" s="21" t="s">
        <v>176</v>
      </c>
      <c r="E56" s="21" t="s">
        <v>177</v>
      </c>
      <c r="F56" s="3" t="s">
        <v>178</v>
      </c>
      <c r="G56" s="11"/>
      <c r="H56" s="12"/>
      <c r="I56" s="13"/>
      <c r="J56" s="11">
        <f t="shared" si="0"/>
        <v>0</v>
      </c>
      <c r="K56" s="11"/>
      <c r="L56" s="11"/>
      <c r="M56" s="11"/>
      <c r="N56" s="11"/>
    </row>
    <row r="57" spans="1:14">
      <c r="A57" s="29">
        <v>43556</v>
      </c>
      <c r="B57" s="21" t="s">
        <v>301</v>
      </c>
      <c r="C57" s="30"/>
      <c r="D57" s="21" t="s">
        <v>176</v>
      </c>
      <c r="E57" s="21" t="s">
        <v>177</v>
      </c>
      <c r="F57" s="3" t="s">
        <v>274</v>
      </c>
      <c r="G57" s="11"/>
      <c r="H57" s="12"/>
      <c r="I57" s="13"/>
      <c r="J57" s="11">
        <f t="shared" si="0"/>
        <v>0</v>
      </c>
      <c r="K57" s="11"/>
      <c r="L57" s="11"/>
      <c r="M57" s="11"/>
      <c r="N57" s="11"/>
    </row>
    <row r="58" spans="1:14">
      <c r="A58" s="29">
        <v>43556</v>
      </c>
      <c r="B58" s="21" t="s">
        <v>301</v>
      </c>
      <c r="C58" s="30"/>
      <c r="D58" s="21" t="s">
        <v>222</v>
      </c>
      <c r="E58" s="21" t="s">
        <v>223</v>
      </c>
      <c r="F58" s="3" t="s">
        <v>224</v>
      </c>
      <c r="G58" s="11"/>
      <c r="H58" s="12"/>
      <c r="I58" s="13"/>
      <c r="J58" s="11">
        <f t="shared" si="0"/>
        <v>0</v>
      </c>
      <c r="K58" s="11"/>
      <c r="L58" s="11"/>
      <c r="M58" s="11"/>
      <c r="N58" s="11"/>
    </row>
    <row r="59" spans="1:14">
      <c r="A59" s="29">
        <v>43556</v>
      </c>
      <c r="B59" s="21" t="s">
        <v>301</v>
      </c>
      <c r="C59" s="30"/>
      <c r="D59" s="21" t="s">
        <v>222</v>
      </c>
      <c r="E59" s="21" t="s">
        <v>223</v>
      </c>
      <c r="F59" s="3" t="s">
        <v>225</v>
      </c>
      <c r="G59" s="11"/>
      <c r="H59" s="12"/>
      <c r="I59" s="13"/>
      <c r="J59" s="11">
        <f t="shared" si="0"/>
        <v>0</v>
      </c>
      <c r="K59" s="11"/>
      <c r="L59" s="11"/>
      <c r="M59" s="11"/>
      <c r="N59" s="11"/>
    </row>
    <row r="60" spans="1:14">
      <c r="A60" s="29">
        <v>43556</v>
      </c>
      <c r="B60" s="21" t="s">
        <v>301</v>
      </c>
      <c r="C60" s="30"/>
      <c r="D60" s="21" t="s">
        <v>222</v>
      </c>
      <c r="E60" s="21" t="s">
        <v>223</v>
      </c>
      <c r="F60" s="3" t="s">
        <v>273</v>
      </c>
      <c r="G60" s="11"/>
      <c r="H60" s="12"/>
      <c r="I60" s="13"/>
      <c r="J60" s="11">
        <f t="shared" si="0"/>
        <v>0</v>
      </c>
      <c r="K60" s="11"/>
      <c r="L60" s="11"/>
      <c r="M60" s="11"/>
      <c r="N60" s="11"/>
    </row>
    <row r="61" spans="1:14">
      <c r="A61" s="29">
        <v>43556</v>
      </c>
      <c r="B61" s="21" t="s">
        <v>301</v>
      </c>
      <c r="C61" s="30"/>
      <c r="D61" s="21" t="s">
        <v>41</v>
      </c>
      <c r="E61" s="21" t="s">
        <v>42</v>
      </c>
      <c r="F61" s="3" t="s">
        <v>43</v>
      </c>
      <c r="G61" s="11"/>
      <c r="H61" s="12"/>
      <c r="I61" s="13"/>
      <c r="J61" s="11">
        <f t="shared" si="0"/>
        <v>0</v>
      </c>
      <c r="K61" s="11"/>
      <c r="L61" s="11">
        <f>K61/0.05*0.25</f>
        <v>0</v>
      </c>
      <c r="M61" s="11">
        <f>L61-K61</f>
        <v>0</v>
      </c>
      <c r="N61" s="11"/>
    </row>
    <row r="62" spans="1:14">
      <c r="A62" s="29">
        <v>43556</v>
      </c>
      <c r="B62" s="21" t="s">
        <v>301</v>
      </c>
      <c r="C62" s="30"/>
      <c r="D62" s="21" t="s">
        <v>41</v>
      </c>
      <c r="E62" s="21" t="s">
        <v>42</v>
      </c>
      <c r="F62" s="3" t="s">
        <v>165</v>
      </c>
      <c r="G62" s="11"/>
      <c r="H62" s="12"/>
      <c r="I62" s="13"/>
      <c r="J62" s="11">
        <f t="shared" si="0"/>
        <v>0</v>
      </c>
      <c r="K62" s="11"/>
      <c r="L62" s="11"/>
      <c r="M62" s="11"/>
      <c r="N62" s="11"/>
    </row>
    <row r="63" spans="1:14">
      <c r="A63" s="29">
        <v>43556</v>
      </c>
      <c r="B63" s="21" t="s">
        <v>301</v>
      </c>
      <c r="C63" s="30"/>
      <c r="D63" s="21" t="s">
        <v>41</v>
      </c>
      <c r="E63" s="21" t="s">
        <v>42</v>
      </c>
      <c r="F63" s="3" t="s">
        <v>218</v>
      </c>
      <c r="G63" s="11"/>
      <c r="H63" s="12"/>
      <c r="I63" s="13"/>
      <c r="J63" s="11">
        <f t="shared" si="0"/>
        <v>0</v>
      </c>
      <c r="K63" s="11"/>
      <c r="L63" s="11"/>
      <c r="M63" s="11"/>
      <c r="N63" s="11"/>
    </row>
    <row r="64" spans="1:14">
      <c r="A64" s="29">
        <v>43556</v>
      </c>
      <c r="B64" s="21" t="s">
        <v>301</v>
      </c>
      <c r="C64" s="30"/>
      <c r="D64" s="21" t="s">
        <v>216</v>
      </c>
      <c r="E64" s="21" t="s">
        <v>172</v>
      </c>
      <c r="F64" s="3" t="s">
        <v>173</v>
      </c>
      <c r="G64" s="11"/>
      <c r="H64" s="12"/>
      <c r="I64" s="13"/>
      <c r="J64" s="11">
        <f t="shared" si="0"/>
        <v>0</v>
      </c>
      <c r="K64" s="11">
        <f>(J64+J65+J66+J82+J83+J84)*0.05*N2</f>
        <v>0</v>
      </c>
      <c r="L64" s="11">
        <f>K64/0.05*0.25</f>
        <v>0</v>
      </c>
      <c r="M64" s="11">
        <f>L64-K64</f>
        <v>0</v>
      </c>
      <c r="N64" s="11"/>
    </row>
    <row r="65" spans="1:14">
      <c r="A65" s="29">
        <v>43556</v>
      </c>
      <c r="B65" s="21" t="s">
        <v>301</v>
      </c>
      <c r="C65" s="30"/>
      <c r="D65" s="21" t="s">
        <v>216</v>
      </c>
      <c r="E65" s="21" t="s">
        <v>172</v>
      </c>
      <c r="F65" s="3" t="s">
        <v>174</v>
      </c>
      <c r="G65" s="11"/>
      <c r="H65" s="12"/>
      <c r="I65" s="13"/>
      <c r="J65" s="11">
        <f t="shared" si="0"/>
        <v>0</v>
      </c>
      <c r="K65" s="11"/>
      <c r="L65" s="11"/>
      <c r="M65" s="11"/>
      <c r="N65" s="11"/>
    </row>
    <row r="66" spans="1:14">
      <c r="A66" s="29">
        <v>43556</v>
      </c>
      <c r="B66" s="21" t="s">
        <v>301</v>
      </c>
      <c r="C66" s="30"/>
      <c r="D66" s="21" t="s">
        <v>216</v>
      </c>
      <c r="E66" s="21" t="s">
        <v>172</v>
      </c>
      <c r="F66" s="3" t="s">
        <v>217</v>
      </c>
      <c r="G66" s="11"/>
      <c r="H66" s="12"/>
      <c r="I66" s="13"/>
      <c r="J66" s="11">
        <f t="shared" si="0"/>
        <v>0</v>
      </c>
      <c r="K66" s="11"/>
      <c r="L66" s="11"/>
      <c r="M66" s="11"/>
      <c r="N66" s="11"/>
    </row>
    <row r="67" spans="1:14">
      <c r="A67" s="29">
        <v>43556</v>
      </c>
      <c r="B67" s="21" t="s">
        <v>301</v>
      </c>
      <c r="C67" s="30"/>
      <c r="D67" s="21" t="s">
        <v>219</v>
      </c>
      <c r="E67" s="21" t="s">
        <v>160</v>
      </c>
      <c r="F67" s="3" t="s">
        <v>220</v>
      </c>
      <c r="G67" s="11"/>
      <c r="H67" s="12"/>
      <c r="I67" s="13"/>
      <c r="J67" s="11">
        <f t="shared" ref="J67:J130" si="2">G67*H67*1-I67</f>
        <v>0</v>
      </c>
      <c r="K67" s="11"/>
      <c r="L67" s="11"/>
      <c r="M67" s="11"/>
      <c r="N67" s="11"/>
    </row>
    <row r="68" spans="1:14">
      <c r="A68" s="29">
        <v>43556</v>
      </c>
      <c r="B68" s="21" t="s">
        <v>301</v>
      </c>
      <c r="C68" s="30"/>
      <c r="D68" s="21" t="s">
        <v>219</v>
      </c>
      <c r="E68" s="21" t="s">
        <v>160</v>
      </c>
      <c r="F68" s="3" t="s">
        <v>161</v>
      </c>
      <c r="G68" s="11"/>
      <c r="H68" s="12"/>
      <c r="I68" s="13"/>
      <c r="J68" s="11">
        <f t="shared" si="2"/>
        <v>0</v>
      </c>
      <c r="K68" s="11"/>
      <c r="L68" s="11"/>
      <c r="M68" s="11"/>
      <c r="N68" s="11"/>
    </row>
    <row r="69" spans="1:14">
      <c r="A69" s="29">
        <v>43556</v>
      </c>
      <c r="B69" s="21" t="s">
        <v>301</v>
      </c>
      <c r="C69" s="30"/>
      <c r="D69" s="21" t="s">
        <v>219</v>
      </c>
      <c r="E69" s="21" t="s">
        <v>160</v>
      </c>
      <c r="F69" s="3" t="s">
        <v>221</v>
      </c>
      <c r="G69" s="11"/>
      <c r="H69" s="12"/>
      <c r="I69" s="13"/>
      <c r="J69" s="11">
        <f t="shared" si="2"/>
        <v>0</v>
      </c>
      <c r="K69" s="11"/>
      <c r="L69" s="11"/>
      <c r="M69" s="11"/>
      <c r="N69" s="11"/>
    </row>
    <row r="70" spans="1:14">
      <c r="A70" s="29">
        <v>43556</v>
      </c>
      <c r="B70" s="21" t="s">
        <v>301</v>
      </c>
      <c r="C70" s="30"/>
      <c r="D70" s="21" t="s">
        <v>159</v>
      </c>
      <c r="E70" s="21" t="s">
        <v>160</v>
      </c>
      <c r="F70" s="3" t="s">
        <v>220</v>
      </c>
      <c r="G70" s="11"/>
      <c r="H70" s="12"/>
      <c r="I70" s="13"/>
      <c r="J70" s="11">
        <f t="shared" si="2"/>
        <v>0</v>
      </c>
      <c r="K70" s="11">
        <f>(J70+J71+J72+J67+J68+J69)*0.04*N2</f>
        <v>0</v>
      </c>
      <c r="L70" s="11">
        <f>K70/0.04*0.25</f>
        <v>0</v>
      </c>
      <c r="M70" s="11">
        <f>L70-K70</f>
        <v>0</v>
      </c>
      <c r="N70" s="11"/>
    </row>
    <row r="71" spans="1:14">
      <c r="A71" s="29">
        <v>43556</v>
      </c>
      <c r="B71" s="21" t="s">
        <v>301</v>
      </c>
      <c r="C71" s="30"/>
      <c r="D71" s="21" t="s">
        <v>159</v>
      </c>
      <c r="E71" s="21" t="s">
        <v>160</v>
      </c>
      <c r="F71" s="3" t="s">
        <v>161</v>
      </c>
      <c r="G71" s="11"/>
      <c r="H71" s="12"/>
      <c r="I71" s="13"/>
      <c r="J71" s="11">
        <f t="shared" si="2"/>
        <v>0</v>
      </c>
      <c r="K71" s="11"/>
      <c r="L71" s="11"/>
      <c r="M71" s="11"/>
      <c r="N71" s="11"/>
    </row>
    <row r="72" spans="1:14">
      <c r="A72" s="29">
        <v>43556</v>
      </c>
      <c r="B72" s="21" t="s">
        <v>301</v>
      </c>
      <c r="C72" s="30"/>
      <c r="D72" s="21" t="s">
        <v>159</v>
      </c>
      <c r="E72" s="21" t="s">
        <v>160</v>
      </c>
      <c r="F72" s="3" t="s">
        <v>221</v>
      </c>
      <c r="G72" s="11"/>
      <c r="H72" s="12"/>
      <c r="I72" s="13"/>
      <c r="J72" s="11">
        <f t="shared" si="2"/>
        <v>0</v>
      </c>
      <c r="K72" s="11"/>
      <c r="L72" s="11"/>
      <c r="M72" s="11"/>
      <c r="N72" s="11"/>
    </row>
    <row r="73" spans="1:14">
      <c r="A73" s="29">
        <v>43556</v>
      </c>
      <c r="B73" s="21" t="s">
        <v>301</v>
      </c>
      <c r="C73" s="30"/>
      <c r="D73" s="21" t="s">
        <v>175</v>
      </c>
      <c r="E73" s="21" t="s">
        <v>42</v>
      </c>
      <c r="F73" s="3" t="s">
        <v>43</v>
      </c>
      <c r="G73" s="11"/>
      <c r="H73" s="12"/>
      <c r="I73" s="14"/>
      <c r="J73" s="11">
        <f t="shared" si="2"/>
        <v>0</v>
      </c>
      <c r="K73" s="11">
        <f>(J73+J74+J75+J61+J62+J63)*0.03*N2</f>
        <v>0</v>
      </c>
      <c r="L73" s="11">
        <f>K73/0.03*0.25</f>
        <v>0</v>
      </c>
      <c r="M73" s="11">
        <f>L73-K73</f>
        <v>0</v>
      </c>
      <c r="N73" s="11"/>
    </row>
    <row r="74" spans="1:14">
      <c r="A74" s="29">
        <v>43556</v>
      </c>
      <c r="B74" s="21" t="s">
        <v>301</v>
      </c>
      <c r="C74" s="30"/>
      <c r="D74" s="21" t="s">
        <v>175</v>
      </c>
      <c r="E74" s="21" t="s">
        <v>42</v>
      </c>
      <c r="F74" s="3" t="s">
        <v>165</v>
      </c>
      <c r="G74" s="11"/>
      <c r="H74" s="12"/>
      <c r="I74" s="13"/>
      <c r="J74" s="11">
        <f t="shared" si="2"/>
        <v>0</v>
      </c>
      <c r="K74" s="11"/>
      <c r="L74" s="11"/>
      <c r="M74" s="11"/>
      <c r="N74" s="11"/>
    </row>
    <row r="75" spans="1:14">
      <c r="A75" s="29"/>
      <c r="B75" s="21"/>
      <c r="C75" s="30"/>
      <c r="D75" s="21" t="s">
        <v>175</v>
      </c>
      <c r="E75" s="21" t="s">
        <v>42</v>
      </c>
      <c r="F75" s="3" t="s">
        <v>218</v>
      </c>
      <c r="G75" s="11"/>
      <c r="H75" s="12"/>
      <c r="I75" s="13"/>
      <c r="J75" s="11">
        <f t="shared" si="2"/>
        <v>0</v>
      </c>
      <c r="K75" s="11"/>
      <c r="L75" s="11"/>
      <c r="M75" s="11"/>
      <c r="N75" s="11"/>
    </row>
    <row r="76" spans="1:14">
      <c r="A76" s="29"/>
      <c r="B76" s="21"/>
      <c r="C76" s="30"/>
      <c r="D76" s="21" t="s">
        <v>166</v>
      </c>
      <c r="E76" s="21" t="s">
        <v>167</v>
      </c>
      <c r="F76" s="3" t="s">
        <v>168</v>
      </c>
      <c r="G76" s="11"/>
      <c r="H76" s="12"/>
      <c r="I76" s="13"/>
      <c r="J76" s="11">
        <f t="shared" si="2"/>
        <v>0</v>
      </c>
      <c r="K76" s="11"/>
      <c r="L76" s="11"/>
      <c r="M76" s="11"/>
      <c r="N76" s="11"/>
    </row>
    <row r="77" spans="1:14">
      <c r="A77" s="29">
        <v>43556</v>
      </c>
      <c r="B77" s="21" t="s">
        <v>301</v>
      </c>
      <c r="C77" s="30"/>
      <c r="D77" s="21" t="s">
        <v>166</v>
      </c>
      <c r="E77" s="21" t="s">
        <v>167</v>
      </c>
      <c r="F77" s="3" t="s">
        <v>170</v>
      </c>
      <c r="G77" s="11"/>
      <c r="H77" s="12"/>
      <c r="I77" s="13"/>
      <c r="J77" s="11">
        <f t="shared" si="2"/>
        <v>0</v>
      </c>
      <c r="K77" s="11"/>
      <c r="L77" s="11"/>
      <c r="M77" s="11"/>
      <c r="N77" s="11"/>
    </row>
    <row r="78" spans="1:14">
      <c r="A78" s="29"/>
      <c r="B78" s="21"/>
      <c r="C78" s="30"/>
      <c r="D78" s="21" t="s">
        <v>166</v>
      </c>
      <c r="E78" s="21" t="s">
        <v>167</v>
      </c>
      <c r="F78" s="3" t="s">
        <v>215</v>
      </c>
      <c r="G78" s="11"/>
      <c r="H78" s="12"/>
      <c r="I78" s="13"/>
      <c r="J78" s="11">
        <f t="shared" si="2"/>
        <v>0</v>
      </c>
      <c r="K78" s="11"/>
      <c r="L78" s="11"/>
      <c r="M78" s="11"/>
      <c r="N78" s="11"/>
    </row>
    <row r="79" spans="1:14">
      <c r="A79" s="29">
        <v>43556</v>
      </c>
      <c r="B79" s="21" t="s">
        <v>301</v>
      </c>
      <c r="C79" s="30"/>
      <c r="D79" s="21" t="s">
        <v>169</v>
      </c>
      <c r="E79" s="21" t="s">
        <v>167</v>
      </c>
      <c r="F79" s="3" t="s">
        <v>168</v>
      </c>
      <c r="G79" s="11"/>
      <c r="H79" s="12"/>
      <c r="I79" s="13"/>
      <c r="J79" s="11">
        <f t="shared" si="2"/>
        <v>0</v>
      </c>
      <c r="K79" s="11">
        <f>(J79+J81+J80+J77+J78+J76)*0.04*N2</f>
        <v>0</v>
      </c>
      <c r="L79" s="11">
        <f>K79/0.04*0.25</f>
        <v>0</v>
      </c>
      <c r="M79" s="11">
        <f>L79-K79</f>
        <v>0</v>
      </c>
      <c r="N79" s="11"/>
    </row>
    <row r="80" spans="1:14">
      <c r="A80" s="29">
        <v>43556</v>
      </c>
      <c r="B80" s="21" t="s">
        <v>301</v>
      </c>
      <c r="C80" s="30"/>
      <c r="D80" s="21" t="s">
        <v>169</v>
      </c>
      <c r="E80" s="21" t="s">
        <v>167</v>
      </c>
      <c r="F80" s="3" t="s">
        <v>170</v>
      </c>
      <c r="G80" s="11"/>
      <c r="H80" s="12"/>
      <c r="I80" s="13"/>
      <c r="J80" s="11">
        <f t="shared" si="2"/>
        <v>0</v>
      </c>
      <c r="K80" s="11"/>
      <c r="L80" s="11"/>
      <c r="M80" s="11"/>
      <c r="N80" s="11"/>
    </row>
    <row r="81" spans="1:14">
      <c r="A81" s="29">
        <v>43556</v>
      </c>
      <c r="B81" s="21" t="s">
        <v>301</v>
      </c>
      <c r="C81" s="30"/>
      <c r="D81" s="21" t="s">
        <v>169</v>
      </c>
      <c r="E81" s="21" t="s">
        <v>167</v>
      </c>
      <c r="F81" s="3" t="s">
        <v>215</v>
      </c>
      <c r="G81" s="11"/>
      <c r="H81" s="12"/>
      <c r="I81" s="14"/>
      <c r="J81" s="11">
        <f t="shared" si="2"/>
        <v>0</v>
      </c>
      <c r="K81" s="11"/>
      <c r="L81" s="11"/>
      <c r="M81" s="11"/>
      <c r="N81" s="11"/>
    </row>
    <row r="82" spans="1:14">
      <c r="A82" s="29">
        <v>43556</v>
      </c>
      <c r="B82" s="21" t="s">
        <v>301</v>
      </c>
      <c r="C82" s="30"/>
      <c r="D82" s="21" t="s">
        <v>171</v>
      </c>
      <c r="E82" s="21" t="s">
        <v>172</v>
      </c>
      <c r="F82" s="3" t="s">
        <v>173</v>
      </c>
      <c r="G82" s="11"/>
      <c r="H82" s="12"/>
      <c r="I82" s="14"/>
      <c r="J82" s="11">
        <f t="shared" si="2"/>
        <v>0</v>
      </c>
      <c r="K82" s="11"/>
      <c r="L82" s="11"/>
      <c r="M82" s="11"/>
      <c r="N82" s="11"/>
    </row>
    <row r="83" spans="1:14">
      <c r="A83" s="29">
        <v>43556</v>
      </c>
      <c r="B83" s="21" t="s">
        <v>301</v>
      </c>
      <c r="C83" s="30"/>
      <c r="D83" s="21" t="s">
        <v>171</v>
      </c>
      <c r="E83" s="21" t="s">
        <v>172</v>
      </c>
      <c r="F83" s="3" t="s">
        <v>174</v>
      </c>
      <c r="G83" s="11"/>
      <c r="H83" s="12"/>
      <c r="I83" s="13"/>
      <c r="J83" s="11">
        <f t="shared" si="2"/>
        <v>0</v>
      </c>
      <c r="K83" s="11"/>
      <c r="L83" s="11"/>
      <c r="M83" s="11"/>
      <c r="N83" s="11"/>
    </row>
    <row r="84" spans="1:14">
      <c r="A84" s="29">
        <v>43556</v>
      </c>
      <c r="B84" s="21" t="s">
        <v>301</v>
      </c>
      <c r="C84" s="30"/>
      <c r="D84" s="21" t="s">
        <v>171</v>
      </c>
      <c r="E84" s="21" t="s">
        <v>172</v>
      </c>
      <c r="F84" s="3" t="s">
        <v>217</v>
      </c>
      <c r="G84" s="11"/>
      <c r="H84" s="12"/>
      <c r="I84" s="13"/>
      <c r="J84" s="11">
        <f t="shared" si="2"/>
        <v>0</v>
      </c>
      <c r="K84" s="11"/>
      <c r="L84" s="11"/>
      <c r="M84" s="11"/>
      <c r="N84" s="11"/>
    </row>
    <row r="85" spans="1:14">
      <c r="A85" s="29"/>
      <c r="B85" s="21"/>
      <c r="C85" s="30"/>
      <c r="D85" s="21" t="s">
        <v>309</v>
      </c>
      <c r="E85" s="21" t="s">
        <v>223</v>
      </c>
      <c r="F85" s="3" t="s">
        <v>224</v>
      </c>
      <c r="G85" s="11"/>
      <c r="H85" s="12"/>
      <c r="I85" s="13"/>
      <c r="J85" s="11">
        <f t="shared" si="2"/>
        <v>0</v>
      </c>
      <c r="K85" s="11"/>
      <c r="L85" s="11"/>
      <c r="M85" s="11"/>
      <c r="N85" s="11"/>
    </row>
    <row r="86" spans="1:14">
      <c r="A86" s="29"/>
      <c r="B86" s="21"/>
      <c r="C86" s="30"/>
      <c r="D86" s="32" t="s">
        <v>226</v>
      </c>
      <c r="E86" s="32" t="s">
        <v>163</v>
      </c>
      <c r="F86" s="32" t="s">
        <v>164</v>
      </c>
      <c r="G86" s="33"/>
      <c r="H86" s="34"/>
      <c r="I86" s="13"/>
      <c r="J86" s="11">
        <f t="shared" si="2"/>
        <v>0</v>
      </c>
      <c r="K86" s="11"/>
      <c r="L86" s="11"/>
      <c r="M86" s="11"/>
      <c r="N86" s="11"/>
    </row>
    <row r="87" spans="1:14">
      <c r="A87" s="29"/>
      <c r="B87" s="21"/>
      <c r="C87" s="26"/>
      <c r="D87" s="32" t="s">
        <v>226</v>
      </c>
      <c r="E87" s="32" t="s">
        <v>163</v>
      </c>
      <c r="F87" s="32" t="s">
        <v>275</v>
      </c>
      <c r="G87" s="33"/>
      <c r="H87" s="34"/>
      <c r="I87" s="13"/>
      <c r="J87" s="11">
        <f t="shared" si="2"/>
        <v>0</v>
      </c>
      <c r="K87" s="11"/>
      <c r="L87" s="11"/>
      <c r="M87" s="11"/>
      <c r="N87" s="11"/>
    </row>
    <row r="88" spans="1:14">
      <c r="A88" s="29"/>
      <c r="B88" s="21"/>
      <c r="C88" s="30" t="s">
        <v>11</v>
      </c>
      <c r="D88" s="21" t="s">
        <v>211</v>
      </c>
      <c r="E88" s="21" t="s">
        <v>13</v>
      </c>
      <c r="F88" s="3" t="s">
        <v>14</v>
      </c>
      <c r="G88" s="11"/>
      <c r="H88" s="12"/>
      <c r="I88" s="13"/>
      <c r="J88" s="11">
        <f t="shared" si="2"/>
        <v>0</v>
      </c>
      <c r="K88" s="11"/>
      <c r="L88" s="11"/>
      <c r="M88" s="11"/>
      <c r="N88" s="11"/>
    </row>
    <row r="89" spans="1:14">
      <c r="A89" s="29">
        <v>43556</v>
      </c>
      <c r="B89" s="21" t="s">
        <v>301</v>
      </c>
      <c r="C89" s="30"/>
      <c r="D89" s="21" t="s">
        <v>12</v>
      </c>
      <c r="E89" s="21" t="s">
        <v>13</v>
      </c>
      <c r="F89" s="3" t="s">
        <v>14</v>
      </c>
      <c r="G89" s="11"/>
      <c r="H89" s="12"/>
      <c r="I89" s="13"/>
      <c r="J89" s="11">
        <f t="shared" si="2"/>
        <v>0</v>
      </c>
      <c r="K89" s="11">
        <f>(J89+J90+J88)*0.03*N2</f>
        <v>0</v>
      </c>
      <c r="L89" s="11">
        <f>K89/0.03*0.25</f>
        <v>0</v>
      </c>
      <c r="M89" s="11">
        <f>L89-K89</f>
        <v>0</v>
      </c>
      <c r="N89" s="11"/>
    </row>
    <row r="90" spans="1:14">
      <c r="A90" s="29">
        <v>43556</v>
      </c>
      <c r="B90" s="21" t="s">
        <v>301</v>
      </c>
      <c r="C90" s="26"/>
      <c r="D90" s="21" t="s">
        <v>12</v>
      </c>
      <c r="E90" s="21" t="s">
        <v>13</v>
      </c>
      <c r="F90" s="3" t="s">
        <v>264</v>
      </c>
      <c r="G90" s="11"/>
      <c r="H90" s="12"/>
      <c r="I90" s="14"/>
      <c r="J90" s="11">
        <f t="shared" si="2"/>
        <v>0</v>
      </c>
      <c r="K90" s="11"/>
      <c r="L90" s="11"/>
      <c r="M90" s="11"/>
      <c r="N90" s="11"/>
    </row>
    <row r="91" spans="1:14">
      <c r="A91" s="29">
        <v>43556</v>
      </c>
      <c r="B91" s="21" t="s">
        <v>301</v>
      </c>
      <c r="C91" s="24" t="s">
        <v>15</v>
      </c>
      <c r="D91" s="21" t="s">
        <v>23</v>
      </c>
      <c r="E91" s="21" t="s">
        <v>20</v>
      </c>
      <c r="F91" s="3" t="s">
        <v>21</v>
      </c>
      <c r="G91" s="11"/>
      <c r="H91" s="12"/>
      <c r="I91" s="13"/>
      <c r="J91" s="11">
        <f t="shared" si="2"/>
        <v>0</v>
      </c>
      <c r="K91" s="11">
        <f>(J91+J92++J97+J98+J110+J111+J112)*0.03*N2</f>
        <v>0</v>
      </c>
      <c r="L91" s="11">
        <f>K91/0.03*0.25</f>
        <v>0</v>
      </c>
      <c r="M91" s="11">
        <f t="shared" ref="M91:M95" si="3">L91-K91</f>
        <v>0</v>
      </c>
      <c r="N91" s="11"/>
    </row>
    <row r="92" spans="1:14">
      <c r="A92" s="29">
        <v>43556</v>
      </c>
      <c r="B92" s="21" t="s">
        <v>301</v>
      </c>
      <c r="C92" s="24"/>
      <c r="D92" s="21" t="s">
        <v>23</v>
      </c>
      <c r="E92" s="21" t="s">
        <v>20</v>
      </c>
      <c r="F92" s="3" t="s">
        <v>133</v>
      </c>
      <c r="G92" s="11"/>
      <c r="H92" s="12"/>
      <c r="I92" s="13"/>
      <c r="J92" s="11">
        <f t="shared" si="2"/>
        <v>0</v>
      </c>
      <c r="K92" s="11"/>
      <c r="L92" s="11"/>
      <c r="M92" s="11"/>
      <c r="N92" s="11"/>
    </row>
    <row r="93" spans="1:14">
      <c r="A93" s="29">
        <v>43556</v>
      </c>
      <c r="B93" s="21" t="s">
        <v>301</v>
      </c>
      <c r="C93" s="24"/>
      <c r="D93" s="21" t="s">
        <v>34</v>
      </c>
      <c r="E93" s="21" t="s">
        <v>35</v>
      </c>
      <c r="F93" s="3" t="s">
        <v>36</v>
      </c>
      <c r="G93" s="11"/>
      <c r="H93" s="12"/>
      <c r="I93" s="13"/>
      <c r="J93" s="11">
        <f t="shared" si="2"/>
        <v>0</v>
      </c>
      <c r="K93" s="11"/>
      <c r="L93" s="11">
        <f>K93/0.03*0.25</f>
        <v>0</v>
      </c>
      <c r="M93" s="11">
        <f t="shared" si="3"/>
        <v>0</v>
      </c>
      <c r="N93" s="11"/>
    </row>
    <row r="94" spans="1:14">
      <c r="A94" s="29">
        <v>43556</v>
      </c>
      <c r="B94" s="21" t="s">
        <v>301</v>
      </c>
      <c r="C94" s="24"/>
      <c r="D94" s="21" t="s">
        <v>34</v>
      </c>
      <c r="E94" s="21" t="s">
        <v>35</v>
      </c>
      <c r="F94" s="3" t="s">
        <v>271</v>
      </c>
      <c r="G94" s="11"/>
      <c r="H94" s="12"/>
      <c r="I94" s="13"/>
      <c r="J94" s="11">
        <f t="shared" si="2"/>
        <v>0</v>
      </c>
      <c r="K94" s="11"/>
      <c r="L94" s="11"/>
      <c r="M94" s="11"/>
      <c r="N94" s="11"/>
    </row>
    <row r="95" spans="1:14">
      <c r="A95" s="29">
        <v>43556</v>
      </c>
      <c r="B95" s="21" t="s">
        <v>301</v>
      </c>
      <c r="C95" s="24"/>
      <c r="D95" s="21" t="s">
        <v>16</v>
      </c>
      <c r="E95" s="21" t="s">
        <v>17</v>
      </c>
      <c r="F95" s="3" t="s">
        <v>18</v>
      </c>
      <c r="G95" s="11"/>
      <c r="H95" s="12"/>
      <c r="I95" s="13"/>
      <c r="J95" s="11">
        <f t="shared" si="2"/>
        <v>0</v>
      </c>
      <c r="K95" s="11">
        <f>(J95+J96+J117+J118)*0.05*N2</f>
        <v>0</v>
      </c>
      <c r="L95" s="11">
        <f>K95/0.05*0.25</f>
        <v>0</v>
      </c>
      <c r="M95" s="11">
        <f t="shared" si="3"/>
        <v>0</v>
      </c>
      <c r="N95" s="11"/>
    </row>
    <row r="96" spans="1:14">
      <c r="A96" s="29">
        <v>43556</v>
      </c>
      <c r="B96" s="21" t="s">
        <v>301</v>
      </c>
      <c r="C96" s="24"/>
      <c r="D96" s="21" t="s">
        <v>16</v>
      </c>
      <c r="E96" s="21" t="s">
        <v>17</v>
      </c>
      <c r="F96" s="3" t="s">
        <v>141</v>
      </c>
      <c r="G96" s="11"/>
      <c r="H96" s="12"/>
      <c r="I96" s="13"/>
      <c r="J96" s="11">
        <f t="shared" si="2"/>
        <v>0</v>
      </c>
      <c r="K96" s="11"/>
      <c r="L96" s="11"/>
      <c r="M96" s="11"/>
      <c r="N96" s="11"/>
    </row>
    <row r="97" spans="1:14">
      <c r="A97" s="29">
        <v>43556</v>
      </c>
      <c r="B97" s="21" t="s">
        <v>301</v>
      </c>
      <c r="C97" s="24"/>
      <c r="D97" s="21" t="s">
        <v>76</v>
      </c>
      <c r="E97" s="21" t="s">
        <v>20</v>
      </c>
      <c r="F97" s="3" t="s">
        <v>21</v>
      </c>
      <c r="G97" s="11"/>
      <c r="H97" s="12"/>
      <c r="I97" s="13"/>
      <c r="J97" s="11">
        <f t="shared" si="2"/>
        <v>0</v>
      </c>
      <c r="K97" s="11"/>
      <c r="L97" s="11"/>
      <c r="M97" s="11"/>
      <c r="N97" s="11"/>
    </row>
    <row r="98" spans="1:14">
      <c r="A98" s="29">
        <v>43556</v>
      </c>
      <c r="B98" s="21" t="s">
        <v>301</v>
      </c>
      <c r="C98" s="24"/>
      <c r="D98" s="21" t="s">
        <v>76</v>
      </c>
      <c r="E98" s="21" t="s">
        <v>20</v>
      </c>
      <c r="F98" s="3" t="s">
        <v>133</v>
      </c>
      <c r="G98" s="11"/>
      <c r="H98" s="12"/>
      <c r="I98" s="13"/>
      <c r="J98" s="11">
        <f t="shared" si="2"/>
        <v>0</v>
      </c>
      <c r="K98" s="11"/>
      <c r="L98" s="11"/>
      <c r="M98" s="11"/>
      <c r="N98" s="11"/>
    </row>
    <row r="99" spans="1:14">
      <c r="A99" s="29">
        <v>43556</v>
      </c>
      <c r="B99" s="21" t="s">
        <v>301</v>
      </c>
      <c r="C99" s="24"/>
      <c r="D99" s="21" t="s">
        <v>28</v>
      </c>
      <c r="E99" s="21" t="s">
        <v>29</v>
      </c>
      <c r="F99" s="3" t="s">
        <v>30</v>
      </c>
      <c r="G99" s="11"/>
      <c r="H99" s="12"/>
      <c r="I99" s="13"/>
      <c r="J99" s="11">
        <f t="shared" si="2"/>
        <v>0</v>
      </c>
      <c r="K99" s="11">
        <f>(J99+J100+J101+J102+J106+J107+J108+J109)*0.05*N2</f>
        <v>0</v>
      </c>
      <c r="L99" s="11">
        <f>K99/0.05*0.25</f>
        <v>0</v>
      </c>
      <c r="M99" s="11">
        <f>L99-K99</f>
        <v>0</v>
      </c>
      <c r="N99" s="11"/>
    </row>
    <row r="100" spans="1:14">
      <c r="A100" s="29">
        <v>43556</v>
      </c>
      <c r="B100" s="21" t="s">
        <v>301</v>
      </c>
      <c r="C100" s="24"/>
      <c r="D100" s="21" t="s">
        <v>28</v>
      </c>
      <c r="E100" s="21" t="s">
        <v>29</v>
      </c>
      <c r="F100" s="3" t="s">
        <v>135</v>
      </c>
      <c r="G100" s="11"/>
      <c r="H100" s="12"/>
      <c r="I100" s="13"/>
      <c r="J100" s="11">
        <f t="shared" si="2"/>
        <v>0</v>
      </c>
      <c r="K100" s="11"/>
      <c r="L100" s="11"/>
      <c r="M100" s="11"/>
      <c r="N100" s="11"/>
    </row>
    <row r="101" spans="1:14">
      <c r="A101" s="29">
        <v>43556</v>
      </c>
      <c r="B101" s="21" t="s">
        <v>301</v>
      </c>
      <c r="C101" s="24"/>
      <c r="D101" s="21" t="s">
        <v>140</v>
      </c>
      <c r="E101" s="21" t="s">
        <v>29</v>
      </c>
      <c r="F101" s="3" t="s">
        <v>30</v>
      </c>
      <c r="G101" s="11"/>
      <c r="H101" s="12"/>
      <c r="I101" s="13"/>
      <c r="J101" s="11">
        <f t="shared" si="2"/>
        <v>0</v>
      </c>
      <c r="K101" s="11"/>
      <c r="L101" s="11"/>
      <c r="M101" s="11"/>
      <c r="N101" s="11"/>
    </row>
    <row r="102" spans="1:14">
      <c r="A102" s="29">
        <v>43556</v>
      </c>
      <c r="B102" s="21" t="s">
        <v>301</v>
      </c>
      <c r="C102" s="24"/>
      <c r="D102" s="21" t="s">
        <v>140</v>
      </c>
      <c r="E102" s="21" t="s">
        <v>29</v>
      </c>
      <c r="F102" s="3" t="s">
        <v>135</v>
      </c>
      <c r="G102" s="11"/>
      <c r="H102" s="12"/>
      <c r="I102" s="13"/>
      <c r="J102" s="11">
        <f t="shared" si="2"/>
        <v>0</v>
      </c>
      <c r="K102" s="11"/>
      <c r="L102" s="11"/>
      <c r="M102" s="11"/>
      <c r="N102" s="11"/>
    </row>
    <row r="103" spans="1:14">
      <c r="A103" s="29">
        <v>43556</v>
      </c>
      <c r="B103" s="21" t="s">
        <v>301</v>
      </c>
      <c r="C103" s="24"/>
      <c r="D103" s="21" t="s">
        <v>212</v>
      </c>
      <c r="E103" s="21" t="s">
        <v>35</v>
      </c>
      <c r="F103" s="3" t="s">
        <v>213</v>
      </c>
      <c r="G103" s="11"/>
      <c r="H103" s="12"/>
      <c r="I103" s="13"/>
      <c r="J103" s="11">
        <f t="shared" si="2"/>
        <v>0</v>
      </c>
      <c r="K103" s="11"/>
      <c r="L103" s="11"/>
      <c r="M103" s="11"/>
      <c r="N103" s="11"/>
    </row>
    <row r="104" spans="1:14">
      <c r="A104" s="29">
        <v>43556</v>
      </c>
      <c r="B104" s="21" t="s">
        <v>301</v>
      </c>
      <c r="C104" s="24"/>
      <c r="D104" s="21" t="s">
        <v>212</v>
      </c>
      <c r="E104" s="21" t="s">
        <v>35</v>
      </c>
      <c r="F104" s="3" t="s">
        <v>272</v>
      </c>
      <c r="G104" s="11"/>
      <c r="H104" s="12"/>
      <c r="I104" s="14"/>
      <c r="J104" s="11">
        <f t="shared" si="2"/>
        <v>0</v>
      </c>
      <c r="K104" s="11"/>
      <c r="L104" s="11"/>
      <c r="M104" s="11"/>
      <c r="N104" s="11"/>
    </row>
    <row r="105" spans="1:14">
      <c r="A105" s="29">
        <v>43556</v>
      </c>
      <c r="B105" s="21" t="s">
        <v>301</v>
      </c>
      <c r="C105" s="24"/>
      <c r="D105" s="21" t="s">
        <v>139</v>
      </c>
      <c r="E105" s="21" t="s">
        <v>35</v>
      </c>
      <c r="F105" s="3" t="s">
        <v>213</v>
      </c>
      <c r="G105" s="11"/>
      <c r="H105" s="12"/>
      <c r="I105" s="13"/>
      <c r="J105" s="11">
        <f t="shared" si="2"/>
        <v>0</v>
      </c>
      <c r="K105" s="11"/>
      <c r="L105" s="11"/>
      <c r="M105" s="11"/>
      <c r="N105" s="11"/>
    </row>
    <row r="106" spans="1:14">
      <c r="A106" s="29">
        <v>43556</v>
      </c>
      <c r="B106" s="21" t="s">
        <v>301</v>
      </c>
      <c r="C106" s="24"/>
      <c r="D106" s="21" t="s">
        <v>134</v>
      </c>
      <c r="E106" s="21" t="s">
        <v>29</v>
      </c>
      <c r="F106" s="3" t="s">
        <v>30</v>
      </c>
      <c r="G106" s="11"/>
      <c r="H106" s="12"/>
      <c r="I106" s="14"/>
      <c r="J106" s="11">
        <f t="shared" si="2"/>
        <v>0</v>
      </c>
      <c r="K106" s="11"/>
      <c r="L106" s="11"/>
      <c r="M106" s="11"/>
      <c r="N106" s="11"/>
    </row>
    <row r="107" spans="1:14">
      <c r="A107" s="29">
        <v>43556</v>
      </c>
      <c r="B107" s="21" t="s">
        <v>301</v>
      </c>
      <c r="C107" s="24"/>
      <c r="D107" s="21" t="s">
        <v>134</v>
      </c>
      <c r="E107" s="21" t="s">
        <v>29</v>
      </c>
      <c r="F107" s="3" t="s">
        <v>135</v>
      </c>
      <c r="G107" s="11"/>
      <c r="H107" s="12"/>
      <c r="I107" s="13"/>
      <c r="J107" s="11">
        <f t="shared" si="2"/>
        <v>0</v>
      </c>
      <c r="K107" s="11"/>
      <c r="L107" s="11"/>
      <c r="M107" s="11"/>
      <c r="N107" s="11"/>
    </row>
    <row r="108" spans="1:14">
      <c r="A108" s="29">
        <v>43556</v>
      </c>
      <c r="B108" s="21" t="s">
        <v>301</v>
      </c>
      <c r="C108" s="24"/>
      <c r="D108" s="21" t="s">
        <v>136</v>
      </c>
      <c r="E108" s="21" t="s">
        <v>29</v>
      </c>
      <c r="F108" s="3" t="s">
        <v>30</v>
      </c>
      <c r="G108" s="11"/>
      <c r="H108" s="12"/>
      <c r="I108" s="13"/>
      <c r="J108" s="11">
        <f t="shared" si="2"/>
        <v>0</v>
      </c>
      <c r="K108" s="11"/>
      <c r="L108" s="11"/>
      <c r="M108" s="11"/>
      <c r="N108" s="11"/>
    </row>
    <row r="109" spans="1:14">
      <c r="A109" s="29">
        <v>43556</v>
      </c>
      <c r="B109" s="21" t="s">
        <v>301</v>
      </c>
      <c r="C109" s="24"/>
      <c r="D109" s="21" t="s">
        <v>136</v>
      </c>
      <c r="E109" s="21" t="s">
        <v>29</v>
      </c>
      <c r="F109" s="3" t="s">
        <v>135</v>
      </c>
      <c r="G109" s="11"/>
      <c r="H109" s="12"/>
      <c r="I109" s="13"/>
      <c r="J109" s="11">
        <f t="shared" si="2"/>
        <v>0</v>
      </c>
      <c r="K109" s="11"/>
      <c r="L109" s="11"/>
      <c r="M109" s="11"/>
      <c r="N109" s="11"/>
    </row>
    <row r="110" spans="1:14">
      <c r="A110" s="29">
        <v>43556</v>
      </c>
      <c r="B110" s="21" t="s">
        <v>301</v>
      </c>
      <c r="C110" s="24"/>
      <c r="D110" s="21" t="s">
        <v>19</v>
      </c>
      <c r="E110" s="21" t="s">
        <v>20</v>
      </c>
      <c r="F110" s="3" t="s">
        <v>21</v>
      </c>
      <c r="G110" s="11"/>
      <c r="H110" s="12"/>
      <c r="I110" s="13"/>
      <c r="J110" s="11">
        <f t="shared" si="2"/>
        <v>0</v>
      </c>
      <c r="K110" s="11"/>
      <c r="L110" s="11"/>
      <c r="M110" s="11"/>
      <c r="N110" s="11"/>
    </row>
    <row r="111" spans="1:14">
      <c r="A111" s="29"/>
      <c r="B111" s="21"/>
      <c r="C111" s="24"/>
      <c r="D111" s="21" t="s">
        <v>22</v>
      </c>
      <c r="E111" s="21" t="s">
        <v>20</v>
      </c>
      <c r="F111" s="3" t="s">
        <v>21</v>
      </c>
      <c r="G111" s="11"/>
      <c r="H111" s="12"/>
      <c r="I111" s="13"/>
      <c r="J111" s="11">
        <f t="shared" si="2"/>
        <v>0</v>
      </c>
      <c r="K111" s="11"/>
      <c r="L111" s="11"/>
      <c r="M111" s="11"/>
      <c r="N111" s="11"/>
    </row>
    <row r="112" spans="1:14">
      <c r="A112" s="29"/>
      <c r="B112" s="21"/>
      <c r="C112" s="24"/>
      <c r="D112" s="21" t="s">
        <v>214</v>
      </c>
      <c r="E112" s="21" t="s">
        <v>20</v>
      </c>
      <c r="F112" s="3" t="s">
        <v>133</v>
      </c>
      <c r="G112" s="11"/>
      <c r="H112" s="12"/>
      <c r="I112" s="13"/>
      <c r="J112" s="11">
        <f t="shared" si="2"/>
        <v>0</v>
      </c>
      <c r="K112" s="11"/>
      <c r="L112" s="11"/>
      <c r="M112" s="11"/>
      <c r="N112" s="11"/>
    </row>
    <row r="113" spans="1:14">
      <c r="A113" s="29">
        <v>43556</v>
      </c>
      <c r="B113" s="21" t="s">
        <v>301</v>
      </c>
      <c r="C113" s="24"/>
      <c r="D113" s="21" t="s">
        <v>24</v>
      </c>
      <c r="E113" s="21" t="s">
        <v>25</v>
      </c>
      <c r="F113" s="3" t="s">
        <v>26</v>
      </c>
      <c r="G113" s="11"/>
      <c r="H113" s="12"/>
      <c r="I113" s="13"/>
      <c r="J113" s="11">
        <f t="shared" si="2"/>
        <v>0</v>
      </c>
      <c r="K113" s="11">
        <f>(J113+J114+J115+J116)*0.15*N2</f>
        <v>0</v>
      </c>
      <c r="L113" s="11"/>
      <c r="M113" s="11"/>
      <c r="N113" s="11"/>
    </row>
    <row r="114" spans="1:14">
      <c r="A114" s="29">
        <v>43556</v>
      </c>
      <c r="B114" s="21" t="s">
        <v>301</v>
      </c>
      <c r="C114" s="24"/>
      <c r="D114" s="21" t="s">
        <v>24</v>
      </c>
      <c r="E114" s="21" t="s">
        <v>25</v>
      </c>
      <c r="F114" s="3" t="s">
        <v>270</v>
      </c>
      <c r="G114" s="11"/>
      <c r="H114" s="12"/>
      <c r="I114" s="13"/>
      <c r="J114" s="11">
        <f t="shared" si="2"/>
        <v>0</v>
      </c>
      <c r="K114" s="11"/>
      <c r="L114" s="11"/>
      <c r="M114" s="11"/>
      <c r="N114" s="11"/>
    </row>
    <row r="115" spans="1:14">
      <c r="A115" s="29">
        <v>43556</v>
      </c>
      <c r="B115" s="21" t="s">
        <v>301</v>
      </c>
      <c r="C115" s="24"/>
      <c r="D115" s="21" t="s">
        <v>27</v>
      </c>
      <c r="E115" s="21" t="s">
        <v>25</v>
      </c>
      <c r="F115" s="3" t="s">
        <v>26</v>
      </c>
      <c r="G115" s="11"/>
      <c r="H115" s="12"/>
      <c r="I115" s="13"/>
      <c r="J115" s="11">
        <f t="shared" si="2"/>
        <v>0</v>
      </c>
      <c r="K115" s="11"/>
      <c r="L115" s="11"/>
      <c r="M115" s="11"/>
      <c r="N115" s="11"/>
    </row>
    <row r="116" spans="1:14">
      <c r="A116" s="29">
        <v>43556</v>
      </c>
      <c r="B116" s="21" t="s">
        <v>301</v>
      </c>
      <c r="C116" s="24"/>
      <c r="D116" s="21" t="s">
        <v>27</v>
      </c>
      <c r="E116" s="21" t="s">
        <v>25</v>
      </c>
      <c r="F116" s="3" t="s">
        <v>270</v>
      </c>
      <c r="G116" s="11"/>
      <c r="H116" s="12"/>
      <c r="I116" s="13"/>
      <c r="J116" s="11">
        <f t="shared" si="2"/>
        <v>0</v>
      </c>
      <c r="K116" s="11"/>
      <c r="L116" s="11"/>
      <c r="M116" s="11"/>
      <c r="N116" s="11"/>
    </row>
    <row r="117" spans="1:14">
      <c r="A117" s="29">
        <v>43556</v>
      </c>
      <c r="B117" s="21" t="s">
        <v>301</v>
      </c>
      <c r="C117" s="24"/>
      <c r="D117" s="21" t="s">
        <v>31</v>
      </c>
      <c r="E117" s="21" t="s">
        <v>17</v>
      </c>
      <c r="F117" s="3" t="s">
        <v>18</v>
      </c>
      <c r="G117" s="11"/>
      <c r="H117" s="12"/>
      <c r="I117" s="13"/>
      <c r="J117" s="11">
        <f t="shared" si="2"/>
        <v>0</v>
      </c>
      <c r="K117" s="11"/>
      <c r="L117" s="11">
        <f>K117/0.03*0.25</f>
        <v>0</v>
      </c>
      <c r="M117" s="11">
        <f>L117-K117</f>
        <v>0</v>
      </c>
      <c r="N117" s="11"/>
    </row>
    <row r="118" spans="1:14">
      <c r="A118" s="29">
        <v>43556</v>
      </c>
      <c r="B118" s="21" t="s">
        <v>301</v>
      </c>
      <c r="C118" s="24"/>
      <c r="D118" s="21" t="s">
        <v>31</v>
      </c>
      <c r="E118" s="21" t="s">
        <v>17</v>
      </c>
      <c r="F118" s="3" t="s">
        <v>141</v>
      </c>
      <c r="G118" s="11"/>
      <c r="H118" s="12"/>
      <c r="I118" s="13"/>
      <c r="J118" s="11">
        <f t="shared" si="2"/>
        <v>0</v>
      </c>
      <c r="K118" s="11"/>
      <c r="L118" s="11"/>
      <c r="M118" s="11"/>
      <c r="N118" s="11"/>
    </row>
    <row r="119" spans="1:14">
      <c r="A119" s="29">
        <v>43556</v>
      </c>
      <c r="B119" s="21" t="s">
        <v>301</v>
      </c>
      <c r="C119" s="24"/>
      <c r="D119" s="21" t="s">
        <v>37</v>
      </c>
      <c r="E119" s="21" t="s">
        <v>35</v>
      </c>
      <c r="F119" s="3" t="s">
        <v>36</v>
      </c>
      <c r="G119" s="11"/>
      <c r="H119" s="12"/>
      <c r="I119" s="13"/>
      <c r="J119" s="11">
        <f t="shared" si="2"/>
        <v>0</v>
      </c>
      <c r="K119" s="11"/>
      <c r="L119" s="11"/>
      <c r="M119" s="11"/>
      <c r="N119" s="11"/>
    </row>
    <row r="120" spans="1:14">
      <c r="A120" s="29">
        <v>43556</v>
      </c>
      <c r="B120" s="21" t="s">
        <v>301</v>
      </c>
      <c r="C120" s="24"/>
      <c r="D120" s="21" t="s">
        <v>37</v>
      </c>
      <c r="E120" s="21" t="s">
        <v>35</v>
      </c>
      <c r="F120" s="3" t="s">
        <v>271</v>
      </c>
      <c r="G120" s="11"/>
      <c r="H120" s="12"/>
      <c r="I120" s="13"/>
      <c r="J120" s="11">
        <f t="shared" si="2"/>
        <v>0</v>
      </c>
      <c r="K120" s="11"/>
      <c r="L120" s="11"/>
      <c r="M120" s="11"/>
      <c r="N120" s="11"/>
    </row>
    <row r="121" spans="1:14">
      <c r="A121" s="29">
        <v>43556</v>
      </c>
      <c r="B121" s="21" t="s">
        <v>301</v>
      </c>
      <c r="C121" s="21" t="s">
        <v>179</v>
      </c>
      <c r="D121" s="21" t="s">
        <v>180</v>
      </c>
      <c r="E121" s="21" t="s">
        <v>29</v>
      </c>
      <c r="F121" s="3" t="s">
        <v>30</v>
      </c>
      <c r="G121" s="11"/>
      <c r="H121" s="12"/>
      <c r="I121" s="13"/>
      <c r="J121" s="11">
        <f t="shared" si="2"/>
        <v>0</v>
      </c>
      <c r="K121" s="11"/>
      <c r="L121" s="11"/>
      <c r="M121" s="11"/>
      <c r="N121" s="11"/>
    </row>
    <row r="122" spans="1:14">
      <c r="A122" s="29"/>
      <c r="B122" s="21"/>
      <c r="C122" s="25" t="s">
        <v>181</v>
      </c>
      <c r="D122" s="21" t="s">
        <v>277</v>
      </c>
      <c r="E122" s="21" t="s">
        <v>237</v>
      </c>
      <c r="F122" s="3" t="s">
        <v>238</v>
      </c>
      <c r="G122" s="11"/>
      <c r="H122" s="12"/>
      <c r="I122" s="13"/>
      <c r="J122" s="11">
        <f t="shared" si="2"/>
        <v>0</v>
      </c>
      <c r="K122" s="11"/>
      <c r="L122" s="11"/>
      <c r="M122" s="11"/>
      <c r="N122" s="11"/>
    </row>
    <row r="123" spans="1:14">
      <c r="A123" s="29">
        <v>43556</v>
      </c>
      <c r="B123" s="21" t="s">
        <v>301</v>
      </c>
      <c r="C123" s="30"/>
      <c r="D123" s="21" t="s">
        <v>277</v>
      </c>
      <c r="E123" s="21" t="s">
        <v>237</v>
      </c>
      <c r="F123" s="3" t="s">
        <v>239</v>
      </c>
      <c r="G123" s="11"/>
      <c r="H123" s="12"/>
      <c r="I123" s="13"/>
      <c r="J123" s="11">
        <f t="shared" si="2"/>
        <v>0</v>
      </c>
      <c r="K123" s="11">
        <f>(J123+J125+J127+J122+J124)*0.05*N2</f>
        <v>0</v>
      </c>
      <c r="L123" s="11">
        <f>K123/0.05*0.25</f>
        <v>0</v>
      </c>
      <c r="M123" s="11">
        <f>L123-K123</f>
        <v>0</v>
      </c>
      <c r="N123" s="11"/>
    </row>
    <row r="124" spans="1:14">
      <c r="A124" s="29"/>
      <c r="B124" s="21"/>
      <c r="C124" s="30"/>
      <c r="D124" s="21" t="s">
        <v>186</v>
      </c>
      <c r="E124" s="21" t="s">
        <v>237</v>
      </c>
      <c r="F124" s="3" t="s">
        <v>238</v>
      </c>
      <c r="G124" s="11"/>
      <c r="H124" s="12"/>
      <c r="I124" s="13"/>
      <c r="J124" s="11">
        <f t="shared" si="2"/>
        <v>0</v>
      </c>
      <c r="K124" s="11"/>
      <c r="L124" s="11"/>
      <c r="M124" s="11"/>
      <c r="N124" s="11"/>
    </row>
    <row r="125" spans="1:14">
      <c r="A125" s="29">
        <v>43556</v>
      </c>
      <c r="B125" s="21" t="s">
        <v>301</v>
      </c>
      <c r="C125" s="30"/>
      <c r="D125" s="21" t="s">
        <v>186</v>
      </c>
      <c r="E125" s="21" t="s">
        <v>237</v>
      </c>
      <c r="F125" s="3" t="s">
        <v>239</v>
      </c>
      <c r="G125" s="11"/>
      <c r="H125" s="12"/>
      <c r="I125" s="13"/>
      <c r="J125" s="11">
        <f t="shared" si="2"/>
        <v>0</v>
      </c>
      <c r="K125" s="11"/>
      <c r="L125" s="11"/>
      <c r="M125" s="11"/>
      <c r="N125" s="11"/>
    </row>
    <row r="126" spans="1:14">
      <c r="A126" s="29"/>
      <c r="B126" s="21"/>
      <c r="C126" s="30"/>
      <c r="D126" s="21" t="s">
        <v>240</v>
      </c>
      <c r="E126" s="21" t="s">
        <v>183</v>
      </c>
      <c r="F126" s="3" t="s">
        <v>185</v>
      </c>
      <c r="G126" s="11"/>
      <c r="H126" s="12"/>
      <c r="I126" s="14"/>
      <c r="J126" s="11">
        <f t="shared" si="2"/>
        <v>0</v>
      </c>
      <c r="K126" s="11">
        <f>(J126)*0.05*N2</f>
        <v>0</v>
      </c>
      <c r="L126" s="11">
        <f>K126/0.05*0.25</f>
        <v>0</v>
      </c>
      <c r="M126" s="11">
        <f>L126-K126</f>
        <v>0</v>
      </c>
      <c r="N126" s="11"/>
    </row>
    <row r="127" spans="1:14">
      <c r="A127" s="29">
        <v>43556</v>
      </c>
      <c r="B127" s="21" t="s">
        <v>301</v>
      </c>
      <c r="C127" s="26"/>
      <c r="D127" s="83" t="s">
        <v>240</v>
      </c>
      <c r="E127" s="21" t="s">
        <v>237</v>
      </c>
      <c r="F127" s="3" t="s">
        <v>239</v>
      </c>
      <c r="G127" s="11"/>
      <c r="H127" s="12"/>
      <c r="I127" s="13"/>
      <c r="J127" s="11">
        <f t="shared" si="2"/>
        <v>0</v>
      </c>
      <c r="K127" s="11"/>
      <c r="L127" s="11"/>
      <c r="M127" s="11"/>
      <c r="N127" s="11"/>
    </row>
    <row r="128" spans="1:14">
      <c r="A128" s="29">
        <v>43556</v>
      </c>
      <c r="B128" s="21" t="s">
        <v>301</v>
      </c>
      <c r="C128" s="21" t="s">
        <v>310</v>
      </c>
      <c r="D128" s="21" t="s">
        <v>186</v>
      </c>
      <c r="E128" s="21" t="s">
        <v>187</v>
      </c>
      <c r="F128" s="3" t="s">
        <v>188</v>
      </c>
      <c r="G128" s="11"/>
      <c r="H128" s="12"/>
      <c r="I128" s="13"/>
      <c r="J128" s="11">
        <f t="shared" si="2"/>
        <v>0</v>
      </c>
      <c r="K128" s="11">
        <f>(J128)*0.05*N2</f>
        <v>0</v>
      </c>
      <c r="L128" s="11">
        <f>K128/0.05*0.25</f>
        <v>0</v>
      </c>
      <c r="M128" s="11">
        <f>L128-K128</f>
        <v>0</v>
      </c>
      <c r="N128" s="11"/>
    </row>
    <row r="129" spans="1:14">
      <c r="A129" s="29">
        <v>43556</v>
      </c>
      <c r="B129" s="21" t="s">
        <v>301</v>
      </c>
      <c r="C129" s="24" t="s">
        <v>276</v>
      </c>
      <c r="D129" s="21" t="s">
        <v>48</v>
      </c>
      <c r="E129" s="21" t="s">
        <v>46</v>
      </c>
      <c r="F129" s="3" t="s">
        <v>47</v>
      </c>
      <c r="G129" s="11"/>
      <c r="H129" s="12"/>
      <c r="I129" s="13"/>
      <c r="J129" s="11">
        <f t="shared" si="2"/>
        <v>0</v>
      </c>
      <c r="K129" s="11">
        <f>(J129+J131+J132+J130)*0.25*N2</f>
        <v>0</v>
      </c>
      <c r="L129" s="11"/>
      <c r="M129" s="11"/>
      <c r="N129" s="11"/>
    </row>
    <row r="130" spans="1:14">
      <c r="A130" s="29"/>
      <c r="B130" s="21"/>
      <c r="C130" s="24"/>
      <c r="D130" s="21" t="s">
        <v>45</v>
      </c>
      <c r="E130" s="21" t="s">
        <v>46</v>
      </c>
      <c r="F130" s="3" t="s">
        <v>47</v>
      </c>
      <c r="G130" s="11"/>
      <c r="H130" s="12"/>
      <c r="I130" s="13"/>
      <c r="J130" s="11">
        <f t="shared" si="2"/>
        <v>0</v>
      </c>
      <c r="K130" s="11"/>
      <c r="L130" s="11"/>
      <c r="M130" s="11"/>
      <c r="N130" s="11"/>
    </row>
    <row r="131" spans="1:14">
      <c r="A131" s="29">
        <v>43556</v>
      </c>
      <c r="B131" s="21" t="s">
        <v>301</v>
      </c>
      <c r="C131" s="24"/>
      <c r="D131" s="21" t="s">
        <v>191</v>
      </c>
      <c r="E131" s="21" t="s">
        <v>46</v>
      </c>
      <c r="F131" s="3" t="s">
        <v>47</v>
      </c>
      <c r="G131" s="11"/>
      <c r="H131" s="12"/>
      <c r="I131" s="13"/>
      <c r="J131" s="11">
        <f t="shared" ref="J131:J152" si="4">G131*H131*1-I131</f>
        <v>0</v>
      </c>
      <c r="K131" s="11"/>
      <c r="L131" s="11"/>
      <c r="M131" s="11"/>
      <c r="N131" s="11"/>
    </row>
    <row r="132" spans="1:14">
      <c r="A132" s="29">
        <v>43556</v>
      </c>
      <c r="B132" s="21" t="s">
        <v>301</v>
      </c>
      <c r="C132" s="24"/>
      <c r="D132" s="21" t="s">
        <v>234</v>
      </c>
      <c r="E132" s="21" t="s">
        <v>46</v>
      </c>
      <c r="F132" s="3" t="s">
        <v>47</v>
      </c>
      <c r="G132" s="11"/>
      <c r="H132" s="12"/>
      <c r="I132" s="14"/>
      <c r="J132" s="11">
        <f t="shared" si="4"/>
        <v>0</v>
      </c>
      <c r="K132" s="11"/>
      <c r="L132" s="11"/>
      <c r="M132" s="11"/>
      <c r="N132" s="11"/>
    </row>
    <row r="133" spans="1:14">
      <c r="A133" s="29">
        <v>43556</v>
      </c>
      <c r="B133" s="21" t="s">
        <v>301</v>
      </c>
      <c r="C133" s="25" t="s">
        <v>284</v>
      </c>
      <c r="D133" s="21" t="s">
        <v>311</v>
      </c>
      <c r="E133" s="21" t="s">
        <v>17</v>
      </c>
      <c r="F133" s="3" t="s">
        <v>312</v>
      </c>
      <c r="G133" s="11"/>
      <c r="H133" s="12"/>
      <c r="I133" s="14"/>
      <c r="J133" s="11">
        <f t="shared" si="4"/>
        <v>0</v>
      </c>
      <c r="K133" s="11">
        <f>(J133+J134)*0.25*N2</f>
        <v>0</v>
      </c>
      <c r="L133" s="11"/>
      <c r="M133" s="11"/>
      <c r="N133" s="11"/>
    </row>
    <row r="134" spans="1:14">
      <c r="A134" s="29">
        <v>43556</v>
      </c>
      <c r="B134" s="21" t="s">
        <v>301</v>
      </c>
      <c r="C134" s="30"/>
      <c r="D134" s="21" t="s">
        <v>311</v>
      </c>
      <c r="E134" s="21" t="s">
        <v>17</v>
      </c>
      <c r="F134" s="3" t="s">
        <v>313</v>
      </c>
      <c r="G134" s="11"/>
      <c r="H134" s="12"/>
      <c r="I134" s="14"/>
      <c r="J134" s="11">
        <f t="shared" si="4"/>
        <v>0</v>
      </c>
      <c r="K134" s="11"/>
      <c r="L134" s="11"/>
      <c r="M134" s="11"/>
      <c r="N134" s="11"/>
    </row>
    <row r="135" spans="1:14">
      <c r="A135" s="29">
        <v>43556</v>
      </c>
      <c r="B135" s="21" t="s">
        <v>301</v>
      </c>
      <c r="C135" s="30"/>
      <c r="D135" s="21" t="s">
        <v>236</v>
      </c>
      <c r="E135" s="21" t="s">
        <v>223</v>
      </c>
      <c r="F135" s="3" t="s">
        <v>314</v>
      </c>
      <c r="G135" s="11"/>
      <c r="H135" s="12"/>
      <c r="I135" s="14"/>
      <c r="J135" s="11">
        <f t="shared" si="4"/>
        <v>0</v>
      </c>
      <c r="K135" s="11">
        <f>(J135+J136)*0.25*N2</f>
        <v>0</v>
      </c>
      <c r="L135" s="11"/>
      <c r="M135" s="11"/>
      <c r="N135" s="11"/>
    </row>
    <row r="136" spans="1:14">
      <c r="A136" s="29">
        <v>43556</v>
      </c>
      <c r="B136" s="21" t="s">
        <v>301</v>
      </c>
      <c r="C136" s="30"/>
      <c r="D136" s="21" t="s">
        <v>236</v>
      </c>
      <c r="E136" s="21" t="s">
        <v>223</v>
      </c>
      <c r="F136" s="3" t="s">
        <v>315</v>
      </c>
      <c r="G136" s="11"/>
      <c r="H136" s="12"/>
      <c r="I136" s="14"/>
      <c r="J136" s="11">
        <f t="shared" si="4"/>
        <v>0</v>
      </c>
      <c r="K136" s="11"/>
      <c r="L136" s="11"/>
      <c r="M136" s="11"/>
      <c r="N136" s="11"/>
    </row>
    <row r="137" spans="1:14">
      <c r="A137" s="29">
        <v>43556</v>
      </c>
      <c r="B137" s="21" t="s">
        <v>301</v>
      </c>
      <c r="C137" s="30"/>
      <c r="D137" s="21" t="s">
        <v>171</v>
      </c>
      <c r="E137" s="21" t="s">
        <v>46</v>
      </c>
      <c r="F137" s="3" t="s">
        <v>316</v>
      </c>
      <c r="G137" s="11"/>
      <c r="H137" s="12"/>
      <c r="I137" s="14"/>
      <c r="J137" s="11">
        <f t="shared" si="4"/>
        <v>0</v>
      </c>
      <c r="K137" s="11">
        <f>(J137)*0.4*N2</f>
        <v>0</v>
      </c>
      <c r="L137" s="11"/>
      <c r="M137" s="11"/>
      <c r="N137" s="11"/>
    </row>
    <row r="138" spans="1:14">
      <c r="A138" s="29">
        <v>43556</v>
      </c>
      <c r="B138" s="21" t="s">
        <v>301</v>
      </c>
      <c r="C138" s="30"/>
      <c r="D138" s="21" t="s">
        <v>285</v>
      </c>
      <c r="E138" s="21" t="s">
        <v>160</v>
      </c>
      <c r="F138" s="3" t="s">
        <v>286</v>
      </c>
      <c r="G138" s="11"/>
      <c r="H138" s="12"/>
      <c r="I138" s="14"/>
      <c r="J138" s="11">
        <f t="shared" si="4"/>
        <v>0</v>
      </c>
      <c r="K138" s="11">
        <f>(J138+J139)*0.25*N2</f>
        <v>0</v>
      </c>
      <c r="L138" s="11"/>
      <c r="M138" s="11"/>
      <c r="N138" s="11"/>
    </row>
    <row r="139" spans="1:14">
      <c r="A139" s="29"/>
      <c r="B139" s="21"/>
      <c r="C139" s="30"/>
      <c r="D139" s="21" t="s">
        <v>171</v>
      </c>
      <c r="E139" s="21" t="s">
        <v>160</v>
      </c>
      <c r="F139" s="3" t="s">
        <v>317</v>
      </c>
      <c r="G139" s="11"/>
      <c r="H139" s="12"/>
      <c r="I139" s="14"/>
      <c r="J139" s="11">
        <f t="shared" si="4"/>
        <v>0</v>
      </c>
      <c r="K139" s="11"/>
      <c r="L139" s="11"/>
      <c r="M139" s="11"/>
      <c r="N139" s="11"/>
    </row>
    <row r="140" spans="1:14">
      <c r="A140" s="29">
        <v>43556</v>
      </c>
      <c r="B140" s="21" t="s">
        <v>301</v>
      </c>
      <c r="C140" s="30"/>
      <c r="D140" s="21" t="s">
        <v>288</v>
      </c>
      <c r="E140" s="21" t="s">
        <v>160</v>
      </c>
      <c r="F140" s="3" t="s">
        <v>286</v>
      </c>
      <c r="G140" s="11"/>
      <c r="H140" s="12"/>
      <c r="I140" s="14"/>
      <c r="J140" s="11">
        <f t="shared" si="4"/>
        <v>0</v>
      </c>
      <c r="K140" s="11">
        <f>(J140+J141)*0.25*N2</f>
        <v>0</v>
      </c>
      <c r="L140" s="11"/>
      <c r="M140" s="11"/>
      <c r="N140" s="11"/>
    </row>
    <row r="141" spans="1:14">
      <c r="A141" s="29"/>
      <c r="B141" s="21"/>
      <c r="C141" s="26"/>
      <c r="D141" s="21" t="s">
        <v>288</v>
      </c>
      <c r="E141" s="21" t="s">
        <v>160</v>
      </c>
      <c r="F141" s="3" t="s">
        <v>287</v>
      </c>
      <c r="G141" s="11"/>
      <c r="H141" s="12"/>
      <c r="I141" s="14"/>
      <c r="J141" s="11">
        <f t="shared" si="4"/>
        <v>0</v>
      </c>
      <c r="K141" s="11"/>
      <c r="L141" s="11"/>
      <c r="M141" s="11"/>
      <c r="N141" s="11"/>
    </row>
    <row r="142" spans="1:14">
      <c r="A142" s="21">
        <v>42795</v>
      </c>
      <c r="B142" s="21"/>
      <c r="C142" s="24" t="s">
        <v>49</v>
      </c>
      <c r="D142" s="24"/>
      <c r="E142" s="21" t="s">
        <v>50</v>
      </c>
      <c r="F142" s="3" t="s">
        <v>50</v>
      </c>
      <c r="G142" s="11"/>
      <c r="H142" s="12"/>
      <c r="I142" s="14"/>
      <c r="J142" s="11">
        <f t="shared" si="4"/>
        <v>0</v>
      </c>
      <c r="K142" s="11">
        <f>(J15+J16+J20+J21+J26+J27+J30+J31+J34+J35+J38+J39+J40+J41+J42+J43+J44+J76)*0.07*N2+(J97+J98+J91+J92+J112)*0.04*N2+(J4+J5+J6+J7+J8+J9+J10+J11+J17+J18+J19+J22+J24+J25+J28+J29+J32+J36+J45+J46+J50+J47+J51+J52+J53+J54+J58+J59+J60+J61+J62+J63+J65+J66+J68+J70+J71+J72+J73+J79+J80+J81+J82+J83+J84+J89+J93+J94+J99+J100+J103+J104+J106+J113+J114+J119+J120+J123+J125+J128+J3+J33+J74+J90+J95+J105+J107+J12+J13+J14+J64+J67+J77+J96+J115+J116+J127+J108+J109+J110+J78+J75+J48+J69+J85+J86+J87+J49+J23+J55+J56+J57+J88+J122+J124+J117+J126+J111)*0.01*N2+(0)*0.08*N2</f>
        <v>0</v>
      </c>
      <c r="L142" s="11"/>
      <c r="M142" s="11"/>
      <c r="N142" s="11"/>
    </row>
    <row r="143" spans="1:14">
      <c r="A143" s="21">
        <v>42795</v>
      </c>
      <c r="B143" s="21"/>
      <c r="C143" s="24"/>
      <c r="D143" s="24"/>
      <c r="E143" s="21" t="s">
        <v>51</v>
      </c>
      <c r="F143" s="3" t="s">
        <v>51</v>
      </c>
      <c r="G143" s="11"/>
      <c r="H143" s="12"/>
      <c r="I143" s="14"/>
      <c r="J143" s="11">
        <f t="shared" si="4"/>
        <v>0</v>
      </c>
      <c r="K143" s="11">
        <f>(J3+J4+J5+J7+J28+J29+J6)*0.06*N2+(J115+J119+J120+J116)*0.03*N2+(J58+J59+J60+J79+J80+J81)*0.07*N2</f>
        <v>0</v>
      </c>
      <c r="L143" s="11"/>
      <c r="M143" s="11"/>
      <c r="N143" s="11"/>
    </row>
    <row r="144" spans="1:14">
      <c r="A144" s="21">
        <v>42795</v>
      </c>
      <c r="B144" s="21"/>
      <c r="C144" s="24"/>
      <c r="D144" s="24"/>
      <c r="E144" s="21" t="s">
        <v>52</v>
      </c>
      <c r="F144" s="3" t="s">
        <v>52</v>
      </c>
      <c r="G144" s="11"/>
      <c r="H144" s="12"/>
      <c r="I144" s="14"/>
      <c r="J144" s="11">
        <f t="shared" si="4"/>
        <v>0</v>
      </c>
      <c r="K144" s="11">
        <f>(J8+J10+J17+J18+J19+J22+J9+J23)*0.06*N2+(J54+J50+J51+J52+J53+J48+J85+J86+J87+J49)*0.07*N2+(J125+J128+J124)*0.03*N2</f>
        <v>0</v>
      </c>
      <c r="L144" s="11"/>
      <c r="M144" s="11"/>
      <c r="N144" s="11"/>
    </row>
    <row r="145" spans="1:14">
      <c r="A145" s="21">
        <v>42795</v>
      </c>
      <c r="B145" s="21"/>
      <c r="C145" s="24"/>
      <c r="D145" s="24"/>
      <c r="E145" s="21" t="s">
        <v>56</v>
      </c>
      <c r="F145" s="3" t="s">
        <v>56</v>
      </c>
      <c r="G145" s="11"/>
      <c r="H145" s="12"/>
      <c r="I145" s="14"/>
      <c r="J145" s="11">
        <f t="shared" si="4"/>
        <v>0</v>
      </c>
      <c r="K145" s="11">
        <f>(J61+J62+J63+J64+J65+J66)*0.07*N2+(J32+J33)*0.06*N2+(J108+J109+J117+J118+J93+J94)*0.03*N2</f>
        <v>0</v>
      </c>
      <c r="L145" s="11"/>
      <c r="M145" s="11"/>
      <c r="N145" s="11"/>
    </row>
    <row r="146" spans="1:14">
      <c r="A146" s="21">
        <v>42795</v>
      </c>
      <c r="B146" s="21"/>
      <c r="C146" s="24"/>
      <c r="D146" s="24"/>
      <c r="E146" s="21" t="s">
        <v>192</v>
      </c>
      <c r="F146" s="3" t="s">
        <v>192</v>
      </c>
      <c r="G146" s="11"/>
      <c r="H146" s="12"/>
      <c r="I146" s="14"/>
      <c r="J146" s="11">
        <f t="shared" si="4"/>
        <v>0</v>
      </c>
      <c r="K146" s="11">
        <f>(J12+J13+J14)*0.06*N2</f>
        <v>0</v>
      </c>
      <c r="L146" s="11"/>
      <c r="M146" s="11"/>
      <c r="N146" s="11"/>
    </row>
    <row r="147" spans="1:14">
      <c r="A147" s="21"/>
      <c r="B147" s="21"/>
      <c r="C147" s="24"/>
      <c r="D147" s="24"/>
      <c r="E147" s="21" t="s">
        <v>55</v>
      </c>
      <c r="F147" s="3" t="s">
        <v>55</v>
      </c>
      <c r="G147" s="11"/>
      <c r="H147" s="12"/>
      <c r="I147" s="14"/>
      <c r="J147" s="11">
        <f t="shared" si="4"/>
        <v>0</v>
      </c>
      <c r="K147" s="11">
        <f>(J82+J83+J84+J77+J73+J74+J78+J75+J76)*0.07*N2+(J106+J107)*0.03*N2+(0)*0.06*N2</f>
        <v>0</v>
      </c>
      <c r="L147" s="11"/>
      <c r="M147" s="11"/>
      <c r="N147" s="11"/>
    </row>
    <row r="148" spans="1:14">
      <c r="A148" s="21"/>
      <c r="B148" s="21"/>
      <c r="C148" s="24"/>
      <c r="D148" s="24"/>
      <c r="E148" s="21" t="s">
        <v>53</v>
      </c>
      <c r="F148" s="3" t="s">
        <v>53</v>
      </c>
      <c r="G148" s="11"/>
      <c r="H148" s="12"/>
      <c r="I148" s="14"/>
      <c r="J148" s="11">
        <v>0</v>
      </c>
      <c r="K148" s="11">
        <f>(J68+J69+J67+J70+J71+J72+J121+J89+J90)*0.07*N2+(J99+J100+J101+J102+J95+J110+J96+J105)*0.03*N2+(J24+J25)*0.06*N2</f>
        <v>0</v>
      </c>
      <c r="L148" s="11"/>
      <c r="M148" s="11"/>
      <c r="N148" s="11"/>
    </row>
    <row r="149" spans="1:14">
      <c r="A149" s="21"/>
      <c r="B149" s="21"/>
      <c r="C149" s="24"/>
      <c r="D149" s="24"/>
      <c r="E149" s="21" t="s">
        <v>54</v>
      </c>
      <c r="F149" s="3" t="s">
        <v>54</v>
      </c>
      <c r="G149" s="11"/>
      <c r="H149" s="12"/>
      <c r="I149" s="14"/>
      <c r="J149" s="11">
        <f>G149*H149*1-I149</f>
        <v>0</v>
      </c>
      <c r="K149" s="11">
        <f>(J55+J56+J57+J45+J46+J47+J88)*0.07*N2+(J103+J104+J113+J114+J111)*0.03*N2</f>
        <v>0</v>
      </c>
      <c r="L149" s="11"/>
      <c r="M149" s="11"/>
      <c r="N149" s="11"/>
    </row>
    <row r="150" spans="1:14">
      <c r="A150" s="21">
        <v>42795</v>
      </c>
      <c r="B150" s="21"/>
      <c r="C150" s="21"/>
      <c r="D150" s="21"/>
      <c r="E150" s="21"/>
      <c r="F150" s="4" t="s">
        <v>57</v>
      </c>
      <c r="G150" s="15">
        <f>SUM(G3:G145)</f>
        <v>0</v>
      </c>
      <c r="H150" s="16"/>
      <c r="I150" s="17">
        <f>SUM(I2:I146)</f>
        <v>0</v>
      </c>
      <c r="J150" s="15">
        <f>SUM(J3:J146)</f>
        <v>0</v>
      </c>
      <c r="K150" s="15">
        <f>J150*N2</f>
        <v>0</v>
      </c>
      <c r="L150" s="11"/>
      <c r="M150" s="11"/>
      <c r="N150" s="11"/>
    </row>
    <row r="151" spans="1:14">
      <c r="A151" s="21"/>
      <c r="B151" s="21"/>
      <c r="C151" s="21"/>
      <c r="D151" s="21"/>
      <c r="E151" s="21"/>
      <c r="F151" s="4" t="s">
        <v>58</v>
      </c>
      <c r="G151" s="15"/>
      <c r="H151" s="16"/>
      <c r="I151" s="17"/>
      <c r="J151" s="15"/>
      <c r="K151" s="15">
        <f>K150*0.4</f>
        <v>0</v>
      </c>
      <c r="L151" s="11"/>
      <c r="M151" s="11"/>
      <c r="N151" s="11"/>
    </row>
    <row r="152" spans="1:14">
      <c r="A152" s="21"/>
      <c r="B152" s="21"/>
      <c r="C152" s="21"/>
      <c r="D152" s="21"/>
      <c r="E152" s="21"/>
      <c r="F152" s="4" t="s">
        <v>59</v>
      </c>
      <c r="G152" s="15"/>
      <c r="H152" s="16"/>
      <c r="I152" s="17"/>
      <c r="J152" s="15"/>
      <c r="K152" s="15">
        <f>K150*0.6</f>
        <v>0</v>
      </c>
      <c r="L152" s="11"/>
      <c r="M152" s="11"/>
      <c r="N152" s="11"/>
    </row>
  </sheetData>
  <mergeCells count="8">
    <mergeCell ref="C133:C141"/>
    <mergeCell ref="C142:D149"/>
    <mergeCell ref="C3:C44"/>
    <mergeCell ref="C45:C87"/>
    <mergeCell ref="C88:C90"/>
    <mergeCell ref="C91:C120"/>
    <mergeCell ref="C122:C127"/>
    <mergeCell ref="C129:C132"/>
  </mergeCells>
  <phoneticPr fontId="1" type="noConversion"/>
  <conditionalFormatting sqref="E145">
    <cfRule type="containsText" dxfId="10" priority="1" operator="containsText" text="方泽斯">
      <formula>NOT(ISERROR(SEARCH("方泽斯",E145)))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36"/>
  <sheetViews>
    <sheetView topLeftCell="C1" workbookViewId="0">
      <selection sqref="A1:XFD1048576"/>
    </sheetView>
  </sheetViews>
  <sheetFormatPr defaultRowHeight="13.5"/>
  <cols>
    <col min="1" max="2" width="10.875" style="21" hidden="1" customWidth="1"/>
    <col min="3" max="3" width="7.625" style="21" customWidth="1"/>
    <col min="4" max="4" width="9" style="21"/>
    <col min="5" max="5" width="9" style="21" customWidth="1"/>
    <col min="6" max="6" width="14" style="21" customWidth="1"/>
    <col min="7" max="7" width="13.5" style="5" customWidth="1"/>
    <col min="8" max="8" width="14.125" style="6" bestFit="1" customWidth="1"/>
    <col min="9" max="9" width="16.625" style="7" customWidth="1"/>
    <col min="10" max="10" width="13.625" style="5" customWidth="1"/>
    <col min="11" max="11" width="16.125" style="5" customWidth="1"/>
    <col min="12" max="12" width="14.375" style="5" customWidth="1"/>
    <col min="13" max="13" width="10.5" style="5" customWidth="1"/>
    <col min="14" max="14" width="10.625" style="21" customWidth="1"/>
    <col min="15" max="15" width="15.75" style="21" customWidth="1"/>
    <col min="16" max="16384" width="9" style="21"/>
  </cols>
  <sheetData>
    <row r="1" spans="1:25">
      <c r="C1" s="21" t="s">
        <v>318</v>
      </c>
    </row>
    <row r="2" spans="1:25" s="100" customFormat="1" ht="21" customHeight="1">
      <c r="A2" s="27"/>
      <c r="B2" s="27"/>
      <c r="C2" s="1" t="s">
        <v>1</v>
      </c>
      <c r="D2" s="1" t="s">
        <v>2</v>
      </c>
      <c r="E2" s="1"/>
      <c r="F2" s="2" t="s">
        <v>3</v>
      </c>
      <c r="G2" s="8" t="s">
        <v>69</v>
      </c>
      <c r="H2" s="9" t="s">
        <v>70</v>
      </c>
      <c r="I2" s="10" t="s">
        <v>71</v>
      </c>
      <c r="J2" s="10" t="s">
        <v>72</v>
      </c>
      <c r="K2" s="18" t="s">
        <v>73</v>
      </c>
      <c r="L2" s="19"/>
      <c r="M2" s="20" t="s">
        <v>74</v>
      </c>
      <c r="N2" s="28">
        <v>7.01</v>
      </c>
      <c r="O2" s="97"/>
      <c r="P2" s="91"/>
      <c r="Q2" s="98"/>
      <c r="R2" s="99"/>
      <c r="S2" s="99"/>
      <c r="W2" s="101"/>
      <c r="X2" s="101"/>
      <c r="Y2" s="101"/>
    </row>
    <row r="3" spans="1:25" ht="15" customHeight="1">
      <c r="A3" s="29">
        <v>43556</v>
      </c>
      <c r="B3" s="21" t="s">
        <v>318</v>
      </c>
      <c r="C3" s="25" t="s">
        <v>4</v>
      </c>
      <c r="D3" s="21" t="s">
        <v>94</v>
      </c>
      <c r="E3" s="21" t="s">
        <v>90</v>
      </c>
      <c r="F3" s="3" t="s">
        <v>91</v>
      </c>
      <c r="G3" s="11"/>
      <c r="H3" s="12"/>
      <c r="I3" s="13"/>
      <c r="J3" s="11">
        <f t="shared" ref="J3:J66" si="0">G3*H3*1-I3</f>
        <v>0</v>
      </c>
      <c r="K3" s="11">
        <f>(J3+J4+J6+J5)*0.2*N2</f>
        <v>0</v>
      </c>
      <c r="L3" s="11"/>
      <c r="M3" s="11"/>
      <c r="N3" s="21" t="s">
        <v>242</v>
      </c>
    </row>
    <row r="4" spans="1:25" ht="15" customHeight="1">
      <c r="A4" s="29">
        <v>43556</v>
      </c>
      <c r="B4" s="21" t="s">
        <v>318</v>
      </c>
      <c r="C4" s="30"/>
      <c r="D4" s="21" t="s">
        <v>94</v>
      </c>
      <c r="E4" s="21" t="s">
        <v>90</v>
      </c>
      <c r="F4" s="3" t="s">
        <v>92</v>
      </c>
      <c r="G4" s="11"/>
      <c r="H4" s="12"/>
      <c r="I4" s="13"/>
      <c r="J4" s="11">
        <f t="shared" si="0"/>
        <v>0</v>
      </c>
      <c r="K4" s="11"/>
      <c r="L4" s="11"/>
      <c r="M4" s="11"/>
    </row>
    <row r="5" spans="1:25" ht="15" customHeight="1">
      <c r="A5" s="29">
        <v>43556</v>
      </c>
      <c r="B5" s="21" t="s">
        <v>318</v>
      </c>
      <c r="C5" s="30"/>
      <c r="D5" s="21" t="s">
        <v>89</v>
      </c>
      <c r="E5" s="21" t="s">
        <v>90</v>
      </c>
      <c r="F5" s="3" t="s">
        <v>92</v>
      </c>
      <c r="G5" s="11"/>
      <c r="H5" s="12"/>
      <c r="I5" s="13"/>
      <c r="J5" s="11">
        <f t="shared" si="0"/>
        <v>0</v>
      </c>
      <c r="K5" s="11"/>
      <c r="L5" s="11"/>
      <c r="M5" s="11"/>
    </row>
    <row r="6" spans="1:25" ht="15" customHeight="1">
      <c r="A6" s="29">
        <v>43556</v>
      </c>
      <c r="B6" s="21" t="s">
        <v>318</v>
      </c>
      <c r="C6" s="30"/>
      <c r="D6" s="21" t="s">
        <v>89</v>
      </c>
      <c r="E6" s="21" t="s">
        <v>90</v>
      </c>
      <c r="F6" s="3" t="s">
        <v>93</v>
      </c>
      <c r="G6" s="11"/>
      <c r="H6" s="12"/>
      <c r="I6" s="13"/>
      <c r="J6" s="11">
        <f t="shared" si="0"/>
        <v>0</v>
      </c>
      <c r="K6" s="11"/>
      <c r="L6" s="11"/>
      <c r="M6" s="11"/>
    </row>
    <row r="7" spans="1:25" ht="15" customHeight="1">
      <c r="A7" s="29">
        <v>43556</v>
      </c>
      <c r="B7" s="21" t="s">
        <v>318</v>
      </c>
      <c r="C7" s="30"/>
      <c r="D7" s="21" t="s">
        <v>8</v>
      </c>
      <c r="E7" s="21" t="s">
        <v>9</v>
      </c>
      <c r="F7" s="3" t="s">
        <v>10</v>
      </c>
      <c r="G7" s="11"/>
      <c r="H7" s="12"/>
      <c r="I7" s="13"/>
      <c r="J7" s="11">
        <f t="shared" si="0"/>
        <v>0</v>
      </c>
      <c r="K7" s="11">
        <f>(J7+J8+J10+J9+J11)*0.05*N2</f>
        <v>0</v>
      </c>
      <c r="L7" s="11">
        <f>K7/0.05*0.25</f>
        <v>0</v>
      </c>
      <c r="M7" s="11">
        <f>L7-K7</f>
        <v>0</v>
      </c>
    </row>
    <row r="8" spans="1:25" ht="15" customHeight="1">
      <c r="A8" s="29">
        <v>43556</v>
      </c>
      <c r="B8" s="21" t="s">
        <v>318</v>
      </c>
      <c r="C8" s="30"/>
      <c r="D8" s="21" t="s">
        <v>8</v>
      </c>
      <c r="E8" s="21" t="s">
        <v>9</v>
      </c>
      <c r="F8" s="3" t="s">
        <v>86</v>
      </c>
      <c r="G8" s="11"/>
      <c r="H8" s="12"/>
      <c r="I8" s="13"/>
      <c r="J8" s="11">
        <f t="shared" si="0"/>
        <v>0</v>
      </c>
      <c r="K8" s="11"/>
      <c r="L8" s="11"/>
      <c r="M8" s="11"/>
    </row>
    <row r="9" spans="1:25" ht="15" customHeight="1">
      <c r="A9" s="29">
        <v>43556</v>
      </c>
      <c r="B9" s="21" t="s">
        <v>318</v>
      </c>
      <c r="C9" s="30"/>
      <c r="D9" s="21" t="s">
        <v>8</v>
      </c>
      <c r="E9" s="21" t="s">
        <v>9</v>
      </c>
      <c r="F9" s="3" t="s">
        <v>87</v>
      </c>
      <c r="G9" s="11"/>
      <c r="H9" s="12"/>
      <c r="I9" s="13"/>
      <c r="J9" s="11">
        <f t="shared" si="0"/>
        <v>0</v>
      </c>
      <c r="K9" s="11"/>
      <c r="L9" s="11"/>
      <c r="M9" s="11"/>
    </row>
    <row r="10" spans="1:25" ht="15" customHeight="1">
      <c r="A10" s="29">
        <v>43556</v>
      </c>
      <c r="B10" s="21" t="s">
        <v>318</v>
      </c>
      <c r="C10" s="30"/>
      <c r="D10" s="21" t="s">
        <v>88</v>
      </c>
      <c r="E10" s="21" t="s">
        <v>9</v>
      </c>
      <c r="F10" s="3" t="s">
        <v>10</v>
      </c>
      <c r="G10" s="11"/>
      <c r="H10" s="12"/>
      <c r="I10" s="13"/>
      <c r="J10" s="11">
        <f t="shared" si="0"/>
        <v>0</v>
      </c>
      <c r="K10" s="11"/>
      <c r="L10" s="11"/>
      <c r="M10" s="11"/>
    </row>
    <row r="11" spans="1:25" ht="15" customHeight="1">
      <c r="A11" s="29">
        <v>43556</v>
      </c>
      <c r="B11" s="21" t="s">
        <v>318</v>
      </c>
      <c r="C11" s="30"/>
      <c r="D11" s="21" t="s">
        <v>250</v>
      </c>
      <c r="E11" s="21" t="s">
        <v>9</v>
      </c>
      <c r="F11" s="3" t="s">
        <v>10</v>
      </c>
      <c r="G11" s="11"/>
      <c r="H11" s="12"/>
      <c r="I11" s="14"/>
      <c r="J11" s="11">
        <f t="shared" si="0"/>
        <v>0</v>
      </c>
      <c r="K11" s="11"/>
      <c r="L11" s="11"/>
      <c r="M11" s="11"/>
    </row>
    <row r="12" spans="1:25" ht="15" customHeight="1">
      <c r="A12" s="29">
        <v>43556</v>
      </c>
      <c r="B12" s="21" t="s">
        <v>318</v>
      </c>
      <c r="C12" s="30"/>
      <c r="D12" s="21" t="s">
        <v>81</v>
      </c>
      <c r="E12" s="21" t="s">
        <v>82</v>
      </c>
      <c r="F12" s="3" t="s">
        <v>83</v>
      </c>
      <c r="G12" s="11"/>
      <c r="H12" s="12"/>
      <c r="I12" s="13"/>
      <c r="J12" s="11">
        <f t="shared" si="0"/>
        <v>0</v>
      </c>
      <c r="K12" s="11">
        <f>(J12)*0.025*N2</f>
        <v>0</v>
      </c>
      <c r="L12" s="11">
        <f>K12/0.025*0.25</f>
        <v>0</v>
      </c>
      <c r="M12" s="11">
        <f t="shared" ref="M12:M17" si="1">L12-K12</f>
        <v>0</v>
      </c>
    </row>
    <row r="13" spans="1:25" ht="15" customHeight="1">
      <c r="A13" s="29">
        <v>43556</v>
      </c>
      <c r="B13" s="21" t="s">
        <v>318</v>
      </c>
      <c r="C13" s="30"/>
      <c r="D13" s="21" t="s">
        <v>117</v>
      </c>
      <c r="E13" s="21" t="s">
        <v>82</v>
      </c>
      <c r="F13" s="3" t="s">
        <v>83</v>
      </c>
      <c r="G13" s="11"/>
      <c r="H13" s="12"/>
      <c r="I13" s="13"/>
      <c r="J13" s="11">
        <f t="shared" si="0"/>
        <v>0</v>
      </c>
      <c r="K13" s="11"/>
      <c r="L13" s="11"/>
      <c r="M13" s="11"/>
    </row>
    <row r="14" spans="1:25" ht="15" customHeight="1">
      <c r="A14" s="29">
        <v>43556</v>
      </c>
      <c r="B14" s="21" t="s">
        <v>318</v>
      </c>
      <c r="C14" s="30"/>
      <c r="D14" s="21" t="s">
        <v>120</v>
      </c>
      <c r="E14" s="21" t="s">
        <v>82</v>
      </c>
      <c r="F14" s="3" t="s">
        <v>84</v>
      </c>
      <c r="G14" s="11"/>
      <c r="H14" s="12"/>
      <c r="I14" s="13"/>
      <c r="J14" s="11">
        <f t="shared" si="0"/>
        <v>0</v>
      </c>
      <c r="K14" s="11">
        <f>(J13+J14+J15)*0.05*N2</f>
        <v>0</v>
      </c>
      <c r="L14" s="11">
        <f t="shared" ref="L14:L19" si="2">K14/0.05*0.25</f>
        <v>0</v>
      </c>
      <c r="M14" s="11">
        <f t="shared" si="1"/>
        <v>0</v>
      </c>
    </row>
    <row r="15" spans="1:25" ht="15" customHeight="1">
      <c r="A15" s="29">
        <v>43556</v>
      </c>
      <c r="B15" s="21" t="s">
        <v>318</v>
      </c>
      <c r="C15" s="30"/>
      <c r="D15" s="21" t="s">
        <v>120</v>
      </c>
      <c r="E15" s="21" t="s">
        <v>82</v>
      </c>
      <c r="F15" s="3" t="s">
        <v>85</v>
      </c>
      <c r="G15" s="11"/>
      <c r="H15" s="12"/>
      <c r="I15" s="13"/>
      <c r="J15" s="11">
        <f t="shared" si="0"/>
        <v>0</v>
      </c>
      <c r="K15" s="11"/>
      <c r="L15" s="11"/>
      <c r="M15" s="11"/>
    </row>
    <row r="16" spans="1:25" ht="15" customHeight="1">
      <c r="A16" s="29">
        <v>43556</v>
      </c>
      <c r="B16" s="21" t="s">
        <v>318</v>
      </c>
      <c r="C16" s="30"/>
      <c r="D16" s="21" t="s">
        <v>111</v>
      </c>
      <c r="E16" s="21" t="s">
        <v>108</v>
      </c>
      <c r="F16" s="3" t="s">
        <v>109</v>
      </c>
      <c r="G16" s="11"/>
      <c r="H16" s="12"/>
      <c r="I16" s="13"/>
      <c r="J16" s="11">
        <f t="shared" si="0"/>
        <v>0</v>
      </c>
      <c r="K16" s="11"/>
      <c r="L16" s="11"/>
      <c r="M16" s="11"/>
    </row>
    <row r="17" spans="1:13">
      <c r="A17" s="29">
        <v>43556</v>
      </c>
      <c r="B17" s="21" t="s">
        <v>318</v>
      </c>
      <c r="C17" s="30"/>
      <c r="D17" s="21" t="s">
        <v>107</v>
      </c>
      <c r="E17" s="21" t="s">
        <v>108</v>
      </c>
      <c r="F17" s="3" t="s">
        <v>109</v>
      </c>
      <c r="G17" s="11"/>
      <c r="H17" s="12"/>
      <c r="I17" s="14"/>
      <c r="J17" s="11">
        <f t="shared" si="0"/>
        <v>0</v>
      </c>
      <c r="K17" s="11">
        <f>(J17+J16)*0.05*N2</f>
        <v>0</v>
      </c>
      <c r="L17" s="11">
        <f t="shared" si="2"/>
        <v>0</v>
      </c>
      <c r="M17" s="11">
        <f t="shared" si="1"/>
        <v>0</v>
      </c>
    </row>
    <row r="18" spans="1:13">
      <c r="A18" s="29">
        <v>43556</v>
      </c>
      <c r="B18" s="21" t="s">
        <v>318</v>
      </c>
      <c r="C18" s="30"/>
      <c r="D18" s="21" t="s">
        <v>106</v>
      </c>
      <c r="E18" s="21" t="s">
        <v>103</v>
      </c>
      <c r="F18" s="3" t="s">
        <v>104</v>
      </c>
      <c r="G18" s="11"/>
      <c r="H18" s="12"/>
      <c r="I18" s="13"/>
      <c r="J18" s="11">
        <f t="shared" si="0"/>
        <v>0</v>
      </c>
      <c r="K18" s="11"/>
      <c r="L18" s="11"/>
      <c r="M18" s="11"/>
    </row>
    <row r="19" spans="1:13">
      <c r="A19" s="29">
        <v>43556</v>
      </c>
      <c r="B19" s="21" t="s">
        <v>318</v>
      </c>
      <c r="C19" s="30"/>
      <c r="D19" s="21" t="s">
        <v>118</v>
      </c>
      <c r="E19" s="21" t="s">
        <v>77</v>
      </c>
      <c r="F19" s="3" t="s">
        <v>78</v>
      </c>
      <c r="G19" s="11"/>
      <c r="H19" s="12"/>
      <c r="I19" s="13"/>
      <c r="J19" s="11">
        <f t="shared" si="0"/>
        <v>0</v>
      </c>
      <c r="K19" s="11">
        <f>(J19+J20+J21+J23+J22)*0.05*N2</f>
        <v>0</v>
      </c>
      <c r="L19" s="11">
        <f t="shared" si="2"/>
        <v>0</v>
      </c>
      <c r="M19" s="11">
        <f>L19-K19</f>
        <v>0</v>
      </c>
    </row>
    <row r="20" spans="1:13">
      <c r="A20" s="29">
        <v>43556</v>
      </c>
      <c r="B20" s="21" t="s">
        <v>318</v>
      </c>
      <c r="C20" s="30"/>
      <c r="D20" s="21" t="s">
        <v>118</v>
      </c>
      <c r="E20" s="21" t="s">
        <v>77</v>
      </c>
      <c r="F20" s="3" t="s">
        <v>80</v>
      </c>
      <c r="G20" s="11"/>
      <c r="H20" s="12"/>
      <c r="I20" s="13"/>
      <c r="J20" s="11">
        <f t="shared" si="0"/>
        <v>0</v>
      </c>
      <c r="K20" s="11"/>
      <c r="L20" s="11"/>
      <c r="M20" s="11"/>
    </row>
    <row r="21" spans="1:13">
      <c r="A21" s="29">
        <v>43556</v>
      </c>
      <c r="B21" s="21" t="s">
        <v>318</v>
      </c>
      <c r="C21" s="30"/>
      <c r="D21" s="21" t="s">
        <v>119</v>
      </c>
      <c r="E21" s="21" t="s">
        <v>77</v>
      </c>
      <c r="F21" s="3" t="s">
        <v>78</v>
      </c>
      <c r="G21" s="11"/>
      <c r="H21" s="12"/>
      <c r="I21" s="13"/>
      <c r="J21" s="11">
        <f t="shared" si="0"/>
        <v>0</v>
      </c>
      <c r="K21" s="11"/>
      <c r="L21" s="11"/>
      <c r="M21" s="11"/>
    </row>
    <row r="22" spans="1:13">
      <c r="A22" s="29">
        <v>43556</v>
      </c>
      <c r="B22" s="21" t="s">
        <v>318</v>
      </c>
      <c r="C22" s="30"/>
      <c r="D22" s="21" t="s">
        <v>119</v>
      </c>
      <c r="E22" s="21" t="s">
        <v>77</v>
      </c>
      <c r="F22" s="3" t="s">
        <v>79</v>
      </c>
      <c r="G22" s="11"/>
      <c r="H22" s="12"/>
      <c r="I22" s="14"/>
      <c r="J22" s="11">
        <f t="shared" si="0"/>
        <v>0</v>
      </c>
      <c r="K22" s="11"/>
      <c r="L22" s="11"/>
      <c r="M22" s="11"/>
    </row>
    <row r="23" spans="1:13">
      <c r="A23" s="29">
        <v>43556</v>
      </c>
      <c r="B23" s="21" t="s">
        <v>318</v>
      </c>
      <c r="C23" s="30"/>
      <c r="D23" s="21" t="s">
        <v>119</v>
      </c>
      <c r="E23" s="21" t="s">
        <v>77</v>
      </c>
      <c r="F23" s="3" t="s">
        <v>80</v>
      </c>
      <c r="G23" s="11"/>
      <c r="H23" s="12"/>
      <c r="I23" s="13"/>
      <c r="J23" s="11">
        <f t="shared" si="0"/>
        <v>0</v>
      </c>
      <c r="K23" s="11"/>
      <c r="L23" s="11"/>
      <c r="M23" s="11"/>
    </row>
    <row r="24" spans="1:13">
      <c r="A24" s="29">
        <v>43556</v>
      </c>
      <c r="B24" s="21" t="s">
        <v>318</v>
      </c>
      <c r="C24" s="30"/>
      <c r="D24" s="21" t="s">
        <v>76</v>
      </c>
      <c r="E24" s="21" t="s">
        <v>77</v>
      </c>
      <c r="F24" s="3" t="s">
        <v>78</v>
      </c>
      <c r="G24" s="11"/>
      <c r="H24" s="12"/>
      <c r="I24" s="13"/>
      <c r="J24" s="11">
        <f t="shared" si="0"/>
        <v>0</v>
      </c>
      <c r="K24" s="11">
        <f>(J24+J25)*0.015*N2</f>
        <v>0</v>
      </c>
      <c r="L24" s="11">
        <f>K24/0.015*0.25</f>
        <v>0</v>
      </c>
      <c r="M24" s="11">
        <f>L24-K24</f>
        <v>0</v>
      </c>
    </row>
    <row r="25" spans="1:13">
      <c r="A25" s="29">
        <v>43556</v>
      </c>
      <c r="B25" s="21" t="s">
        <v>318</v>
      </c>
      <c r="C25" s="30"/>
      <c r="D25" s="21" t="s">
        <v>76</v>
      </c>
      <c r="E25" s="21" t="s">
        <v>77</v>
      </c>
      <c r="F25" s="3" t="s">
        <v>79</v>
      </c>
      <c r="G25" s="11"/>
      <c r="H25" s="12"/>
      <c r="I25" s="13"/>
      <c r="J25" s="11">
        <f t="shared" si="0"/>
        <v>0</v>
      </c>
      <c r="K25" s="11"/>
      <c r="L25" s="11"/>
      <c r="M25" s="11"/>
    </row>
    <row r="26" spans="1:13">
      <c r="A26" s="29">
        <v>43556</v>
      </c>
      <c r="B26" s="21" t="s">
        <v>318</v>
      </c>
      <c r="C26" s="30"/>
      <c r="D26" s="21" t="s">
        <v>95</v>
      </c>
      <c r="E26" s="21" t="s">
        <v>96</v>
      </c>
      <c r="F26" s="3" t="s">
        <v>97</v>
      </c>
      <c r="G26" s="11"/>
      <c r="H26" s="12"/>
      <c r="I26" s="13"/>
      <c r="J26" s="11">
        <f t="shared" si="0"/>
        <v>0</v>
      </c>
      <c r="K26" s="11">
        <f>(J26+J27)*0.05*N2</f>
        <v>0</v>
      </c>
      <c r="L26" s="11">
        <f>K26/0.05*0.25</f>
        <v>0</v>
      </c>
      <c r="M26" s="11">
        <f>L26-K26</f>
        <v>0</v>
      </c>
    </row>
    <row r="27" spans="1:13">
      <c r="A27" s="29">
        <v>43556</v>
      </c>
      <c r="B27" s="21" t="s">
        <v>318</v>
      </c>
      <c r="C27" s="30"/>
      <c r="D27" s="21" t="s">
        <v>95</v>
      </c>
      <c r="E27" s="21" t="s">
        <v>96</v>
      </c>
      <c r="F27" s="3" t="s">
        <v>98</v>
      </c>
      <c r="G27" s="11"/>
      <c r="H27" s="12"/>
      <c r="I27" s="13"/>
      <c r="J27" s="11">
        <f t="shared" si="0"/>
        <v>0</v>
      </c>
      <c r="K27" s="11"/>
      <c r="L27" s="11"/>
      <c r="M27" s="11"/>
    </row>
    <row r="28" spans="1:13">
      <c r="A28" s="29">
        <v>43556</v>
      </c>
      <c r="B28" s="21" t="s">
        <v>318</v>
      </c>
      <c r="C28" s="30"/>
      <c r="D28" s="21" t="s">
        <v>252</v>
      </c>
      <c r="E28" s="21" t="s">
        <v>103</v>
      </c>
      <c r="F28" s="3" t="s">
        <v>104</v>
      </c>
      <c r="G28" s="11"/>
      <c r="H28" s="12"/>
      <c r="I28" s="13"/>
      <c r="J28" s="11">
        <f t="shared" si="0"/>
        <v>0</v>
      </c>
      <c r="K28" s="11">
        <f>(J28+J32+J18)*0.05*N2</f>
        <v>0</v>
      </c>
      <c r="L28" s="11">
        <f>K28/0.05*0.25</f>
        <v>0</v>
      </c>
      <c r="M28" s="11">
        <f>L28-K28</f>
        <v>0</v>
      </c>
    </row>
    <row r="29" spans="1:13">
      <c r="A29" s="29">
        <v>43556</v>
      </c>
      <c r="B29" s="21" t="s">
        <v>318</v>
      </c>
      <c r="C29" s="30"/>
      <c r="D29" s="21" t="s">
        <v>254</v>
      </c>
      <c r="E29" s="21" t="s">
        <v>99</v>
      </c>
      <c r="F29" s="3" t="s">
        <v>100</v>
      </c>
      <c r="G29" s="11"/>
      <c r="H29" s="12"/>
      <c r="I29" s="13"/>
      <c r="J29" s="11">
        <f t="shared" si="0"/>
        <v>0</v>
      </c>
      <c r="K29" s="11"/>
      <c r="L29" s="11"/>
      <c r="M29" s="11"/>
    </row>
    <row r="30" spans="1:13">
      <c r="A30" s="29">
        <v>43556</v>
      </c>
      <c r="B30" s="21" t="s">
        <v>318</v>
      </c>
      <c r="C30" s="30"/>
      <c r="D30" s="21" t="s">
        <v>254</v>
      </c>
      <c r="E30" s="21" t="s">
        <v>99</v>
      </c>
      <c r="F30" s="3" t="s">
        <v>251</v>
      </c>
      <c r="G30" s="11"/>
      <c r="H30" s="12"/>
      <c r="I30" s="14"/>
      <c r="J30" s="11">
        <f t="shared" si="0"/>
        <v>0</v>
      </c>
      <c r="K30" s="11"/>
      <c r="L30" s="11"/>
      <c r="M30" s="11"/>
    </row>
    <row r="31" spans="1:13">
      <c r="A31" s="29">
        <v>43556</v>
      </c>
      <c r="B31" s="21" t="s">
        <v>318</v>
      </c>
      <c r="C31" s="30"/>
      <c r="D31" s="21" t="s">
        <v>5</v>
      </c>
      <c r="E31" s="21" t="s">
        <v>99</v>
      </c>
      <c r="F31" s="3" t="s">
        <v>100</v>
      </c>
      <c r="G31" s="11"/>
      <c r="H31" s="12"/>
      <c r="I31" s="13"/>
      <c r="J31" s="11">
        <f t="shared" si="0"/>
        <v>0</v>
      </c>
      <c r="K31" s="11">
        <f>(J29+J30+J31)*0.03*N2</f>
        <v>0</v>
      </c>
      <c r="L31" s="11">
        <f>K31/0.03*0.25</f>
        <v>0</v>
      </c>
      <c r="M31" s="11">
        <f>L31-K31</f>
        <v>0</v>
      </c>
    </row>
    <row r="32" spans="1:13">
      <c r="A32" s="29">
        <v>43556</v>
      </c>
      <c r="B32" s="21" t="s">
        <v>318</v>
      </c>
      <c r="C32" s="30"/>
      <c r="D32" s="21" t="s">
        <v>102</v>
      </c>
      <c r="E32" s="21" t="s">
        <v>103</v>
      </c>
      <c r="F32" s="3" t="s">
        <v>104</v>
      </c>
      <c r="G32" s="11"/>
      <c r="H32" s="12"/>
      <c r="I32" s="13"/>
      <c r="J32" s="11">
        <f t="shared" si="0"/>
        <v>0</v>
      </c>
      <c r="K32" s="11"/>
      <c r="L32" s="11"/>
      <c r="M32" s="11"/>
    </row>
    <row r="33" spans="1:13">
      <c r="A33" s="29">
        <v>43556</v>
      </c>
      <c r="B33" s="21" t="s">
        <v>318</v>
      </c>
      <c r="C33" s="30"/>
      <c r="D33" s="21" t="s">
        <v>127</v>
      </c>
      <c r="E33" s="21" t="s">
        <v>124</v>
      </c>
      <c r="F33" s="3" t="s">
        <v>128</v>
      </c>
      <c r="G33" s="11"/>
      <c r="H33" s="12"/>
      <c r="I33" s="13"/>
      <c r="J33" s="11">
        <f t="shared" si="0"/>
        <v>0</v>
      </c>
      <c r="K33" s="11">
        <f>(J33+J34+J36+J35)*0.05*N2</f>
        <v>0</v>
      </c>
      <c r="L33" s="11">
        <f>K33/0.05*0.25</f>
        <v>0</v>
      </c>
      <c r="M33" s="11">
        <f>L33-K33</f>
        <v>0</v>
      </c>
    </row>
    <row r="34" spans="1:13">
      <c r="A34" s="29">
        <v>43556</v>
      </c>
      <c r="B34" s="21" t="s">
        <v>318</v>
      </c>
      <c r="C34" s="30"/>
      <c r="D34" s="21" t="s">
        <v>129</v>
      </c>
      <c r="E34" s="21" t="s">
        <v>124</v>
      </c>
      <c r="F34" s="3" t="s">
        <v>128</v>
      </c>
      <c r="G34" s="11"/>
      <c r="H34" s="12"/>
      <c r="I34" s="13"/>
      <c r="J34" s="11">
        <f t="shared" si="0"/>
        <v>0</v>
      </c>
      <c r="K34" s="11"/>
      <c r="L34" s="11"/>
      <c r="M34" s="11"/>
    </row>
    <row r="35" spans="1:13">
      <c r="A35" s="29"/>
      <c r="C35" s="30"/>
      <c r="D35" s="21" t="s">
        <v>250</v>
      </c>
      <c r="E35" s="21" t="s">
        <v>124</v>
      </c>
      <c r="F35" s="3" t="s">
        <v>128</v>
      </c>
      <c r="G35" s="11"/>
      <c r="H35" s="12"/>
      <c r="I35" s="13"/>
      <c r="J35" s="11">
        <f t="shared" si="0"/>
        <v>0</v>
      </c>
      <c r="K35" s="11"/>
      <c r="L35" s="11"/>
      <c r="M35" s="11"/>
    </row>
    <row r="36" spans="1:13">
      <c r="A36" s="29">
        <v>43556</v>
      </c>
      <c r="B36" s="21" t="s">
        <v>318</v>
      </c>
      <c r="C36" s="30"/>
      <c r="D36" s="21" t="s">
        <v>250</v>
      </c>
      <c r="E36" s="21" t="s">
        <v>124</v>
      </c>
      <c r="F36" s="3" t="s">
        <v>126</v>
      </c>
      <c r="G36" s="11"/>
      <c r="H36" s="12"/>
      <c r="I36" s="13"/>
      <c r="J36" s="11">
        <f t="shared" si="0"/>
        <v>0</v>
      </c>
      <c r="K36" s="11"/>
      <c r="L36" s="11"/>
      <c r="M36" s="11"/>
    </row>
    <row r="37" spans="1:13">
      <c r="A37" s="29"/>
      <c r="C37" s="26"/>
      <c r="D37" s="32" t="s">
        <v>130</v>
      </c>
      <c r="E37" s="32" t="s">
        <v>131</v>
      </c>
      <c r="F37" s="32" t="s">
        <v>132</v>
      </c>
      <c r="G37" s="33"/>
      <c r="H37" s="34"/>
      <c r="I37" s="13"/>
      <c r="J37" s="11">
        <f t="shared" si="0"/>
        <v>0</v>
      </c>
      <c r="K37" s="11">
        <f>(J37)*0.25*N2</f>
        <v>0</v>
      </c>
      <c r="L37" s="11"/>
      <c r="M37" s="11"/>
    </row>
    <row r="38" spans="1:13">
      <c r="A38" s="29">
        <v>43556</v>
      </c>
      <c r="B38" s="21" t="s">
        <v>318</v>
      </c>
      <c r="C38" s="24" t="s">
        <v>11</v>
      </c>
      <c r="D38" s="21" t="s">
        <v>147</v>
      </c>
      <c r="E38" s="21" t="s">
        <v>13</v>
      </c>
      <c r="F38" s="3" t="s">
        <v>14</v>
      </c>
      <c r="G38" s="11"/>
      <c r="H38" s="12"/>
      <c r="I38" s="13"/>
      <c r="J38" s="11">
        <f t="shared" si="0"/>
        <v>0</v>
      </c>
      <c r="K38" s="11">
        <f>(J39+J38+J44+J45)*0.03*N2</f>
        <v>0</v>
      </c>
      <c r="L38" s="11">
        <f>K38/0.03*0.25</f>
        <v>0</v>
      </c>
      <c r="M38" s="11">
        <f>L38-K38</f>
        <v>0</v>
      </c>
    </row>
    <row r="39" spans="1:13">
      <c r="A39" s="29">
        <v>43556</v>
      </c>
      <c r="B39" s="21" t="s">
        <v>318</v>
      </c>
      <c r="C39" s="24"/>
      <c r="D39" s="21" t="s">
        <v>147</v>
      </c>
      <c r="E39" s="21" t="s">
        <v>13</v>
      </c>
      <c r="F39" s="3" t="s">
        <v>264</v>
      </c>
      <c r="G39" s="11"/>
      <c r="H39" s="12"/>
      <c r="I39" s="13"/>
      <c r="J39" s="11">
        <f t="shared" si="0"/>
        <v>0</v>
      </c>
      <c r="K39" s="11"/>
      <c r="L39" s="11">
        <f>K39/0.05*0.25</f>
        <v>0</v>
      </c>
      <c r="M39" s="11">
        <f>L39-K39</f>
        <v>0</v>
      </c>
    </row>
    <row r="40" spans="1:13">
      <c r="A40" s="29">
        <v>43556</v>
      </c>
      <c r="B40" s="21" t="s">
        <v>318</v>
      </c>
      <c r="C40" s="24"/>
      <c r="D40" s="21" t="s">
        <v>171</v>
      </c>
      <c r="E40" s="21" t="s">
        <v>150</v>
      </c>
      <c r="F40" s="3" t="s">
        <v>151</v>
      </c>
      <c r="G40" s="11"/>
      <c r="H40" s="12"/>
      <c r="I40" s="13"/>
      <c r="J40" s="11">
        <f t="shared" si="0"/>
        <v>0</v>
      </c>
      <c r="K40" s="11"/>
      <c r="L40" s="11"/>
      <c r="M40" s="11"/>
    </row>
    <row r="41" spans="1:13">
      <c r="A41" s="29">
        <v>43556</v>
      </c>
      <c r="B41" s="21" t="s">
        <v>318</v>
      </c>
      <c r="C41" s="24"/>
      <c r="D41" s="21" t="s">
        <v>171</v>
      </c>
      <c r="E41" s="21" t="s">
        <v>150</v>
      </c>
      <c r="F41" s="3" t="s">
        <v>151</v>
      </c>
      <c r="G41" s="11"/>
      <c r="H41" s="12"/>
      <c r="I41" s="13"/>
      <c r="J41" s="11">
        <f t="shared" si="0"/>
        <v>0</v>
      </c>
      <c r="K41" s="11"/>
      <c r="L41" s="11"/>
      <c r="M41" s="11"/>
    </row>
    <row r="42" spans="1:13">
      <c r="A42" s="29">
        <v>43556</v>
      </c>
      <c r="B42" s="21" t="s">
        <v>318</v>
      </c>
      <c r="C42" s="24"/>
      <c r="D42" s="21" t="s">
        <v>156</v>
      </c>
      <c r="E42" s="21" t="s">
        <v>46</v>
      </c>
      <c r="F42" s="3" t="s">
        <v>47</v>
      </c>
      <c r="G42" s="79"/>
      <c r="H42" s="12"/>
      <c r="I42" s="13"/>
      <c r="J42" s="11">
        <f t="shared" si="0"/>
        <v>0</v>
      </c>
      <c r="K42" s="11">
        <f>(J42+J43+J46+J47+J48+J53+J54+J55+J56)*0.2*N2</f>
        <v>0</v>
      </c>
      <c r="L42" s="11"/>
      <c r="M42" s="11"/>
    </row>
    <row r="43" spans="1:13">
      <c r="A43" s="29">
        <v>43556</v>
      </c>
      <c r="B43" s="21" t="s">
        <v>318</v>
      </c>
      <c r="C43" s="24"/>
      <c r="D43" s="21" t="s">
        <v>156</v>
      </c>
      <c r="E43" s="21" t="s">
        <v>46</v>
      </c>
      <c r="F43" s="3" t="s">
        <v>157</v>
      </c>
      <c r="G43" s="11"/>
      <c r="H43" s="12"/>
      <c r="I43" s="13"/>
      <c r="J43" s="11">
        <f t="shared" si="0"/>
        <v>0</v>
      </c>
      <c r="K43" s="11"/>
      <c r="L43" s="11"/>
      <c r="M43" s="11"/>
    </row>
    <row r="44" spans="1:13">
      <c r="A44" s="29">
        <v>43556</v>
      </c>
      <c r="B44" s="21" t="s">
        <v>318</v>
      </c>
      <c r="C44" s="24"/>
      <c r="D44" s="21" t="s">
        <v>143</v>
      </c>
      <c r="E44" s="21" t="s">
        <v>13</v>
      </c>
      <c r="F44" s="3" t="s">
        <v>14</v>
      </c>
      <c r="G44" s="11"/>
      <c r="H44" s="12"/>
      <c r="I44" s="14"/>
      <c r="J44" s="11">
        <f t="shared" si="0"/>
        <v>0</v>
      </c>
      <c r="K44" s="11"/>
      <c r="L44" s="11">
        <f>K44/0.03*0.25</f>
        <v>0</v>
      </c>
      <c r="M44" s="11">
        <f>L44-K44</f>
        <v>0</v>
      </c>
    </row>
    <row r="45" spans="1:13">
      <c r="A45" s="29">
        <v>43556</v>
      </c>
      <c r="B45" s="21" t="s">
        <v>318</v>
      </c>
      <c r="C45" s="24"/>
      <c r="D45" s="21" t="s">
        <v>143</v>
      </c>
      <c r="E45" s="21" t="s">
        <v>13</v>
      </c>
      <c r="F45" s="3" t="s">
        <v>264</v>
      </c>
      <c r="G45" s="11"/>
      <c r="H45" s="12"/>
      <c r="I45" s="13"/>
      <c r="J45" s="11">
        <f t="shared" si="0"/>
        <v>0</v>
      </c>
      <c r="K45" s="11"/>
      <c r="L45" s="11"/>
      <c r="M45" s="11"/>
    </row>
    <row r="46" spans="1:13">
      <c r="A46" s="29">
        <v>43556</v>
      </c>
      <c r="B46" s="21" t="s">
        <v>318</v>
      </c>
      <c r="C46" s="24"/>
      <c r="D46" s="21" t="s">
        <v>152</v>
      </c>
      <c r="E46" s="21" t="s">
        <v>46</v>
      </c>
      <c r="F46" s="3" t="s">
        <v>47</v>
      </c>
      <c r="G46" s="79"/>
      <c r="H46" s="12"/>
      <c r="I46" s="14"/>
      <c r="J46" s="11">
        <f t="shared" si="0"/>
        <v>0</v>
      </c>
      <c r="K46" s="11"/>
      <c r="L46" s="11"/>
      <c r="M46" s="11"/>
    </row>
    <row r="47" spans="1:13">
      <c r="A47" s="29">
        <v>43556</v>
      </c>
      <c r="B47" s="21" t="s">
        <v>318</v>
      </c>
      <c r="C47" s="24"/>
      <c r="D47" s="21" t="s">
        <v>152</v>
      </c>
      <c r="E47" s="21" t="s">
        <v>46</v>
      </c>
      <c r="F47" s="3" t="s">
        <v>157</v>
      </c>
      <c r="G47" s="79"/>
      <c r="H47" s="12"/>
      <c r="I47" s="13"/>
      <c r="J47" s="11">
        <f t="shared" si="0"/>
        <v>0</v>
      </c>
      <c r="K47" s="11"/>
      <c r="L47" s="11"/>
      <c r="M47" s="11"/>
    </row>
    <row r="48" spans="1:13">
      <c r="A48" s="29"/>
      <c r="C48" s="24"/>
      <c r="D48" s="21" t="s">
        <v>76</v>
      </c>
      <c r="E48" s="21" t="s">
        <v>46</v>
      </c>
      <c r="F48" s="3" t="s">
        <v>47</v>
      </c>
      <c r="G48" s="79"/>
      <c r="H48" s="12"/>
      <c r="I48" s="13"/>
      <c r="J48" s="11">
        <f t="shared" si="0"/>
        <v>0</v>
      </c>
      <c r="K48" s="11"/>
      <c r="L48" s="11"/>
      <c r="M48" s="11"/>
    </row>
    <row r="49" spans="1:13">
      <c r="A49" s="29">
        <v>43556</v>
      </c>
      <c r="B49" s="21" t="s">
        <v>318</v>
      </c>
      <c r="C49" s="24"/>
      <c r="D49" s="21" t="s">
        <v>265</v>
      </c>
      <c r="E49" s="21" t="s">
        <v>261</v>
      </c>
      <c r="F49" s="3" t="s">
        <v>262</v>
      </c>
      <c r="G49" s="11"/>
      <c r="H49" s="12"/>
      <c r="I49" s="13"/>
      <c r="J49" s="11">
        <f t="shared" si="0"/>
        <v>0</v>
      </c>
      <c r="K49" s="11"/>
      <c r="L49" s="11"/>
      <c r="M49" s="11"/>
    </row>
    <row r="50" spans="1:13">
      <c r="A50" s="29">
        <v>43556</v>
      </c>
      <c r="B50" s="21" t="s">
        <v>318</v>
      </c>
      <c r="C50" s="24"/>
      <c r="D50" s="21" t="s">
        <v>265</v>
      </c>
      <c r="E50" s="21" t="s">
        <v>261</v>
      </c>
      <c r="F50" s="3" t="s">
        <v>263</v>
      </c>
      <c r="G50" s="11"/>
      <c r="H50" s="12"/>
      <c r="I50" s="13"/>
      <c r="J50" s="11">
        <f t="shared" si="0"/>
        <v>0</v>
      </c>
      <c r="K50" s="11"/>
      <c r="L50" s="11"/>
      <c r="M50" s="11"/>
    </row>
    <row r="51" spans="1:13">
      <c r="A51" s="29">
        <v>43556</v>
      </c>
      <c r="B51" s="21" t="s">
        <v>318</v>
      </c>
      <c r="C51" s="24"/>
      <c r="D51" s="21" t="s">
        <v>268</v>
      </c>
      <c r="E51" s="21" t="s">
        <v>261</v>
      </c>
      <c r="F51" s="3" t="s">
        <v>262</v>
      </c>
      <c r="G51" s="11"/>
      <c r="H51" s="12"/>
      <c r="I51" s="14"/>
      <c r="J51" s="11">
        <f t="shared" si="0"/>
        <v>0</v>
      </c>
      <c r="K51" s="11"/>
      <c r="L51" s="11"/>
      <c r="M51" s="11"/>
    </row>
    <row r="52" spans="1:13">
      <c r="A52" s="29">
        <v>43556</v>
      </c>
      <c r="B52" s="21" t="s">
        <v>318</v>
      </c>
      <c r="C52" s="24"/>
      <c r="D52" s="21" t="s">
        <v>268</v>
      </c>
      <c r="E52" s="21" t="s">
        <v>261</v>
      </c>
      <c r="F52" s="3" t="s">
        <v>263</v>
      </c>
      <c r="G52" s="11"/>
      <c r="H52" s="12"/>
      <c r="I52" s="13"/>
      <c r="J52" s="11">
        <f t="shared" si="0"/>
        <v>0</v>
      </c>
      <c r="K52" s="11"/>
      <c r="L52" s="11"/>
      <c r="M52" s="11"/>
    </row>
    <row r="53" spans="1:13">
      <c r="A53" s="29">
        <v>43556</v>
      </c>
      <c r="B53" s="21" t="s">
        <v>318</v>
      </c>
      <c r="C53" s="24"/>
      <c r="D53" s="21" t="s">
        <v>266</v>
      </c>
      <c r="E53" s="21" t="s">
        <v>46</v>
      </c>
      <c r="F53" s="3" t="s">
        <v>47</v>
      </c>
      <c r="G53" s="11"/>
      <c r="H53" s="12"/>
      <c r="I53" s="13"/>
      <c r="J53" s="11">
        <f t="shared" si="0"/>
        <v>0</v>
      </c>
      <c r="K53" s="11"/>
      <c r="L53" s="11"/>
      <c r="M53" s="11"/>
    </row>
    <row r="54" spans="1:13">
      <c r="A54" s="29">
        <v>43556</v>
      </c>
      <c r="B54" s="21" t="s">
        <v>318</v>
      </c>
      <c r="C54" s="24"/>
      <c r="D54" s="21" t="s">
        <v>266</v>
      </c>
      <c r="E54" s="21" t="s">
        <v>46</v>
      </c>
      <c r="F54" s="3" t="s">
        <v>157</v>
      </c>
      <c r="G54" s="11"/>
      <c r="H54" s="12"/>
      <c r="I54" s="13"/>
      <c r="J54" s="11">
        <f t="shared" si="0"/>
        <v>0</v>
      </c>
      <c r="K54" s="11"/>
      <c r="L54" s="11"/>
      <c r="M54" s="11"/>
    </row>
    <row r="55" spans="1:13">
      <c r="A55" s="29">
        <v>43556</v>
      </c>
      <c r="B55" s="21" t="s">
        <v>318</v>
      </c>
      <c r="C55" s="24"/>
      <c r="D55" s="21" t="s">
        <v>267</v>
      </c>
      <c r="E55" s="21" t="s">
        <v>46</v>
      </c>
      <c r="F55" s="3" t="s">
        <v>47</v>
      </c>
      <c r="G55" s="11"/>
      <c r="H55" s="12"/>
      <c r="I55" s="13"/>
      <c r="J55" s="11">
        <f t="shared" si="0"/>
        <v>0</v>
      </c>
      <c r="K55" s="11"/>
      <c r="L55" s="11"/>
      <c r="M55" s="11"/>
    </row>
    <row r="56" spans="1:13">
      <c r="A56" s="29">
        <v>43556</v>
      </c>
      <c r="B56" s="21" t="s">
        <v>318</v>
      </c>
      <c r="C56" s="24"/>
      <c r="D56" s="21" t="s">
        <v>267</v>
      </c>
      <c r="E56" s="21" t="s">
        <v>46</v>
      </c>
      <c r="F56" s="3" t="s">
        <v>157</v>
      </c>
      <c r="G56" s="11"/>
      <c r="H56" s="12"/>
      <c r="I56" s="13"/>
      <c r="J56" s="11">
        <f t="shared" si="0"/>
        <v>0</v>
      </c>
      <c r="K56" s="11"/>
      <c r="L56" s="11"/>
      <c r="M56" s="11"/>
    </row>
    <row r="57" spans="1:13">
      <c r="A57" s="29">
        <v>43556</v>
      </c>
      <c r="B57" s="21" t="s">
        <v>318</v>
      </c>
      <c r="C57" s="24"/>
      <c r="D57" s="21" t="s">
        <v>260</v>
      </c>
      <c r="E57" s="21" t="s">
        <v>261</v>
      </c>
      <c r="F57" s="3" t="s">
        <v>262</v>
      </c>
      <c r="G57" s="11"/>
      <c r="H57" s="12"/>
      <c r="I57" s="13"/>
      <c r="J57" s="11">
        <f t="shared" si="0"/>
        <v>0</v>
      </c>
      <c r="K57" s="11">
        <f>(J57+J51+J52+J58+J49+J50)*0.03*N2</f>
        <v>0</v>
      </c>
      <c r="L57" s="11">
        <f>K57/0.03*0.25</f>
        <v>0</v>
      </c>
      <c r="M57" s="11">
        <f>L57-K57</f>
        <v>0</v>
      </c>
    </row>
    <row r="58" spans="1:13">
      <c r="A58" s="29"/>
      <c r="C58" s="24"/>
      <c r="D58" s="21" t="s">
        <v>260</v>
      </c>
      <c r="E58" s="21" t="s">
        <v>261</v>
      </c>
      <c r="F58" s="3" t="s">
        <v>263</v>
      </c>
      <c r="G58" s="11"/>
      <c r="H58" s="12"/>
      <c r="I58" s="13"/>
      <c r="J58" s="11">
        <f t="shared" si="0"/>
        <v>0</v>
      </c>
      <c r="K58" s="11"/>
      <c r="L58" s="11"/>
      <c r="M58" s="11"/>
    </row>
    <row r="59" spans="1:13">
      <c r="A59" s="29">
        <v>43556</v>
      </c>
      <c r="B59" s="21" t="s">
        <v>318</v>
      </c>
      <c r="C59" s="25" t="s">
        <v>15</v>
      </c>
      <c r="D59" s="21" t="s">
        <v>34</v>
      </c>
      <c r="E59" s="21" t="s">
        <v>35</v>
      </c>
      <c r="F59" s="3" t="s">
        <v>36</v>
      </c>
      <c r="G59" s="11"/>
      <c r="H59" s="12"/>
      <c r="I59" s="13"/>
      <c r="J59" s="11">
        <f t="shared" si="0"/>
        <v>0</v>
      </c>
      <c r="K59" s="11"/>
      <c r="L59" s="11"/>
      <c r="M59" s="11"/>
    </row>
    <row r="60" spans="1:13">
      <c r="A60" s="29"/>
      <c r="C60" s="30"/>
      <c r="D60" s="21" t="s">
        <v>34</v>
      </c>
      <c r="E60" s="21" t="s">
        <v>35</v>
      </c>
      <c r="F60" s="3" t="s">
        <v>271</v>
      </c>
      <c r="G60" s="11"/>
      <c r="H60" s="12"/>
      <c r="I60" s="13"/>
      <c r="J60" s="11">
        <f t="shared" si="0"/>
        <v>0</v>
      </c>
      <c r="K60" s="11"/>
      <c r="L60" s="11"/>
      <c r="M60" s="11"/>
    </row>
    <row r="61" spans="1:13">
      <c r="A61" s="29">
        <v>43556</v>
      </c>
      <c r="B61" s="21" t="s">
        <v>318</v>
      </c>
      <c r="C61" s="30"/>
      <c r="D61" s="21" t="s">
        <v>37</v>
      </c>
      <c r="E61" s="21" t="s">
        <v>35</v>
      </c>
      <c r="F61" s="3" t="s">
        <v>36</v>
      </c>
      <c r="G61" s="11"/>
      <c r="H61" s="12"/>
      <c r="I61" s="14"/>
      <c r="J61" s="11">
        <f t="shared" si="0"/>
        <v>0</v>
      </c>
      <c r="K61" s="11"/>
      <c r="L61" s="11">
        <f>K61/0.03*0.25</f>
        <v>0</v>
      </c>
      <c r="M61" s="11">
        <f t="shared" ref="M61:M65" si="3">L61-K61</f>
        <v>0</v>
      </c>
    </row>
    <row r="62" spans="1:13">
      <c r="A62" s="29">
        <v>43556</v>
      </c>
      <c r="B62" s="21" t="s">
        <v>318</v>
      </c>
      <c r="C62" s="30"/>
      <c r="D62" s="21" t="s">
        <v>37</v>
      </c>
      <c r="E62" s="21" t="s">
        <v>35</v>
      </c>
      <c r="F62" s="3" t="s">
        <v>271</v>
      </c>
      <c r="G62" s="11"/>
      <c r="H62" s="12"/>
      <c r="I62" s="13"/>
      <c r="J62" s="11">
        <f t="shared" si="0"/>
        <v>0</v>
      </c>
      <c r="K62" s="11"/>
      <c r="L62" s="11"/>
      <c r="M62" s="11"/>
    </row>
    <row r="63" spans="1:13">
      <c r="A63" s="29"/>
      <c r="C63" s="30"/>
      <c r="D63" s="21" t="s">
        <v>140</v>
      </c>
      <c r="E63" s="21" t="s">
        <v>35</v>
      </c>
      <c r="F63" s="3" t="s">
        <v>36</v>
      </c>
      <c r="G63" s="11"/>
      <c r="H63" s="12"/>
      <c r="I63" s="13"/>
      <c r="J63" s="11">
        <f t="shared" si="0"/>
        <v>0</v>
      </c>
      <c r="K63" s="11"/>
      <c r="L63" s="11"/>
      <c r="M63" s="11"/>
    </row>
    <row r="64" spans="1:13">
      <c r="A64" s="29"/>
      <c r="C64" s="30"/>
      <c r="D64" s="21" t="s">
        <v>31</v>
      </c>
      <c r="E64" s="21" t="s">
        <v>32</v>
      </c>
      <c r="F64" s="3" t="s">
        <v>33</v>
      </c>
      <c r="G64" s="11"/>
      <c r="H64" s="12"/>
      <c r="I64" s="13"/>
      <c r="J64" s="11">
        <f t="shared" si="0"/>
        <v>0</v>
      </c>
      <c r="K64" s="11">
        <f>(J64)*0.03*N2</f>
        <v>0</v>
      </c>
      <c r="L64" s="11">
        <f>K64/0.03*0.25</f>
        <v>0</v>
      </c>
      <c r="M64" s="11">
        <f t="shared" si="3"/>
        <v>0</v>
      </c>
    </row>
    <row r="65" spans="1:13">
      <c r="A65" s="29">
        <v>43556</v>
      </c>
      <c r="B65" s="21" t="s">
        <v>318</v>
      </c>
      <c r="C65" s="30"/>
      <c r="D65" s="21" t="s">
        <v>28</v>
      </c>
      <c r="E65" s="21" t="s">
        <v>29</v>
      </c>
      <c r="F65" s="3" t="s">
        <v>30</v>
      </c>
      <c r="G65" s="11"/>
      <c r="H65" s="12"/>
      <c r="I65" s="13"/>
      <c r="J65" s="11">
        <f t="shared" si="0"/>
        <v>0</v>
      </c>
      <c r="K65" s="11">
        <f>(J65+J67+J68+J69+J66)*0.05*N2</f>
        <v>0</v>
      </c>
      <c r="L65" s="11">
        <f>K65/0.05*0.25</f>
        <v>0</v>
      </c>
      <c r="M65" s="11">
        <f t="shared" si="3"/>
        <v>0</v>
      </c>
    </row>
    <row r="66" spans="1:13">
      <c r="A66" s="29"/>
      <c r="C66" s="30"/>
      <c r="D66" s="21" t="s">
        <v>28</v>
      </c>
      <c r="E66" s="21" t="s">
        <v>29</v>
      </c>
      <c r="F66" s="3" t="s">
        <v>135</v>
      </c>
      <c r="G66" s="11"/>
      <c r="H66" s="12"/>
      <c r="I66" s="13"/>
      <c r="J66" s="11">
        <f t="shared" si="0"/>
        <v>0</v>
      </c>
      <c r="K66" s="11"/>
      <c r="L66" s="11"/>
      <c r="M66" s="11"/>
    </row>
    <row r="67" spans="1:13">
      <c r="A67" s="29">
        <v>43556</v>
      </c>
      <c r="B67" s="21" t="s">
        <v>318</v>
      </c>
      <c r="C67" s="30"/>
      <c r="D67" s="21" t="s">
        <v>134</v>
      </c>
      <c r="E67" s="21" t="s">
        <v>29</v>
      </c>
      <c r="F67" s="3" t="s">
        <v>30</v>
      </c>
      <c r="G67" s="11"/>
      <c r="H67" s="12"/>
      <c r="I67" s="13"/>
      <c r="J67" s="11">
        <f t="shared" ref="J67:J118" si="4">G67*H67*1-I67</f>
        <v>0</v>
      </c>
      <c r="K67" s="11"/>
      <c r="L67" s="11"/>
      <c r="M67" s="11"/>
    </row>
    <row r="68" spans="1:13">
      <c r="A68" s="29">
        <v>43556</v>
      </c>
      <c r="B68" s="21" t="s">
        <v>318</v>
      </c>
      <c r="C68" s="30"/>
      <c r="D68" s="21" t="s">
        <v>136</v>
      </c>
      <c r="E68" s="21" t="s">
        <v>29</v>
      </c>
      <c r="F68" s="3" t="s">
        <v>30</v>
      </c>
      <c r="G68" s="11"/>
      <c r="H68" s="12"/>
      <c r="I68" s="14"/>
      <c r="J68" s="11">
        <f t="shared" si="4"/>
        <v>0</v>
      </c>
      <c r="K68" s="11"/>
      <c r="L68" s="11"/>
      <c r="M68" s="11"/>
    </row>
    <row r="69" spans="1:13">
      <c r="A69" s="29"/>
      <c r="C69" s="30"/>
      <c r="D69" s="21" t="s">
        <v>136</v>
      </c>
      <c r="E69" s="21" t="s">
        <v>29</v>
      </c>
      <c r="F69" s="3" t="s">
        <v>135</v>
      </c>
      <c r="G69" s="11"/>
      <c r="H69" s="12"/>
      <c r="I69" s="13"/>
      <c r="J69" s="11">
        <f t="shared" si="4"/>
        <v>0</v>
      </c>
      <c r="K69" s="11"/>
      <c r="L69" s="11"/>
      <c r="M69" s="11"/>
    </row>
    <row r="70" spans="1:13">
      <c r="A70" s="29">
        <v>43556</v>
      </c>
      <c r="B70" s="21" t="s">
        <v>318</v>
      </c>
      <c r="C70" s="30"/>
      <c r="D70" s="21" t="s">
        <v>16</v>
      </c>
      <c r="E70" s="21" t="s">
        <v>17</v>
      </c>
      <c r="F70" s="3" t="s">
        <v>18</v>
      </c>
      <c r="G70" s="11"/>
      <c r="H70" s="12"/>
      <c r="I70" s="13"/>
      <c r="J70" s="11">
        <f t="shared" si="4"/>
        <v>0</v>
      </c>
      <c r="K70" s="11">
        <f>(J70)*0.05*N2</f>
        <v>0</v>
      </c>
      <c r="L70" s="11">
        <f>K70/0.05*0.25</f>
        <v>0</v>
      </c>
      <c r="M70" s="11">
        <f>L70-K70</f>
        <v>0</v>
      </c>
    </row>
    <row r="71" spans="1:13">
      <c r="A71" s="29"/>
      <c r="C71" s="30"/>
      <c r="D71" s="21" t="s">
        <v>22</v>
      </c>
      <c r="E71" s="21" t="s">
        <v>20</v>
      </c>
      <c r="F71" s="3" t="s">
        <v>21</v>
      </c>
      <c r="G71" s="11"/>
      <c r="H71" s="12"/>
      <c r="I71" s="14"/>
      <c r="J71" s="11">
        <f t="shared" si="4"/>
        <v>0</v>
      </c>
      <c r="K71" s="11">
        <f>(J71+J73+J74+J75+J72)*0.03*N2</f>
        <v>0</v>
      </c>
      <c r="L71" s="11">
        <f>K71/0.03*0.25</f>
        <v>0</v>
      </c>
      <c r="M71" s="11">
        <f>L71-K71</f>
        <v>0</v>
      </c>
    </row>
    <row r="72" spans="1:13">
      <c r="A72" s="29"/>
      <c r="C72" s="30"/>
      <c r="D72" s="21" t="s">
        <v>22</v>
      </c>
      <c r="E72" s="21" t="s">
        <v>20</v>
      </c>
      <c r="F72" s="3" t="s">
        <v>133</v>
      </c>
      <c r="G72" s="11"/>
      <c r="H72" s="12"/>
      <c r="I72" s="13"/>
      <c r="J72" s="11">
        <f t="shared" si="4"/>
        <v>0</v>
      </c>
      <c r="K72" s="11"/>
      <c r="L72" s="11"/>
      <c r="M72" s="11"/>
    </row>
    <row r="73" spans="1:13">
      <c r="A73" s="29">
        <v>43556</v>
      </c>
      <c r="B73" s="21" t="s">
        <v>318</v>
      </c>
      <c r="C73" s="30"/>
      <c r="D73" s="21" t="s">
        <v>19</v>
      </c>
      <c r="E73" s="21" t="s">
        <v>20</v>
      </c>
      <c r="F73" s="3" t="s">
        <v>21</v>
      </c>
      <c r="G73" s="11"/>
      <c r="H73" s="12"/>
      <c r="I73" s="13"/>
      <c r="J73" s="11">
        <f t="shared" si="4"/>
        <v>0</v>
      </c>
      <c r="K73" s="11"/>
      <c r="L73" s="11"/>
      <c r="M73" s="11"/>
    </row>
    <row r="74" spans="1:13">
      <c r="A74" s="29"/>
      <c r="C74" s="30"/>
      <c r="D74" s="21" t="s">
        <v>19</v>
      </c>
      <c r="E74" s="21" t="s">
        <v>20</v>
      </c>
      <c r="F74" s="3" t="s">
        <v>133</v>
      </c>
      <c r="G74" s="11"/>
      <c r="H74" s="12"/>
      <c r="I74" s="13"/>
      <c r="J74" s="11">
        <f t="shared" si="4"/>
        <v>0</v>
      </c>
      <c r="K74" s="11"/>
      <c r="L74" s="11"/>
      <c r="M74" s="11"/>
    </row>
    <row r="75" spans="1:13">
      <c r="A75" s="29"/>
      <c r="C75" s="30"/>
      <c r="D75" s="21" t="s">
        <v>23</v>
      </c>
      <c r="E75" s="21" t="s">
        <v>20</v>
      </c>
      <c r="F75" s="3" t="s">
        <v>21</v>
      </c>
      <c r="G75" s="11"/>
      <c r="H75" s="12"/>
      <c r="I75" s="13"/>
      <c r="J75" s="11">
        <f t="shared" si="4"/>
        <v>0</v>
      </c>
      <c r="K75" s="11"/>
      <c r="L75" s="11"/>
      <c r="M75" s="11"/>
    </row>
    <row r="76" spans="1:13">
      <c r="A76" s="29">
        <v>43556</v>
      </c>
      <c r="B76" s="21" t="s">
        <v>318</v>
      </c>
      <c r="C76" s="24" t="s">
        <v>40</v>
      </c>
      <c r="D76" s="21" t="s">
        <v>229</v>
      </c>
      <c r="E76" s="21" t="s">
        <v>177</v>
      </c>
      <c r="F76" s="3" t="s">
        <v>228</v>
      </c>
      <c r="G76" s="11"/>
      <c r="H76" s="12"/>
      <c r="I76" s="14"/>
      <c r="J76" s="11">
        <f t="shared" si="4"/>
        <v>0</v>
      </c>
      <c r="K76" s="11">
        <f>(J76+J90+J91+J92)*0.03*N2</f>
        <v>0</v>
      </c>
      <c r="L76" s="11">
        <f>K76/0.03*0.25</f>
        <v>0</v>
      </c>
      <c r="M76" s="11">
        <f>L76-K76</f>
        <v>0</v>
      </c>
    </row>
    <row r="77" spans="1:13">
      <c r="A77" s="29"/>
      <c r="C77" s="24"/>
      <c r="D77" s="21" t="s">
        <v>229</v>
      </c>
      <c r="E77" s="21" t="s">
        <v>223</v>
      </c>
      <c r="F77" s="3" t="s">
        <v>225</v>
      </c>
      <c r="G77" s="11"/>
      <c r="H77" s="12"/>
      <c r="I77" s="13"/>
      <c r="J77" s="11">
        <f t="shared" si="4"/>
        <v>0</v>
      </c>
      <c r="K77" s="11"/>
      <c r="L77" s="11">
        <f>K77/0.05*0.25</f>
        <v>0</v>
      </c>
      <c r="M77" s="11">
        <f>L77-K77</f>
        <v>0</v>
      </c>
    </row>
    <row r="78" spans="1:13">
      <c r="A78" s="29">
        <v>43556</v>
      </c>
      <c r="B78" s="21" t="s">
        <v>318</v>
      </c>
      <c r="C78" s="24"/>
      <c r="D78" s="21" t="s">
        <v>231</v>
      </c>
      <c r="E78" s="21" t="s">
        <v>223</v>
      </c>
      <c r="F78" s="3" t="s">
        <v>225</v>
      </c>
      <c r="G78" s="11"/>
      <c r="H78" s="12"/>
      <c r="I78" s="13"/>
      <c r="J78" s="11">
        <f t="shared" si="4"/>
        <v>0</v>
      </c>
      <c r="K78" s="11"/>
      <c r="L78" s="11"/>
      <c r="M78" s="11"/>
    </row>
    <row r="79" spans="1:13">
      <c r="A79" s="29">
        <v>43556</v>
      </c>
      <c r="B79" s="21" t="s">
        <v>318</v>
      </c>
      <c r="C79" s="24"/>
      <c r="D79" s="21" t="s">
        <v>169</v>
      </c>
      <c r="E79" s="21" t="s">
        <v>167</v>
      </c>
      <c r="F79" s="3" t="s">
        <v>170</v>
      </c>
      <c r="G79" s="11"/>
      <c r="H79" s="12"/>
      <c r="I79" s="13"/>
      <c r="J79" s="11">
        <f t="shared" si="4"/>
        <v>0</v>
      </c>
      <c r="K79" s="11">
        <f>(J79+J80+J81)*0.04*N2</f>
        <v>0</v>
      </c>
      <c r="L79" s="11">
        <f>K79/0.04*0.25</f>
        <v>0</v>
      </c>
      <c r="M79" s="11">
        <f>L79-K79</f>
        <v>0</v>
      </c>
    </row>
    <row r="80" spans="1:13">
      <c r="A80" s="29"/>
      <c r="C80" s="24"/>
      <c r="D80" s="21" t="s">
        <v>169</v>
      </c>
      <c r="E80" s="21" t="s">
        <v>167</v>
      </c>
      <c r="F80" s="3" t="s">
        <v>215</v>
      </c>
      <c r="G80" s="11"/>
      <c r="H80" s="12"/>
      <c r="I80" s="13"/>
      <c r="J80" s="11">
        <f t="shared" si="4"/>
        <v>0</v>
      </c>
      <c r="K80" s="11"/>
      <c r="L80" s="11"/>
      <c r="M80" s="11"/>
    </row>
    <row r="81" spans="1:13">
      <c r="A81" s="29"/>
      <c r="C81" s="24"/>
      <c r="D81" s="21" t="s">
        <v>166</v>
      </c>
      <c r="E81" s="21" t="s">
        <v>167</v>
      </c>
      <c r="F81" s="3" t="s">
        <v>170</v>
      </c>
      <c r="G81" s="11"/>
      <c r="H81" s="12"/>
      <c r="I81" s="13"/>
      <c r="J81" s="11">
        <f t="shared" si="4"/>
        <v>0</v>
      </c>
      <c r="K81" s="11"/>
      <c r="L81" s="11"/>
      <c r="M81" s="11"/>
    </row>
    <row r="82" spans="1:13">
      <c r="A82" s="29">
        <v>43556</v>
      </c>
      <c r="B82" s="21" t="s">
        <v>318</v>
      </c>
      <c r="C82" s="24"/>
      <c r="D82" s="21" t="s">
        <v>222</v>
      </c>
      <c r="E82" s="21" t="s">
        <v>223</v>
      </c>
      <c r="F82" s="3" t="s">
        <v>225</v>
      </c>
      <c r="G82" s="11"/>
      <c r="H82" s="12"/>
      <c r="I82" s="13"/>
      <c r="J82" s="11">
        <f t="shared" si="4"/>
        <v>0</v>
      </c>
      <c r="K82" s="11">
        <f>(J82+J83+J85+J77+J78)*0.05*N2</f>
        <v>0</v>
      </c>
      <c r="L82" s="11">
        <f>K82/0.05*0.25</f>
        <v>0</v>
      </c>
      <c r="M82" s="11">
        <f t="shared" ref="M82:M86" si="5">L82-K82</f>
        <v>0</v>
      </c>
    </row>
    <row r="83" spans="1:13">
      <c r="A83" s="29">
        <v>43556</v>
      </c>
      <c r="B83" s="21" t="s">
        <v>318</v>
      </c>
      <c r="C83" s="24"/>
      <c r="D83" s="21" t="s">
        <v>222</v>
      </c>
      <c r="E83" s="21" t="s">
        <v>223</v>
      </c>
      <c r="F83" s="3" t="s">
        <v>273</v>
      </c>
      <c r="G83" s="11"/>
      <c r="H83" s="12"/>
      <c r="I83" s="13"/>
      <c r="J83" s="11">
        <f t="shared" si="4"/>
        <v>0</v>
      </c>
      <c r="K83" s="11"/>
      <c r="L83" s="11"/>
      <c r="M83" s="11"/>
    </row>
    <row r="84" spans="1:13">
      <c r="A84" s="29">
        <v>43556</v>
      </c>
      <c r="B84" s="21" t="s">
        <v>318</v>
      </c>
      <c r="C84" s="24"/>
      <c r="D84" s="21" t="s">
        <v>169</v>
      </c>
      <c r="E84" s="21" t="s">
        <v>172</v>
      </c>
      <c r="F84" s="3" t="s">
        <v>174</v>
      </c>
      <c r="G84" s="11"/>
      <c r="H84" s="12"/>
      <c r="I84" s="13"/>
      <c r="J84" s="11">
        <f t="shared" si="4"/>
        <v>0</v>
      </c>
      <c r="K84" s="11">
        <f>(J84+J102+J103+J104+J105+J101)*0.05*N2</f>
        <v>0</v>
      </c>
      <c r="L84" s="11">
        <f>K84/0.05*0.25</f>
        <v>0</v>
      </c>
      <c r="M84" s="11">
        <f t="shared" si="5"/>
        <v>0</v>
      </c>
    </row>
    <row r="85" spans="1:13">
      <c r="A85" s="29"/>
      <c r="C85" s="24"/>
      <c r="D85" s="21" t="s">
        <v>309</v>
      </c>
      <c r="E85" s="21" t="s">
        <v>223</v>
      </c>
      <c r="F85" s="3" t="s">
        <v>225</v>
      </c>
      <c r="G85" s="11"/>
      <c r="H85" s="12"/>
      <c r="I85" s="13"/>
      <c r="J85" s="11">
        <f t="shared" si="4"/>
        <v>0</v>
      </c>
      <c r="K85" s="11"/>
      <c r="L85" s="11"/>
      <c r="M85" s="11"/>
    </row>
    <row r="86" spans="1:13">
      <c r="A86" s="29">
        <v>43556</v>
      </c>
      <c r="B86" s="21" t="s">
        <v>318</v>
      </c>
      <c r="C86" s="24"/>
      <c r="D86" s="32" t="s">
        <v>230</v>
      </c>
      <c r="E86" s="32" t="s">
        <v>163</v>
      </c>
      <c r="F86" s="32" t="s">
        <v>164</v>
      </c>
      <c r="G86" s="33"/>
      <c r="H86" s="34"/>
      <c r="I86" s="14"/>
      <c r="J86" s="11">
        <f t="shared" si="4"/>
        <v>0</v>
      </c>
      <c r="K86" s="11"/>
      <c r="L86" s="11">
        <f>K86/0.05*0.25</f>
        <v>0</v>
      </c>
      <c r="M86" s="11">
        <f t="shared" si="5"/>
        <v>0</v>
      </c>
    </row>
    <row r="87" spans="1:13">
      <c r="A87" s="29">
        <v>43556</v>
      </c>
      <c r="B87" s="21" t="s">
        <v>318</v>
      </c>
      <c r="C87" s="24"/>
      <c r="D87" s="32" t="s">
        <v>230</v>
      </c>
      <c r="E87" s="32" t="s">
        <v>163</v>
      </c>
      <c r="F87" s="32" t="s">
        <v>275</v>
      </c>
      <c r="G87" s="33"/>
      <c r="H87" s="34"/>
      <c r="I87" s="13"/>
      <c r="J87" s="11">
        <f t="shared" si="4"/>
        <v>0</v>
      </c>
      <c r="K87" s="11"/>
      <c r="L87" s="11"/>
      <c r="M87" s="11"/>
    </row>
    <row r="88" spans="1:13">
      <c r="A88" s="29">
        <v>43556</v>
      </c>
      <c r="B88" s="21" t="s">
        <v>318</v>
      </c>
      <c r="C88" s="24"/>
      <c r="D88" s="32" t="s">
        <v>226</v>
      </c>
      <c r="E88" s="32" t="s">
        <v>163</v>
      </c>
      <c r="F88" s="32" t="s">
        <v>164</v>
      </c>
      <c r="G88" s="33"/>
      <c r="H88" s="34"/>
      <c r="I88" s="13"/>
      <c r="J88" s="11">
        <f t="shared" si="4"/>
        <v>0</v>
      </c>
      <c r="K88" s="11">
        <f>(J88+J89+J93+J94+J86+J87)*0.25*N2</f>
        <v>0</v>
      </c>
      <c r="L88" s="11"/>
      <c r="M88" s="11"/>
    </row>
    <row r="89" spans="1:13">
      <c r="A89" s="29"/>
      <c r="C89" s="24"/>
      <c r="D89" s="32" t="s">
        <v>226</v>
      </c>
      <c r="E89" s="32" t="s">
        <v>163</v>
      </c>
      <c r="F89" s="32" t="s">
        <v>275</v>
      </c>
      <c r="G89" s="33"/>
      <c r="H89" s="34"/>
      <c r="I89" s="13"/>
      <c r="J89" s="11">
        <f t="shared" si="4"/>
        <v>0</v>
      </c>
      <c r="K89" s="11"/>
      <c r="L89" s="11"/>
      <c r="M89" s="11"/>
    </row>
    <row r="90" spans="1:13">
      <c r="A90" s="29">
        <v>43556</v>
      </c>
      <c r="B90" s="21" t="s">
        <v>318</v>
      </c>
      <c r="C90" s="24"/>
      <c r="D90" s="21" t="s">
        <v>176</v>
      </c>
      <c r="E90" s="21" t="s">
        <v>177</v>
      </c>
      <c r="F90" s="3" t="s">
        <v>228</v>
      </c>
      <c r="G90" s="11"/>
      <c r="H90" s="12"/>
      <c r="I90" s="13"/>
      <c r="J90" s="11">
        <f t="shared" si="4"/>
        <v>0</v>
      </c>
      <c r="K90" s="11"/>
      <c r="L90" s="11"/>
      <c r="M90" s="11"/>
    </row>
    <row r="91" spans="1:13">
      <c r="A91" s="29">
        <v>43556</v>
      </c>
      <c r="B91" s="21" t="s">
        <v>318</v>
      </c>
      <c r="C91" s="24"/>
      <c r="D91" s="21" t="s">
        <v>176</v>
      </c>
      <c r="E91" s="21" t="s">
        <v>177</v>
      </c>
      <c r="F91" s="3" t="s">
        <v>178</v>
      </c>
      <c r="G91" s="11"/>
      <c r="H91" s="12"/>
      <c r="I91" s="13"/>
      <c r="J91" s="11">
        <f t="shared" si="4"/>
        <v>0</v>
      </c>
      <c r="K91" s="11"/>
      <c r="L91" s="11">
        <f>K91/0.05*0.25</f>
        <v>0</v>
      </c>
      <c r="M91" s="11">
        <f>L91-K91</f>
        <v>0</v>
      </c>
    </row>
    <row r="92" spans="1:13">
      <c r="A92" s="29">
        <v>43556</v>
      </c>
      <c r="B92" s="21" t="s">
        <v>318</v>
      </c>
      <c r="C92" s="24"/>
      <c r="D92" s="21" t="s">
        <v>176</v>
      </c>
      <c r="E92" s="21" t="s">
        <v>177</v>
      </c>
      <c r="F92" s="3" t="s">
        <v>274</v>
      </c>
      <c r="G92" s="11"/>
      <c r="H92" s="12"/>
      <c r="I92" s="13"/>
      <c r="J92" s="11">
        <f t="shared" si="4"/>
        <v>0</v>
      </c>
      <c r="K92" s="11"/>
      <c r="L92" s="11"/>
      <c r="M92" s="11"/>
    </row>
    <row r="93" spans="1:13">
      <c r="A93" s="29">
        <v>43556</v>
      </c>
      <c r="B93" s="21" t="s">
        <v>318</v>
      </c>
      <c r="C93" s="24"/>
      <c r="D93" s="32" t="s">
        <v>162</v>
      </c>
      <c r="E93" s="32" t="s">
        <v>163</v>
      </c>
      <c r="F93" s="32" t="s">
        <v>164</v>
      </c>
      <c r="G93" s="33"/>
      <c r="H93" s="34"/>
      <c r="I93" s="13"/>
      <c r="J93" s="11">
        <f t="shared" si="4"/>
        <v>0</v>
      </c>
      <c r="K93" s="11"/>
      <c r="L93" s="11"/>
      <c r="M93" s="11"/>
    </row>
    <row r="94" spans="1:13">
      <c r="A94" s="29">
        <v>43556</v>
      </c>
      <c r="B94" s="21" t="s">
        <v>318</v>
      </c>
      <c r="C94" s="24"/>
      <c r="D94" s="32" t="s">
        <v>162</v>
      </c>
      <c r="E94" s="32" t="s">
        <v>163</v>
      </c>
      <c r="F94" s="32" t="s">
        <v>164</v>
      </c>
      <c r="G94" s="33"/>
      <c r="H94" s="34"/>
      <c r="I94" s="13"/>
      <c r="J94" s="11">
        <f t="shared" si="4"/>
        <v>0</v>
      </c>
      <c r="K94" s="11"/>
      <c r="L94" s="11"/>
      <c r="M94" s="11"/>
    </row>
    <row r="95" spans="1:13">
      <c r="A95" s="29">
        <v>43556</v>
      </c>
      <c r="B95" s="21" t="s">
        <v>318</v>
      </c>
      <c r="C95" s="24"/>
      <c r="D95" s="21" t="s">
        <v>41</v>
      </c>
      <c r="E95" s="21" t="s">
        <v>42</v>
      </c>
      <c r="F95" s="3" t="s">
        <v>43</v>
      </c>
      <c r="G95" s="11"/>
      <c r="H95" s="12"/>
      <c r="I95" s="13"/>
      <c r="J95" s="11">
        <f t="shared" si="4"/>
        <v>0</v>
      </c>
      <c r="K95" s="11"/>
      <c r="L95" s="11"/>
      <c r="M95" s="11"/>
    </row>
    <row r="96" spans="1:13">
      <c r="A96" s="29">
        <v>43556</v>
      </c>
      <c r="B96" s="21" t="s">
        <v>318</v>
      </c>
      <c r="C96" s="24"/>
      <c r="D96" s="21" t="s">
        <v>41</v>
      </c>
      <c r="E96" s="21" t="s">
        <v>42</v>
      </c>
      <c r="F96" s="3" t="s">
        <v>165</v>
      </c>
      <c r="G96" s="11"/>
      <c r="H96" s="12"/>
      <c r="I96" s="13"/>
      <c r="J96" s="11">
        <f t="shared" si="4"/>
        <v>0</v>
      </c>
      <c r="K96" s="11"/>
      <c r="L96" s="11">
        <f>K96/0.05*0.25</f>
        <v>0</v>
      </c>
      <c r="M96" s="11">
        <f>L96-K96</f>
        <v>0</v>
      </c>
    </row>
    <row r="97" spans="1:14">
      <c r="A97" s="29">
        <v>43556</v>
      </c>
      <c r="B97" s="21" t="s">
        <v>318</v>
      </c>
      <c r="C97" s="24"/>
      <c r="D97" s="21" t="s">
        <v>41</v>
      </c>
      <c r="E97" s="21" t="s">
        <v>42</v>
      </c>
      <c r="F97" s="3" t="s">
        <v>218</v>
      </c>
      <c r="G97" s="11"/>
      <c r="H97" s="12"/>
      <c r="I97" s="13"/>
      <c r="J97" s="11">
        <f t="shared" si="4"/>
        <v>0</v>
      </c>
      <c r="K97" s="11"/>
      <c r="L97" s="11"/>
      <c r="M97" s="11"/>
    </row>
    <row r="98" spans="1:14">
      <c r="A98" s="29"/>
      <c r="C98" s="24"/>
      <c r="D98" s="21" t="s">
        <v>219</v>
      </c>
      <c r="E98" s="21" t="s">
        <v>177</v>
      </c>
      <c r="F98" s="3" t="s">
        <v>228</v>
      </c>
      <c r="G98" s="11"/>
      <c r="H98" s="12"/>
      <c r="I98" s="13"/>
      <c r="J98" s="11">
        <f t="shared" si="4"/>
        <v>0</v>
      </c>
      <c r="K98" s="11"/>
      <c r="L98" s="11"/>
      <c r="M98" s="11"/>
    </row>
    <row r="99" spans="1:14">
      <c r="A99" s="29">
        <v>43556</v>
      </c>
      <c r="B99" s="21" t="s">
        <v>318</v>
      </c>
      <c r="C99" s="24"/>
      <c r="D99" s="21" t="s">
        <v>175</v>
      </c>
      <c r="E99" s="21" t="s">
        <v>42</v>
      </c>
      <c r="F99" s="3" t="s">
        <v>165</v>
      </c>
      <c r="G99" s="11"/>
      <c r="H99" s="12"/>
      <c r="I99" s="13"/>
      <c r="J99" s="11">
        <f t="shared" si="4"/>
        <v>0</v>
      </c>
      <c r="K99" s="11">
        <f>(J99+J100+J95+J96+J97)*0.03*N2</f>
        <v>0</v>
      </c>
      <c r="L99" s="11">
        <f>K99/0.03*0.25</f>
        <v>0</v>
      </c>
      <c r="M99" s="11">
        <f>L99-K99</f>
        <v>0</v>
      </c>
    </row>
    <row r="100" spans="1:14">
      <c r="A100" s="29">
        <v>43556</v>
      </c>
      <c r="B100" s="21" t="s">
        <v>318</v>
      </c>
      <c r="C100" s="24"/>
      <c r="D100" s="21" t="s">
        <v>175</v>
      </c>
      <c r="E100" s="21" t="s">
        <v>42</v>
      </c>
      <c r="F100" s="3" t="s">
        <v>218</v>
      </c>
      <c r="G100" s="11"/>
      <c r="H100" s="12"/>
      <c r="I100" s="14"/>
      <c r="J100" s="11">
        <f t="shared" si="4"/>
        <v>0</v>
      </c>
      <c r="K100" s="11"/>
      <c r="L100" s="11"/>
      <c r="M100" s="11"/>
    </row>
    <row r="101" spans="1:14">
      <c r="A101" s="29"/>
      <c r="C101" s="24"/>
      <c r="D101" s="21" t="s">
        <v>171</v>
      </c>
      <c r="E101" s="21" t="s">
        <v>172</v>
      </c>
      <c r="F101" s="3" t="s">
        <v>173</v>
      </c>
      <c r="G101" s="11"/>
      <c r="H101" s="12"/>
      <c r="I101" s="13"/>
      <c r="J101" s="11">
        <f t="shared" si="4"/>
        <v>0</v>
      </c>
      <c r="K101" s="11"/>
      <c r="L101" s="11"/>
      <c r="M101" s="11"/>
    </row>
    <row r="102" spans="1:14">
      <c r="A102" s="29">
        <v>43556</v>
      </c>
      <c r="B102" s="21" t="s">
        <v>318</v>
      </c>
      <c r="C102" s="24"/>
      <c r="D102" s="21" t="s">
        <v>171</v>
      </c>
      <c r="E102" s="21" t="s">
        <v>172</v>
      </c>
      <c r="F102" s="3" t="s">
        <v>174</v>
      </c>
      <c r="G102" s="11"/>
      <c r="H102" s="12"/>
      <c r="I102" s="13"/>
      <c r="J102" s="11">
        <f t="shared" si="4"/>
        <v>0</v>
      </c>
      <c r="K102" s="11"/>
      <c r="L102" s="11"/>
      <c r="M102" s="11"/>
    </row>
    <row r="103" spans="1:14">
      <c r="A103" s="29">
        <v>43556</v>
      </c>
      <c r="B103" s="21" t="s">
        <v>318</v>
      </c>
      <c r="C103" s="24"/>
      <c r="D103" s="21" t="s">
        <v>171</v>
      </c>
      <c r="E103" s="21" t="s">
        <v>172</v>
      </c>
      <c r="F103" s="3" t="s">
        <v>217</v>
      </c>
      <c r="G103" s="11"/>
      <c r="H103" s="12"/>
      <c r="I103" s="14"/>
      <c r="J103" s="11">
        <f t="shared" si="4"/>
        <v>0</v>
      </c>
      <c r="K103" s="11"/>
      <c r="L103" s="11"/>
      <c r="M103" s="11"/>
    </row>
    <row r="104" spans="1:14">
      <c r="A104" s="29">
        <v>43556</v>
      </c>
      <c r="B104" s="21" t="s">
        <v>318</v>
      </c>
      <c r="C104" s="24"/>
      <c r="D104" s="21" t="s">
        <v>216</v>
      </c>
      <c r="E104" s="21" t="s">
        <v>172</v>
      </c>
      <c r="F104" s="3" t="s">
        <v>174</v>
      </c>
      <c r="G104" s="11"/>
      <c r="H104" s="12"/>
      <c r="I104" s="13"/>
      <c r="J104" s="11">
        <f t="shared" si="4"/>
        <v>0</v>
      </c>
      <c r="K104" s="11"/>
      <c r="L104" s="11"/>
      <c r="M104" s="11"/>
    </row>
    <row r="105" spans="1:14">
      <c r="A105" s="29">
        <v>43556</v>
      </c>
      <c r="B105" s="21" t="s">
        <v>318</v>
      </c>
      <c r="C105" s="24"/>
      <c r="D105" s="21" t="s">
        <v>216</v>
      </c>
      <c r="E105" s="21" t="s">
        <v>172</v>
      </c>
      <c r="F105" s="3" t="s">
        <v>217</v>
      </c>
      <c r="G105" s="11"/>
      <c r="H105" s="12"/>
      <c r="I105" s="13"/>
      <c r="J105" s="11">
        <f t="shared" si="4"/>
        <v>0</v>
      </c>
      <c r="K105" s="11"/>
      <c r="L105" s="11"/>
      <c r="M105" s="11"/>
    </row>
    <row r="106" spans="1:14">
      <c r="A106" s="29">
        <v>43556</v>
      </c>
      <c r="B106" s="21" t="s">
        <v>318</v>
      </c>
      <c r="C106" s="24"/>
      <c r="D106" s="21" t="s">
        <v>159</v>
      </c>
      <c r="E106" s="21" t="s">
        <v>160</v>
      </c>
      <c r="F106" s="3" t="s">
        <v>161</v>
      </c>
      <c r="G106" s="11"/>
      <c r="H106" s="12"/>
      <c r="I106" s="13"/>
      <c r="J106" s="11">
        <f t="shared" si="4"/>
        <v>0</v>
      </c>
      <c r="K106" s="11">
        <f>(J106)*0.04*N2</f>
        <v>0</v>
      </c>
      <c r="L106" s="11">
        <f>K106/0.04*0.25</f>
        <v>0</v>
      </c>
      <c r="M106" s="11">
        <f t="shared" ref="M106:M109" si="6">L106-K106</f>
        <v>0</v>
      </c>
    </row>
    <row r="107" spans="1:14">
      <c r="A107" s="29"/>
      <c r="C107" s="24" t="s">
        <v>66</v>
      </c>
      <c r="D107" s="21" t="s">
        <v>186</v>
      </c>
      <c r="E107" s="21" t="s">
        <v>183</v>
      </c>
      <c r="F107" s="3" t="s">
        <v>184</v>
      </c>
      <c r="G107" s="11"/>
      <c r="H107" s="12"/>
      <c r="I107" s="13"/>
      <c r="J107" s="11">
        <f t="shared" si="4"/>
        <v>0</v>
      </c>
      <c r="K107" s="11"/>
      <c r="L107" s="11"/>
      <c r="M107" s="11"/>
    </row>
    <row r="108" spans="1:14">
      <c r="A108" s="29">
        <v>43556</v>
      </c>
      <c r="B108" s="21" t="s">
        <v>318</v>
      </c>
      <c r="C108" s="24"/>
      <c r="D108" s="21" t="s">
        <v>186</v>
      </c>
      <c r="E108" s="21" t="s">
        <v>183</v>
      </c>
      <c r="F108" s="3" t="s">
        <v>185</v>
      </c>
      <c r="G108" s="11"/>
      <c r="H108" s="12"/>
      <c r="I108" s="14"/>
      <c r="J108" s="11">
        <f t="shared" si="4"/>
        <v>0</v>
      </c>
      <c r="K108" s="11">
        <f>(J108+J107)*0.05*N2</f>
        <v>0</v>
      </c>
      <c r="L108" s="11">
        <f t="shared" ref="L108:L112" si="7">K108/0.05*0.25</f>
        <v>0</v>
      </c>
      <c r="M108" s="11">
        <f t="shared" si="6"/>
        <v>0</v>
      </c>
      <c r="N108" s="21">
        <f>M108*0.05</f>
        <v>0</v>
      </c>
    </row>
    <row r="109" spans="1:14">
      <c r="A109" s="29">
        <v>43556</v>
      </c>
      <c r="B109" s="21" t="s">
        <v>318</v>
      </c>
      <c r="C109" s="24"/>
      <c r="D109" s="21" t="s">
        <v>182</v>
      </c>
      <c r="E109" s="21" t="s">
        <v>187</v>
      </c>
      <c r="F109" s="3" t="s">
        <v>188</v>
      </c>
      <c r="G109" s="11"/>
      <c r="H109" s="12"/>
      <c r="I109" s="14"/>
      <c r="J109" s="11">
        <f t="shared" si="4"/>
        <v>0</v>
      </c>
      <c r="K109" s="11">
        <f>(J109)*0.05*N2</f>
        <v>0</v>
      </c>
      <c r="L109" s="11">
        <f t="shared" si="7"/>
        <v>0</v>
      </c>
      <c r="M109" s="11">
        <f t="shared" si="6"/>
        <v>0</v>
      </c>
    </row>
    <row r="110" spans="1:14">
      <c r="A110" s="29">
        <v>43556</v>
      </c>
      <c r="B110" s="21" t="s">
        <v>318</v>
      </c>
      <c r="C110" s="24"/>
      <c r="D110" s="83" t="s">
        <v>240</v>
      </c>
      <c r="E110" s="21" t="s">
        <v>237</v>
      </c>
      <c r="F110" s="3" t="s">
        <v>239</v>
      </c>
      <c r="G110" s="11"/>
      <c r="H110" s="12"/>
      <c r="I110" s="13"/>
      <c r="J110" s="11">
        <f t="shared" si="4"/>
        <v>0</v>
      </c>
      <c r="K110" s="11"/>
      <c r="L110" s="11"/>
      <c r="M110" s="11"/>
    </row>
    <row r="111" spans="1:14">
      <c r="A111" s="29"/>
      <c r="C111" s="24"/>
      <c r="D111" s="21" t="s">
        <v>182</v>
      </c>
      <c r="E111" s="21" t="s">
        <v>237</v>
      </c>
      <c r="F111" s="3" t="s">
        <v>238</v>
      </c>
      <c r="G111" s="11"/>
      <c r="H111" s="12"/>
      <c r="I111" s="13"/>
      <c r="J111" s="11">
        <f t="shared" si="4"/>
        <v>0</v>
      </c>
      <c r="K111" s="11"/>
      <c r="L111" s="11"/>
      <c r="M111" s="11"/>
    </row>
    <row r="112" spans="1:14">
      <c r="A112" s="29">
        <v>43556</v>
      </c>
      <c r="B112" s="21" t="s">
        <v>318</v>
      </c>
      <c r="C112" s="24"/>
      <c r="D112" s="21" t="s">
        <v>182</v>
      </c>
      <c r="E112" s="21" t="s">
        <v>237</v>
      </c>
      <c r="F112" s="3" t="s">
        <v>239</v>
      </c>
      <c r="G112" s="11"/>
      <c r="H112" s="12"/>
      <c r="I112" s="14"/>
      <c r="J112" s="11">
        <f t="shared" si="4"/>
        <v>0</v>
      </c>
      <c r="K112" s="11">
        <f>(J112+J110+J111)*0.05*N2</f>
        <v>0</v>
      </c>
      <c r="L112" s="11">
        <f t="shared" si="7"/>
        <v>0</v>
      </c>
      <c r="M112" s="11">
        <f>L112-K112</f>
        <v>0</v>
      </c>
    </row>
    <row r="113" spans="1:13">
      <c r="A113" s="29"/>
      <c r="C113" s="24" t="s">
        <v>44</v>
      </c>
      <c r="D113" s="21" t="s">
        <v>191</v>
      </c>
      <c r="E113" s="21" t="s">
        <v>46</v>
      </c>
      <c r="F113" s="3" t="s">
        <v>47</v>
      </c>
      <c r="G113" s="11"/>
      <c r="H113" s="12"/>
      <c r="I113" s="13"/>
      <c r="J113" s="11">
        <f t="shared" si="4"/>
        <v>0</v>
      </c>
      <c r="K113" s="11"/>
      <c r="L113" s="11"/>
      <c r="M113" s="11"/>
    </row>
    <row r="114" spans="1:13">
      <c r="A114" s="29"/>
      <c r="C114" s="24"/>
      <c r="D114" s="21" t="s">
        <v>48</v>
      </c>
      <c r="E114" s="21" t="s">
        <v>46</v>
      </c>
      <c r="F114" s="3" t="s">
        <v>47</v>
      </c>
      <c r="G114" s="11"/>
      <c r="H114" s="12"/>
      <c r="I114" s="13"/>
      <c r="J114" s="11">
        <f t="shared" si="4"/>
        <v>0</v>
      </c>
      <c r="K114" s="11"/>
      <c r="L114" s="11"/>
      <c r="M114" s="11"/>
    </row>
    <row r="115" spans="1:13">
      <c r="A115" s="29">
        <v>43556</v>
      </c>
      <c r="B115" s="21" t="s">
        <v>318</v>
      </c>
      <c r="C115" s="24"/>
      <c r="D115" s="21" t="s">
        <v>234</v>
      </c>
      <c r="E115" s="21" t="s">
        <v>46</v>
      </c>
      <c r="F115" s="3" t="s">
        <v>47</v>
      </c>
      <c r="G115" s="11"/>
      <c r="H115" s="12"/>
      <c r="I115" s="13"/>
      <c r="J115" s="11">
        <f t="shared" si="4"/>
        <v>0</v>
      </c>
      <c r="K115" s="11">
        <f>(J115+J114+J113)*0.25*N2</f>
        <v>0</v>
      </c>
      <c r="L115" s="11">
        <f>K115/0.03*0.25</f>
        <v>0</v>
      </c>
      <c r="M115" s="11">
        <f>L115-K115</f>
        <v>0</v>
      </c>
    </row>
    <row r="116" spans="1:13">
      <c r="A116" s="21">
        <v>42795</v>
      </c>
      <c r="C116" s="24" t="s">
        <v>49</v>
      </c>
      <c r="D116" s="24"/>
      <c r="E116" s="21" t="s">
        <v>50</v>
      </c>
      <c r="F116" s="3" t="s">
        <v>50</v>
      </c>
      <c r="G116" s="11"/>
      <c r="H116" s="12"/>
      <c r="I116" s="14"/>
      <c r="J116" s="11">
        <f t="shared" ref="J116:J121" si="8">(G116*H116*0.98)-I116</f>
        <v>0</v>
      </c>
      <c r="K116" s="11">
        <f>(J3+J4+J5+J6+J7+J8+J9+J12+J13+J14+J15+J16+J17+J26+J27+J31+J34+J37+J38+J39+J40+J41+J42+J43+J44+J45+J46+J47+J48+J49+J50+J51+J52+J55+J56+J57+J58+J59+J60+J61+J62+J63+J64+J65+J66+J67+J68+J69+J70+J71+J72+J73+J74+J76+J77+J78+J79+J80+J81+J82+J83+J84+J85+J86+J87+J88+J89+J90+J91+J92+J93+J94+J95+J96+J97+J98+J99+J100+J101+J102+J103+J104+J105+J106+J107+J108+J109+J110+J111+J112)*0.01*N2+(J10+J11+J18+J19+J20+J21+J22+J23+J24+J25+J28+J29+J30+J32+J33+J35+J36)*0.07*N2+(J75)*0.04*N2+(J53+J54)*0.08*N2</f>
        <v>0</v>
      </c>
      <c r="L116" s="11"/>
      <c r="M116" s="11"/>
    </row>
    <row r="117" spans="1:13">
      <c r="A117" s="21">
        <v>42795</v>
      </c>
      <c r="C117" s="24"/>
      <c r="D117" s="24"/>
      <c r="E117" s="21" t="s">
        <v>51</v>
      </c>
      <c r="F117" s="3" t="s">
        <v>51</v>
      </c>
      <c r="G117" s="11"/>
      <c r="H117" s="12"/>
      <c r="I117" s="14"/>
      <c r="J117" s="11">
        <f t="shared" si="8"/>
        <v>0</v>
      </c>
      <c r="K117" s="11">
        <f>(J5+J6+J12+J26+J27)*0.06*N2+(J61+J62)*0.03*N2+(J51+J52+J57+J58+J79+J80+J82+J83+J84)*0.07*N2</f>
        <v>0</v>
      </c>
      <c r="L117" s="11"/>
      <c r="M117" s="11"/>
    </row>
    <row r="118" spans="1:13">
      <c r="A118" s="21">
        <v>42795</v>
      </c>
      <c r="C118" s="24"/>
      <c r="D118" s="24"/>
      <c r="E118" s="21" t="s">
        <v>52</v>
      </c>
      <c r="F118" s="3" t="s">
        <v>52</v>
      </c>
      <c r="G118" s="11"/>
      <c r="H118" s="12"/>
      <c r="I118" s="14"/>
      <c r="J118" s="11">
        <f t="shared" si="8"/>
        <v>0</v>
      </c>
      <c r="K118" s="11">
        <f>(J3+J4+J7+J8+J9+J14+J15)*0.06*N2+(J38+J39+J55+J56+J78+J85+J86+J87+J88+J89+J93+J94)*0.07*N2+(J107+J108)*0.03*N2</f>
        <v>0</v>
      </c>
      <c r="L118" s="11"/>
      <c r="M118" s="11"/>
    </row>
    <row r="119" spans="1:13">
      <c r="A119" s="21">
        <v>42795</v>
      </c>
      <c r="C119" s="24"/>
      <c r="D119" s="24"/>
      <c r="E119" s="21" t="s">
        <v>56</v>
      </c>
      <c r="F119" s="3" t="s">
        <v>56</v>
      </c>
      <c r="G119" s="11"/>
      <c r="H119" s="12"/>
      <c r="I119" s="14"/>
      <c r="J119" s="11">
        <f t="shared" si="8"/>
        <v>0</v>
      </c>
      <c r="K119" s="11">
        <f>(J31)*0.06*N2+(J59+J60+J64+J68+J69)*0.03*N2+(J95+J96+J97+J104+J105)*0.07*N2</f>
        <v>0</v>
      </c>
      <c r="L119" s="11"/>
      <c r="M119" s="11"/>
    </row>
    <row r="120" spans="1:13">
      <c r="A120" s="21">
        <v>42795</v>
      </c>
      <c r="C120" s="24"/>
      <c r="D120" s="24"/>
      <c r="E120" s="21" t="s">
        <v>192</v>
      </c>
      <c r="F120" s="3" t="s">
        <v>192</v>
      </c>
      <c r="G120" s="11"/>
      <c r="H120" s="12"/>
      <c r="I120" s="14"/>
      <c r="J120" s="11">
        <f t="shared" si="8"/>
        <v>0</v>
      </c>
      <c r="K120" s="11">
        <f>(J16+J17+J37)*0.06*N2</f>
        <v>0</v>
      </c>
      <c r="L120" s="11"/>
      <c r="M120" s="11"/>
    </row>
    <row r="121" spans="1:13">
      <c r="C121" s="24"/>
      <c r="D121" s="24"/>
      <c r="E121" s="21" t="s">
        <v>55</v>
      </c>
      <c r="F121" s="3" t="s">
        <v>55</v>
      </c>
      <c r="G121" s="11"/>
      <c r="H121" s="12"/>
      <c r="I121" s="14"/>
      <c r="J121" s="11">
        <f t="shared" si="8"/>
        <v>0</v>
      </c>
      <c r="K121" s="11">
        <f>(0)*0.06*N2+(J40+J41+J44+J45+J81+J99+J100+J101+J102+J103)*0.07*N2+(J67+J109+J110+J111+J112)*0.03*N2</f>
        <v>0</v>
      </c>
      <c r="L121" s="11"/>
      <c r="M121" s="11"/>
    </row>
    <row r="122" spans="1:13">
      <c r="C122" s="24"/>
      <c r="D122" s="24"/>
      <c r="E122" s="21" t="s">
        <v>53</v>
      </c>
      <c r="F122" s="3" t="s">
        <v>53</v>
      </c>
      <c r="G122" s="11"/>
      <c r="H122" s="12"/>
      <c r="I122" s="14"/>
      <c r="J122" s="11">
        <v>0</v>
      </c>
      <c r="K122" s="11">
        <f>(J34)*0.06*N2+(J42+J43+J46+J47+J98+J106)*0.07*N2+(J63+J65+J66+J70+J73+J74)*0.03*N2</f>
        <v>0</v>
      </c>
      <c r="L122" s="11"/>
      <c r="M122" s="11"/>
    </row>
    <row r="123" spans="1:13">
      <c r="E123" s="21" t="s">
        <v>54</v>
      </c>
      <c r="F123" s="3" t="s">
        <v>54</v>
      </c>
      <c r="G123" s="11"/>
      <c r="H123" s="12"/>
      <c r="I123" s="14"/>
      <c r="J123" s="11">
        <v>0</v>
      </c>
      <c r="K123" s="11">
        <f>(J13)*0.06*N2+(J49+J50+J76+J77+J90+J91+J92)*0.07*N2+(J71+J72)*0.03*N2</f>
        <v>0</v>
      </c>
      <c r="L123" s="11"/>
      <c r="M123" s="11"/>
    </row>
    <row r="124" spans="1:13">
      <c r="A124" s="21">
        <v>42795</v>
      </c>
      <c r="F124" s="4" t="s">
        <v>57</v>
      </c>
      <c r="G124" s="15">
        <f>SUM(G3:G119)</f>
        <v>0</v>
      </c>
      <c r="H124" s="16"/>
      <c r="I124" s="17">
        <f>SUM(I3:I117)</f>
        <v>0</v>
      </c>
      <c r="J124" s="15">
        <f>SUM(J3:J122)</f>
        <v>0</v>
      </c>
      <c r="K124" s="15">
        <f>J124*N2</f>
        <v>0</v>
      </c>
      <c r="L124" s="11"/>
      <c r="M124" s="11"/>
    </row>
    <row r="125" spans="1:13">
      <c r="F125" s="4" t="s">
        <v>58</v>
      </c>
      <c r="G125" s="15"/>
      <c r="H125" s="16"/>
      <c r="I125" s="17"/>
      <c r="J125" s="15"/>
      <c r="K125" s="15">
        <f>K124*0.4</f>
        <v>0</v>
      </c>
      <c r="L125" s="11"/>
      <c r="M125" s="11"/>
    </row>
    <row r="126" spans="1:13">
      <c r="F126" s="4" t="s">
        <v>59</v>
      </c>
      <c r="G126" s="15"/>
      <c r="H126" s="16"/>
      <c r="I126" s="17"/>
      <c r="J126" s="15"/>
      <c r="K126" s="15">
        <f>K124*0.6</f>
        <v>0</v>
      </c>
      <c r="L126" s="11"/>
      <c r="M126" s="11"/>
    </row>
    <row r="127" spans="1:13">
      <c r="F127" s="3"/>
      <c r="G127" s="11"/>
      <c r="H127" s="12"/>
      <c r="I127" s="14"/>
      <c r="J127" s="11"/>
      <c r="K127" s="11"/>
      <c r="L127" s="11"/>
      <c r="M127" s="11"/>
    </row>
    <row r="128" spans="1:13">
      <c r="A128" s="21">
        <v>42795</v>
      </c>
      <c r="C128" s="21" t="s">
        <v>319</v>
      </c>
      <c r="E128" s="21" t="s">
        <v>61</v>
      </c>
      <c r="F128" s="3"/>
      <c r="G128" s="11"/>
      <c r="H128" s="12"/>
      <c r="I128" s="14"/>
      <c r="J128" s="11"/>
      <c r="K128" s="11">
        <f>(J3+J4+J6+J5)*0.05*N2+M31+M19+M17+M12+M7+M26+M33+M14+M28+M24</f>
        <v>0</v>
      </c>
      <c r="L128" s="11"/>
      <c r="M128" s="11"/>
    </row>
    <row r="129" spans="1:13">
      <c r="A129" s="21">
        <v>42795</v>
      </c>
      <c r="C129" s="21" t="s">
        <v>320</v>
      </c>
      <c r="E129" s="21" t="s">
        <v>61</v>
      </c>
      <c r="F129" s="3"/>
      <c r="G129" s="11"/>
      <c r="H129" s="12"/>
      <c r="I129" s="14"/>
      <c r="J129" s="11"/>
      <c r="K129" s="11">
        <f>M76+M96+M91+M84+M86+M106+M82+M77+M99+M79</f>
        <v>0</v>
      </c>
      <c r="L129" s="11"/>
      <c r="M129" s="11"/>
    </row>
    <row r="130" spans="1:13">
      <c r="A130" s="21">
        <v>42795</v>
      </c>
      <c r="C130" s="21" t="s">
        <v>321</v>
      </c>
      <c r="E130" s="21" t="s">
        <v>64</v>
      </c>
      <c r="F130" s="3"/>
      <c r="G130" s="11"/>
      <c r="H130" s="12"/>
      <c r="I130" s="14"/>
      <c r="J130" s="11"/>
      <c r="K130" s="11">
        <f>(J53+J54+J55+J56+J42+J43+J46+J48)*0.05*N2+M42+M38+M57</f>
        <v>0</v>
      </c>
      <c r="L130" s="11"/>
      <c r="M130" s="11"/>
    </row>
    <row r="131" spans="1:13">
      <c r="A131" s="21">
        <v>42795</v>
      </c>
      <c r="C131" s="21" t="s">
        <v>322</v>
      </c>
      <c r="E131" s="21" t="s">
        <v>61</v>
      </c>
      <c r="F131" s="3"/>
      <c r="G131" s="11"/>
      <c r="H131" s="12"/>
      <c r="I131" s="14"/>
      <c r="J131" s="11"/>
      <c r="K131" s="11">
        <f>M61+M70+M65+M64+M71</f>
        <v>0</v>
      </c>
      <c r="L131" s="11"/>
      <c r="M131" s="11"/>
    </row>
    <row r="132" spans="1:13">
      <c r="C132" s="21" t="s">
        <v>66</v>
      </c>
      <c r="E132" s="21" t="s">
        <v>61</v>
      </c>
      <c r="F132" s="3"/>
      <c r="G132" s="11"/>
      <c r="H132" s="12"/>
      <c r="I132" s="14"/>
      <c r="J132" s="11"/>
      <c r="K132" s="11">
        <f>M108+M109+M112-N108</f>
        <v>0</v>
      </c>
      <c r="L132" s="11"/>
      <c r="M132" s="11"/>
    </row>
    <row r="133" spans="1:13">
      <c r="A133" s="21">
        <v>42795</v>
      </c>
      <c r="C133" s="21" t="s">
        <v>67</v>
      </c>
      <c r="F133" s="3"/>
      <c r="G133" s="11"/>
      <c r="H133" s="12"/>
      <c r="I133" s="14"/>
      <c r="J133" s="11"/>
      <c r="K133" s="11">
        <v>0</v>
      </c>
      <c r="L133" s="11"/>
      <c r="M133" s="11"/>
    </row>
    <row r="134" spans="1:13">
      <c r="A134" s="21">
        <v>42795</v>
      </c>
      <c r="C134" s="21" t="s">
        <v>68</v>
      </c>
      <c r="E134" s="21" t="s">
        <v>61</v>
      </c>
      <c r="F134" s="3"/>
      <c r="G134" s="11"/>
      <c r="H134" s="12"/>
      <c r="I134" s="14"/>
      <c r="J134" s="11"/>
      <c r="K134" s="11">
        <f>J124*0.07*N2</f>
        <v>0</v>
      </c>
      <c r="L134" s="11"/>
      <c r="M134" s="11"/>
    </row>
    <row r="135" spans="1:13">
      <c r="K135" s="5">
        <f>K128+K129+K130</f>
        <v>0</v>
      </c>
    </row>
    <row r="136" spans="1:13">
      <c r="K136" s="15">
        <f>K128+K129+K130+K131+K132</f>
        <v>0</v>
      </c>
    </row>
  </sheetData>
  <mergeCells count="7">
    <mergeCell ref="C116:D122"/>
    <mergeCell ref="C3:C37"/>
    <mergeCell ref="C38:C58"/>
    <mergeCell ref="C59:C75"/>
    <mergeCell ref="C76:C106"/>
    <mergeCell ref="C107:C112"/>
    <mergeCell ref="C113:C115"/>
  </mergeCells>
  <phoneticPr fontId="1" type="noConversion"/>
  <conditionalFormatting sqref="E119">
    <cfRule type="containsText" dxfId="9" priority="2" operator="containsText" text="方泽斯">
      <formula>NOT(ISERROR(SEARCH("方泽斯",E119)))</formula>
    </cfRule>
  </conditionalFormatting>
  <conditionalFormatting sqref="E130">
    <cfRule type="containsText" dxfId="8" priority="1" operator="containsText" text="方泽斯">
      <formula>NOT(ISERROR(SEARCH("方泽斯",E130)))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"/>
  <sheetViews>
    <sheetView workbookViewId="0">
      <selection activeCell="H24" sqref="H24"/>
    </sheetView>
  </sheetViews>
  <sheetFormatPr defaultRowHeight="13.5"/>
  <sheetData>
    <row r="1" spans="1:14">
      <c r="A1" s="21"/>
      <c r="B1" s="21"/>
      <c r="C1" s="21" t="s">
        <v>323</v>
      </c>
      <c r="D1" s="21"/>
      <c r="E1" s="21"/>
      <c r="F1" s="21"/>
      <c r="G1" s="5"/>
      <c r="H1" s="6"/>
      <c r="I1" s="7"/>
      <c r="J1" s="5"/>
      <c r="K1" s="5"/>
      <c r="L1" s="5"/>
      <c r="M1" s="5"/>
      <c r="N1" s="21"/>
    </row>
    <row r="2" spans="1:14" ht="14.25">
      <c r="A2" s="27"/>
      <c r="B2" s="27"/>
      <c r="C2" s="1" t="s">
        <v>1</v>
      </c>
      <c r="D2" s="1" t="s">
        <v>2</v>
      </c>
      <c r="E2" s="1"/>
      <c r="F2" s="2" t="s">
        <v>3</v>
      </c>
      <c r="G2" s="8" t="s">
        <v>69</v>
      </c>
      <c r="H2" s="9" t="s">
        <v>70</v>
      </c>
      <c r="I2" s="10" t="s">
        <v>71</v>
      </c>
      <c r="J2" s="10" t="s">
        <v>72</v>
      </c>
      <c r="K2" s="18" t="s">
        <v>73</v>
      </c>
      <c r="L2" s="19"/>
      <c r="M2" s="20" t="s">
        <v>74</v>
      </c>
      <c r="N2" s="28">
        <v>7.01</v>
      </c>
    </row>
    <row r="3" spans="1:14">
      <c r="A3" s="29">
        <v>43556</v>
      </c>
      <c r="B3" s="21" t="s">
        <v>323</v>
      </c>
      <c r="C3" s="24" t="s">
        <v>4</v>
      </c>
      <c r="D3" s="21" t="s">
        <v>8</v>
      </c>
      <c r="E3" s="21" t="s">
        <v>9</v>
      </c>
      <c r="F3" s="3" t="s">
        <v>10</v>
      </c>
      <c r="G3" s="11"/>
      <c r="H3" s="12"/>
      <c r="I3" s="13"/>
      <c r="J3" s="11">
        <f t="shared" ref="J3:J66" si="0">G3*H3*1-I3</f>
        <v>0</v>
      </c>
      <c r="K3" s="11">
        <f>(J3+J5+J4)*0.05*N2</f>
        <v>0</v>
      </c>
      <c r="L3" s="11">
        <f>K3/0.05*0.25</f>
        <v>0</v>
      </c>
      <c r="M3" s="11">
        <f>L3-K3</f>
        <v>0</v>
      </c>
      <c r="N3" s="21"/>
    </row>
    <row r="4" spans="1:14">
      <c r="A4" s="29">
        <v>43556</v>
      </c>
      <c r="B4" s="21" t="s">
        <v>323</v>
      </c>
      <c r="C4" s="24"/>
      <c r="D4" s="21" t="s">
        <v>8</v>
      </c>
      <c r="E4" s="21" t="s">
        <v>9</v>
      </c>
      <c r="F4" s="3" t="s">
        <v>86</v>
      </c>
      <c r="G4" s="11"/>
      <c r="H4" s="12"/>
      <c r="I4" s="14"/>
      <c r="J4" s="11">
        <f t="shared" si="0"/>
        <v>0</v>
      </c>
      <c r="K4" s="11"/>
      <c r="L4" s="11"/>
      <c r="M4" s="11"/>
      <c r="N4" s="21"/>
    </row>
    <row r="5" spans="1:14">
      <c r="A5" s="29">
        <v>43556</v>
      </c>
      <c r="B5" s="21" t="s">
        <v>323</v>
      </c>
      <c r="C5" s="24"/>
      <c r="D5" s="21" t="s">
        <v>88</v>
      </c>
      <c r="E5" s="21" t="s">
        <v>9</v>
      </c>
      <c r="F5" s="3" t="s">
        <v>10</v>
      </c>
      <c r="G5" s="11"/>
      <c r="H5" s="12"/>
      <c r="I5" s="13"/>
      <c r="J5" s="11">
        <f t="shared" si="0"/>
        <v>0</v>
      </c>
      <c r="K5" s="11"/>
      <c r="L5" s="11"/>
      <c r="M5" s="11"/>
      <c r="N5" s="21"/>
    </row>
    <row r="6" spans="1:14">
      <c r="A6" s="29">
        <v>43556</v>
      </c>
      <c r="B6" s="21" t="s">
        <v>323</v>
      </c>
      <c r="C6" s="24"/>
      <c r="D6" s="21" t="s">
        <v>89</v>
      </c>
      <c r="E6" s="21" t="s">
        <v>90</v>
      </c>
      <c r="F6" s="3" t="s">
        <v>91</v>
      </c>
      <c r="G6" s="11"/>
      <c r="H6" s="12"/>
      <c r="I6" s="13"/>
      <c r="J6" s="11">
        <f t="shared" si="0"/>
        <v>0</v>
      </c>
      <c r="K6" s="11">
        <f>(J6+J7)*0.2*N2</f>
        <v>0</v>
      </c>
      <c r="L6" s="11"/>
      <c r="M6" s="11"/>
      <c r="N6" s="21"/>
    </row>
    <row r="7" spans="1:14">
      <c r="A7" s="29">
        <v>43556</v>
      </c>
      <c r="B7" s="21" t="s">
        <v>323</v>
      </c>
      <c r="C7" s="24"/>
      <c r="D7" s="21" t="s">
        <v>94</v>
      </c>
      <c r="E7" s="21" t="s">
        <v>90</v>
      </c>
      <c r="F7" s="3" t="s">
        <v>91</v>
      </c>
      <c r="G7" s="11"/>
      <c r="H7" s="12"/>
      <c r="I7" s="13"/>
      <c r="J7" s="11">
        <f t="shared" si="0"/>
        <v>0</v>
      </c>
      <c r="K7" s="11"/>
      <c r="L7" s="11"/>
      <c r="M7" s="11"/>
      <c r="N7" s="21"/>
    </row>
    <row r="8" spans="1:14">
      <c r="A8" s="29"/>
      <c r="B8" s="21"/>
      <c r="C8" s="24"/>
      <c r="D8" s="21" t="s">
        <v>5</v>
      </c>
      <c r="E8" s="21" t="s">
        <v>99</v>
      </c>
      <c r="F8" s="3" t="s">
        <v>100</v>
      </c>
      <c r="G8" s="11"/>
      <c r="H8" s="12"/>
      <c r="I8" s="13"/>
      <c r="J8" s="11">
        <f t="shared" si="0"/>
        <v>0</v>
      </c>
      <c r="K8" s="11"/>
      <c r="L8" s="11"/>
      <c r="M8" s="11"/>
      <c r="N8" s="21"/>
    </row>
    <row r="9" spans="1:14">
      <c r="A9" s="29"/>
      <c r="B9" s="21"/>
      <c r="C9" s="24"/>
      <c r="D9" s="21" t="s">
        <v>5</v>
      </c>
      <c r="E9" s="21" t="s">
        <v>99</v>
      </c>
      <c r="F9" s="3" t="s">
        <v>251</v>
      </c>
      <c r="G9" s="11"/>
      <c r="H9" s="12"/>
      <c r="I9" s="13"/>
      <c r="J9" s="11">
        <f t="shared" si="0"/>
        <v>0</v>
      </c>
      <c r="K9" s="11"/>
      <c r="L9" s="11"/>
      <c r="M9" s="11"/>
      <c r="N9" s="21"/>
    </row>
    <row r="10" spans="1:14">
      <c r="A10" s="29">
        <v>43556</v>
      </c>
      <c r="B10" s="21" t="s">
        <v>323</v>
      </c>
      <c r="C10" s="24"/>
      <c r="D10" s="21" t="s">
        <v>252</v>
      </c>
      <c r="E10" s="21" t="s">
        <v>99</v>
      </c>
      <c r="F10" s="3" t="s">
        <v>100</v>
      </c>
      <c r="G10" s="11"/>
      <c r="H10" s="12"/>
      <c r="I10" s="13"/>
      <c r="J10" s="11">
        <f t="shared" si="0"/>
        <v>0</v>
      </c>
      <c r="K10" s="11">
        <f>(J10+J9+J8)*0.05*N2</f>
        <v>0</v>
      </c>
      <c r="L10" s="11">
        <f t="shared" ref="L10:L13" si="1">K10/0.05*0.25</f>
        <v>0</v>
      </c>
      <c r="M10" s="11">
        <f t="shared" ref="M10:M13" si="2">L10-K10</f>
        <v>0</v>
      </c>
      <c r="N10" s="21"/>
    </row>
    <row r="11" spans="1:14">
      <c r="A11" s="29">
        <v>43556</v>
      </c>
      <c r="B11" s="21" t="s">
        <v>323</v>
      </c>
      <c r="C11" s="24"/>
      <c r="D11" s="21" t="s">
        <v>119</v>
      </c>
      <c r="E11" s="21" t="s">
        <v>77</v>
      </c>
      <c r="F11" s="3" t="s">
        <v>78</v>
      </c>
      <c r="G11" s="11"/>
      <c r="H11" s="12"/>
      <c r="I11" s="13"/>
      <c r="J11" s="11">
        <f t="shared" si="0"/>
        <v>0</v>
      </c>
      <c r="K11" s="11">
        <f>(J11+J12)*0.05*N2</f>
        <v>0</v>
      </c>
      <c r="L11" s="11">
        <f t="shared" si="1"/>
        <v>0</v>
      </c>
      <c r="M11" s="11">
        <f t="shared" si="2"/>
        <v>0</v>
      </c>
      <c r="N11" s="21"/>
    </row>
    <row r="12" spans="1:14">
      <c r="A12" s="29">
        <v>43556</v>
      </c>
      <c r="B12" s="21" t="s">
        <v>323</v>
      </c>
      <c r="C12" s="24"/>
      <c r="D12" s="21" t="s">
        <v>118</v>
      </c>
      <c r="E12" s="21" t="s">
        <v>77</v>
      </c>
      <c r="F12" s="3" t="s">
        <v>78</v>
      </c>
      <c r="G12" s="11"/>
      <c r="H12" s="12"/>
      <c r="I12" s="13"/>
      <c r="J12" s="11">
        <f t="shared" si="0"/>
        <v>0</v>
      </c>
      <c r="K12" s="11"/>
      <c r="L12" s="11"/>
      <c r="M12" s="11"/>
      <c r="N12" s="21"/>
    </row>
    <row r="13" spans="1:14">
      <c r="A13" s="29">
        <v>43556</v>
      </c>
      <c r="B13" s="21" t="s">
        <v>323</v>
      </c>
      <c r="C13" s="24"/>
      <c r="D13" s="21" t="s">
        <v>111</v>
      </c>
      <c r="E13" s="21" t="s">
        <v>108</v>
      </c>
      <c r="F13" s="3" t="s">
        <v>109</v>
      </c>
      <c r="G13" s="11"/>
      <c r="H13" s="12"/>
      <c r="I13" s="13"/>
      <c r="J13" s="11">
        <f t="shared" si="0"/>
        <v>0</v>
      </c>
      <c r="K13" s="11">
        <f>(J13+J14)*0.05*N2</f>
        <v>0</v>
      </c>
      <c r="L13" s="11">
        <f t="shared" si="1"/>
        <v>0</v>
      </c>
      <c r="M13" s="11">
        <f t="shared" si="2"/>
        <v>0</v>
      </c>
      <c r="N13" s="21"/>
    </row>
    <row r="14" spans="1:14">
      <c r="A14" s="29">
        <v>43556</v>
      </c>
      <c r="B14" s="21" t="s">
        <v>323</v>
      </c>
      <c r="C14" s="24"/>
      <c r="D14" s="21" t="s">
        <v>107</v>
      </c>
      <c r="E14" s="21" t="s">
        <v>108</v>
      </c>
      <c r="F14" s="3" t="s">
        <v>109</v>
      </c>
      <c r="G14" s="11"/>
      <c r="H14" s="12"/>
      <c r="I14" s="13"/>
      <c r="J14" s="11">
        <f t="shared" si="0"/>
        <v>0</v>
      </c>
      <c r="K14" s="11"/>
      <c r="L14" s="11"/>
      <c r="M14" s="11"/>
      <c r="N14" s="21"/>
    </row>
    <row r="15" spans="1:14">
      <c r="A15" s="29">
        <v>43556</v>
      </c>
      <c r="B15" s="21" t="s">
        <v>323</v>
      </c>
      <c r="C15" s="24"/>
      <c r="D15" s="21" t="s">
        <v>117</v>
      </c>
      <c r="E15" s="21" t="s">
        <v>82</v>
      </c>
      <c r="F15" s="3" t="s">
        <v>83</v>
      </c>
      <c r="G15" s="11"/>
      <c r="H15" s="12"/>
      <c r="I15" s="13"/>
      <c r="J15" s="11">
        <f t="shared" si="0"/>
        <v>0</v>
      </c>
      <c r="K15" s="11">
        <f>(J15+J16)*0.05*N2</f>
        <v>0</v>
      </c>
      <c r="L15" s="11">
        <f>K15/0.05*0.25</f>
        <v>0</v>
      </c>
      <c r="M15" s="11">
        <f>L15-K15</f>
        <v>0</v>
      </c>
      <c r="N15" s="21"/>
    </row>
    <row r="16" spans="1:14">
      <c r="A16" s="29"/>
      <c r="B16" s="21"/>
      <c r="C16" s="24"/>
      <c r="D16" s="21" t="s">
        <v>81</v>
      </c>
      <c r="E16" s="21" t="s">
        <v>82</v>
      </c>
      <c r="F16" s="3" t="s">
        <v>83</v>
      </c>
      <c r="G16" s="11"/>
      <c r="H16" s="12"/>
      <c r="I16" s="13"/>
      <c r="J16" s="11">
        <f t="shared" si="0"/>
        <v>0</v>
      </c>
      <c r="K16" s="11"/>
      <c r="L16" s="11"/>
      <c r="M16" s="11"/>
      <c r="N16" s="21"/>
    </row>
    <row r="17" spans="1:14">
      <c r="A17" s="29">
        <v>43556</v>
      </c>
      <c r="B17" s="21" t="s">
        <v>323</v>
      </c>
      <c r="C17" s="24"/>
      <c r="D17" s="21" t="s">
        <v>127</v>
      </c>
      <c r="E17" s="21" t="s">
        <v>124</v>
      </c>
      <c r="F17" s="3" t="s">
        <v>128</v>
      </c>
      <c r="G17" s="11"/>
      <c r="H17" s="12"/>
      <c r="I17" s="13"/>
      <c r="J17" s="11">
        <f t="shared" si="0"/>
        <v>0</v>
      </c>
      <c r="K17" s="11">
        <f>(J17+J18)*0.04*N2</f>
        <v>0</v>
      </c>
      <c r="L17" s="11">
        <f>K17/0.04*0.25</f>
        <v>0</v>
      </c>
      <c r="M17" s="11">
        <f>L17-K17</f>
        <v>0</v>
      </c>
      <c r="N17" s="21"/>
    </row>
    <row r="18" spans="1:14">
      <c r="A18" s="29">
        <v>43556</v>
      </c>
      <c r="B18" s="21" t="s">
        <v>323</v>
      </c>
      <c r="C18" s="24"/>
      <c r="D18" s="21" t="s">
        <v>129</v>
      </c>
      <c r="E18" s="21" t="s">
        <v>124</v>
      </c>
      <c r="F18" s="3" t="s">
        <v>128</v>
      </c>
      <c r="G18" s="11"/>
      <c r="H18" s="12"/>
      <c r="I18" s="13"/>
      <c r="J18" s="11">
        <f t="shared" si="0"/>
        <v>0</v>
      </c>
      <c r="K18" s="11"/>
      <c r="L18" s="11"/>
      <c r="M18" s="11"/>
      <c r="N18" s="21"/>
    </row>
    <row r="19" spans="1:14">
      <c r="A19" s="29">
        <v>43556</v>
      </c>
      <c r="B19" s="21" t="s">
        <v>323</v>
      </c>
      <c r="C19" s="24" t="s">
        <v>11</v>
      </c>
      <c r="D19" s="21" t="s">
        <v>268</v>
      </c>
      <c r="E19" s="21" t="s">
        <v>261</v>
      </c>
      <c r="F19" s="3" t="s">
        <v>262</v>
      </c>
      <c r="G19" s="11"/>
      <c r="H19" s="12"/>
      <c r="I19" s="13"/>
      <c r="J19" s="11">
        <f t="shared" si="0"/>
        <v>0</v>
      </c>
      <c r="K19" s="11"/>
      <c r="L19" s="11"/>
      <c r="M19" s="11"/>
      <c r="N19" s="21"/>
    </row>
    <row r="20" spans="1:14">
      <c r="A20" s="29">
        <v>43556</v>
      </c>
      <c r="B20" s="21" t="s">
        <v>323</v>
      </c>
      <c r="C20" s="24"/>
      <c r="D20" s="21" t="s">
        <v>156</v>
      </c>
      <c r="E20" s="21" t="s">
        <v>46</v>
      </c>
      <c r="F20" s="3" t="s">
        <v>47</v>
      </c>
      <c r="G20" s="11"/>
      <c r="H20" s="12"/>
      <c r="I20" s="13"/>
      <c r="J20" s="11">
        <f t="shared" si="0"/>
        <v>0</v>
      </c>
      <c r="K20" s="11">
        <f>(J20+J21+J26+J27)*0.2*N2</f>
        <v>0</v>
      </c>
      <c r="L20" s="11"/>
      <c r="M20" s="11"/>
      <c r="N20" s="21"/>
    </row>
    <row r="21" spans="1:14">
      <c r="A21" s="29">
        <v>43556</v>
      </c>
      <c r="B21" s="21" t="s">
        <v>323</v>
      </c>
      <c r="C21" s="24"/>
      <c r="D21" s="21" t="s">
        <v>156</v>
      </c>
      <c r="E21" s="21" t="s">
        <v>46</v>
      </c>
      <c r="F21" s="3" t="s">
        <v>157</v>
      </c>
      <c r="G21" s="11"/>
      <c r="H21" s="12"/>
      <c r="I21" s="13"/>
      <c r="J21" s="11">
        <f t="shared" si="0"/>
        <v>0</v>
      </c>
      <c r="K21" s="11"/>
      <c r="L21" s="11"/>
      <c r="M21" s="11"/>
      <c r="N21" s="21"/>
    </row>
    <row r="22" spans="1:14">
      <c r="A22" s="29">
        <v>43556</v>
      </c>
      <c r="B22" s="21" t="s">
        <v>323</v>
      </c>
      <c r="C22" s="24"/>
      <c r="D22" s="21" t="s">
        <v>265</v>
      </c>
      <c r="E22" s="21" t="s">
        <v>148</v>
      </c>
      <c r="F22" s="3" t="s">
        <v>149</v>
      </c>
      <c r="G22" s="11"/>
      <c r="H22" s="12"/>
      <c r="I22" s="13"/>
      <c r="J22" s="11">
        <f t="shared" si="0"/>
        <v>0</v>
      </c>
      <c r="K22" s="11"/>
      <c r="L22" s="11"/>
      <c r="M22" s="11"/>
      <c r="N22" s="21"/>
    </row>
    <row r="23" spans="1:14">
      <c r="A23" s="29">
        <v>43556</v>
      </c>
      <c r="B23" s="21" t="s">
        <v>323</v>
      </c>
      <c r="C23" s="24"/>
      <c r="D23" s="21" t="s">
        <v>265</v>
      </c>
      <c r="E23" s="21" t="s">
        <v>148</v>
      </c>
      <c r="F23" s="3" t="s">
        <v>324</v>
      </c>
      <c r="G23" s="11"/>
      <c r="H23" s="12"/>
      <c r="I23" s="13"/>
      <c r="J23" s="11">
        <f t="shared" si="0"/>
        <v>0</v>
      </c>
      <c r="K23" s="11"/>
      <c r="L23" s="11"/>
      <c r="M23" s="11"/>
      <c r="N23" s="21"/>
    </row>
    <row r="24" spans="1:14">
      <c r="A24" s="29">
        <v>43556</v>
      </c>
      <c r="B24" s="21" t="s">
        <v>323</v>
      </c>
      <c r="C24" s="24"/>
      <c r="D24" s="21" t="s">
        <v>147</v>
      </c>
      <c r="E24" s="21" t="s">
        <v>13</v>
      </c>
      <c r="F24" s="3" t="s">
        <v>14</v>
      </c>
      <c r="G24" s="11"/>
      <c r="H24" s="12"/>
      <c r="I24" s="13"/>
      <c r="J24" s="11">
        <f t="shared" si="0"/>
        <v>0</v>
      </c>
      <c r="K24" s="11">
        <f>(J24+J25)*0.03*N2</f>
        <v>0</v>
      </c>
      <c r="L24" s="11">
        <f>K24/0.03*0.25</f>
        <v>0</v>
      </c>
      <c r="M24" s="11">
        <f>L24-K24</f>
        <v>0</v>
      </c>
      <c r="N24" s="21"/>
    </row>
    <row r="25" spans="1:14">
      <c r="A25" s="29">
        <v>43556</v>
      </c>
      <c r="B25" s="21" t="s">
        <v>323</v>
      </c>
      <c r="C25" s="24"/>
      <c r="D25" s="21" t="s">
        <v>147</v>
      </c>
      <c r="E25" s="21" t="s">
        <v>13</v>
      </c>
      <c r="F25" s="3" t="s">
        <v>264</v>
      </c>
      <c r="G25" s="11"/>
      <c r="H25" s="12"/>
      <c r="I25" s="13"/>
      <c r="J25" s="11">
        <f t="shared" si="0"/>
        <v>0</v>
      </c>
      <c r="K25" s="11"/>
      <c r="L25" s="11"/>
      <c r="M25" s="11"/>
      <c r="N25" s="21"/>
    </row>
    <row r="26" spans="1:14">
      <c r="A26" s="29">
        <v>43556</v>
      </c>
      <c r="B26" s="21" t="s">
        <v>323</v>
      </c>
      <c r="C26" s="24"/>
      <c r="D26" s="21" t="s">
        <v>152</v>
      </c>
      <c r="E26" s="21" t="s">
        <v>46</v>
      </c>
      <c r="F26" s="3" t="s">
        <v>47</v>
      </c>
      <c r="G26" s="11"/>
      <c r="H26" s="12"/>
      <c r="I26" s="13"/>
      <c r="J26" s="11">
        <f t="shared" si="0"/>
        <v>0</v>
      </c>
      <c r="K26" s="11"/>
      <c r="L26" s="11">
        <f>K26/0.03*0.25</f>
        <v>0</v>
      </c>
      <c r="M26" s="11">
        <f t="shared" ref="M26:M31" si="3">L26-K26</f>
        <v>0</v>
      </c>
      <c r="N26" s="21"/>
    </row>
    <row r="27" spans="1:14">
      <c r="A27" s="29">
        <v>43556</v>
      </c>
      <c r="B27" s="21" t="s">
        <v>323</v>
      </c>
      <c r="C27" s="24"/>
      <c r="D27" s="21" t="s">
        <v>152</v>
      </c>
      <c r="E27" s="21" t="s">
        <v>46</v>
      </c>
      <c r="F27" s="3" t="s">
        <v>157</v>
      </c>
      <c r="G27" s="11"/>
      <c r="H27" s="12"/>
      <c r="I27" s="13"/>
      <c r="J27" s="11">
        <f t="shared" si="0"/>
        <v>0</v>
      </c>
      <c r="K27" s="11"/>
      <c r="L27" s="11"/>
      <c r="M27" s="11"/>
      <c r="N27" s="21"/>
    </row>
    <row r="28" spans="1:14">
      <c r="A28" s="29">
        <v>43556</v>
      </c>
      <c r="B28" s="21" t="s">
        <v>323</v>
      </c>
      <c r="C28" s="24"/>
      <c r="D28" s="21" t="s">
        <v>260</v>
      </c>
      <c r="E28" s="21" t="s">
        <v>261</v>
      </c>
      <c r="F28" s="3" t="s">
        <v>262</v>
      </c>
      <c r="G28" s="11"/>
      <c r="H28" s="12"/>
      <c r="I28" s="13"/>
      <c r="J28" s="11">
        <f t="shared" si="0"/>
        <v>0</v>
      </c>
      <c r="K28" s="11">
        <f>(J28+J29)*0.03*N2</f>
        <v>0</v>
      </c>
      <c r="L28" s="11">
        <f>K28/0.03*0.25</f>
        <v>0</v>
      </c>
      <c r="M28" s="11">
        <f t="shared" si="3"/>
        <v>0</v>
      </c>
      <c r="N28" s="21"/>
    </row>
    <row r="29" spans="1:14">
      <c r="A29" s="29">
        <v>43556</v>
      </c>
      <c r="B29" s="21" t="s">
        <v>323</v>
      </c>
      <c r="C29" s="24"/>
      <c r="D29" s="21" t="s">
        <v>260</v>
      </c>
      <c r="E29" s="21" t="s">
        <v>261</v>
      </c>
      <c r="F29" s="3" t="s">
        <v>263</v>
      </c>
      <c r="G29" s="11"/>
      <c r="H29" s="12"/>
      <c r="I29" s="13"/>
      <c r="J29" s="11">
        <f t="shared" si="0"/>
        <v>0</v>
      </c>
      <c r="K29" s="11"/>
      <c r="L29" s="11"/>
      <c r="M29" s="11"/>
      <c r="N29" s="21"/>
    </row>
    <row r="30" spans="1:14">
      <c r="A30" s="29">
        <v>43556</v>
      </c>
      <c r="B30" s="21" t="s">
        <v>323</v>
      </c>
      <c r="C30" s="24"/>
      <c r="D30" s="21" t="s">
        <v>267</v>
      </c>
      <c r="E30" s="21" t="s">
        <v>148</v>
      </c>
      <c r="F30" s="3" t="s">
        <v>149</v>
      </c>
      <c r="G30" s="11"/>
      <c r="H30" s="12"/>
      <c r="I30" s="13"/>
      <c r="J30" s="11">
        <f t="shared" si="0"/>
        <v>0</v>
      </c>
      <c r="K30" s="11"/>
      <c r="L30" s="11"/>
      <c r="M30" s="11"/>
      <c r="N30" s="21"/>
    </row>
    <row r="31" spans="1:14">
      <c r="A31" s="29"/>
      <c r="B31" s="21"/>
      <c r="C31" s="25" t="s">
        <v>15</v>
      </c>
      <c r="D31" s="21" t="s">
        <v>28</v>
      </c>
      <c r="E31" s="21" t="s">
        <v>29</v>
      </c>
      <c r="F31" s="3" t="s">
        <v>30</v>
      </c>
      <c r="G31" s="11"/>
      <c r="H31" s="12"/>
      <c r="I31" s="13"/>
      <c r="J31" s="11">
        <f t="shared" si="0"/>
        <v>0</v>
      </c>
      <c r="K31" s="11">
        <f>(J31+J32+J33)*0.05*N2</f>
        <v>0</v>
      </c>
      <c r="L31" s="11">
        <f>K31/0.05*0.25</f>
        <v>0</v>
      </c>
      <c r="M31" s="11">
        <f t="shared" si="3"/>
        <v>0</v>
      </c>
      <c r="N31" s="21"/>
    </row>
    <row r="32" spans="1:14">
      <c r="A32" s="29"/>
      <c r="B32" s="21"/>
      <c r="C32" s="30"/>
      <c r="D32" s="21" t="s">
        <v>134</v>
      </c>
      <c r="E32" s="21" t="s">
        <v>29</v>
      </c>
      <c r="F32" s="3" t="s">
        <v>30</v>
      </c>
      <c r="G32" s="11"/>
      <c r="H32" s="12"/>
      <c r="I32" s="13"/>
      <c r="J32" s="11">
        <f t="shared" si="0"/>
        <v>0</v>
      </c>
      <c r="K32" s="11"/>
      <c r="L32" s="11"/>
      <c r="M32" s="11"/>
      <c r="N32" s="21"/>
    </row>
    <row r="33" spans="1:14">
      <c r="A33" s="29"/>
      <c r="B33" s="21"/>
      <c r="C33" s="30"/>
      <c r="D33" s="21" t="s">
        <v>134</v>
      </c>
      <c r="E33" s="21" t="s">
        <v>29</v>
      </c>
      <c r="F33" s="3" t="s">
        <v>135</v>
      </c>
      <c r="G33" s="11"/>
      <c r="H33" s="12"/>
      <c r="I33" s="13"/>
      <c r="J33" s="11">
        <f t="shared" si="0"/>
        <v>0</v>
      </c>
      <c r="K33" s="11"/>
      <c r="L33" s="11"/>
      <c r="M33" s="11"/>
      <c r="N33" s="21"/>
    </row>
    <row r="34" spans="1:14">
      <c r="A34" s="29"/>
      <c r="B34" s="21"/>
      <c r="C34" s="30"/>
      <c r="D34" s="21" t="s">
        <v>22</v>
      </c>
      <c r="E34" s="21" t="s">
        <v>17</v>
      </c>
      <c r="F34" s="3" t="s">
        <v>18</v>
      </c>
      <c r="G34" s="11"/>
      <c r="H34" s="12"/>
      <c r="I34" s="13"/>
      <c r="J34" s="11">
        <f t="shared" si="0"/>
        <v>0</v>
      </c>
      <c r="K34" s="11"/>
      <c r="L34" s="11"/>
      <c r="M34" s="11"/>
      <c r="N34" s="21"/>
    </row>
    <row r="35" spans="1:14">
      <c r="A35" s="29"/>
      <c r="B35" s="21"/>
      <c r="C35" s="30"/>
      <c r="D35" s="21" t="s">
        <v>34</v>
      </c>
      <c r="E35" s="21" t="s">
        <v>38</v>
      </c>
      <c r="F35" s="3" t="s">
        <v>39</v>
      </c>
      <c r="G35" s="11"/>
      <c r="H35" s="12"/>
      <c r="I35" s="13"/>
      <c r="J35" s="11">
        <f t="shared" si="0"/>
        <v>0</v>
      </c>
      <c r="K35" s="11">
        <f>(J35+J36)*0.03*N2</f>
        <v>0</v>
      </c>
      <c r="L35" s="11">
        <f t="shared" ref="L35:L38" si="4">K35/0.03*0.25</f>
        <v>0</v>
      </c>
      <c r="M35" s="11">
        <f t="shared" ref="M35:M38" si="5">L35-K35</f>
        <v>0</v>
      </c>
      <c r="N35" s="21"/>
    </row>
    <row r="36" spans="1:14">
      <c r="A36" s="29"/>
      <c r="B36" s="21"/>
      <c r="C36" s="30"/>
      <c r="D36" s="21" t="s">
        <v>37</v>
      </c>
      <c r="E36" s="21" t="s">
        <v>38</v>
      </c>
      <c r="F36" s="3" t="s">
        <v>39</v>
      </c>
      <c r="G36" s="11"/>
      <c r="H36" s="12"/>
      <c r="I36" s="13"/>
      <c r="J36" s="11">
        <f t="shared" si="0"/>
        <v>0</v>
      </c>
      <c r="K36" s="11"/>
      <c r="L36" s="11"/>
      <c r="M36" s="11"/>
      <c r="N36" s="21"/>
    </row>
    <row r="37" spans="1:14">
      <c r="A37" s="29"/>
      <c r="B37" s="21"/>
      <c r="C37" s="30"/>
      <c r="D37" s="21" t="s">
        <v>31</v>
      </c>
      <c r="E37" s="21" t="s">
        <v>32</v>
      </c>
      <c r="F37" s="3" t="s">
        <v>33</v>
      </c>
      <c r="G37" s="11"/>
      <c r="H37" s="12"/>
      <c r="I37" s="13"/>
      <c r="J37" s="11">
        <f t="shared" si="0"/>
        <v>0</v>
      </c>
      <c r="K37" s="11">
        <f>(J37)*0.03*N2</f>
        <v>0</v>
      </c>
      <c r="L37" s="11">
        <f t="shared" si="4"/>
        <v>0</v>
      </c>
      <c r="M37" s="11">
        <f t="shared" si="5"/>
        <v>0</v>
      </c>
      <c r="N37" s="21"/>
    </row>
    <row r="38" spans="1:14">
      <c r="A38" s="29">
        <v>43556</v>
      </c>
      <c r="B38" s="21" t="s">
        <v>323</v>
      </c>
      <c r="C38" s="30"/>
      <c r="D38" s="21" t="s">
        <v>23</v>
      </c>
      <c r="E38" s="21" t="s">
        <v>20</v>
      </c>
      <c r="F38" s="3" t="s">
        <v>133</v>
      </c>
      <c r="G38" s="11"/>
      <c r="H38" s="12"/>
      <c r="I38" s="13"/>
      <c r="J38" s="11">
        <f t="shared" si="0"/>
        <v>0</v>
      </c>
      <c r="K38" s="11">
        <f>(J38+J40)*0.03*N2</f>
        <v>0</v>
      </c>
      <c r="L38" s="11">
        <f t="shared" si="4"/>
        <v>0</v>
      </c>
      <c r="M38" s="11">
        <f t="shared" si="5"/>
        <v>0</v>
      </c>
      <c r="N38" s="21"/>
    </row>
    <row r="39" spans="1:14">
      <c r="A39" s="29"/>
      <c r="B39" s="21"/>
      <c r="C39" s="30"/>
      <c r="D39" s="21" t="s">
        <v>140</v>
      </c>
      <c r="E39" s="21" t="s">
        <v>35</v>
      </c>
      <c r="F39" s="3" t="s">
        <v>36</v>
      </c>
      <c r="G39" s="11"/>
      <c r="H39" s="12"/>
      <c r="I39" s="13"/>
      <c r="J39" s="11">
        <f t="shared" si="0"/>
        <v>0</v>
      </c>
      <c r="K39" s="11"/>
      <c r="L39" s="11"/>
      <c r="M39" s="11"/>
      <c r="N39" s="21"/>
    </row>
    <row r="40" spans="1:14">
      <c r="A40" s="29"/>
      <c r="B40" s="21"/>
      <c r="C40" s="30"/>
      <c r="D40" s="21" t="s">
        <v>19</v>
      </c>
      <c r="E40" s="21" t="s">
        <v>20</v>
      </c>
      <c r="F40" s="3" t="s">
        <v>133</v>
      </c>
      <c r="G40" s="11"/>
      <c r="H40" s="12"/>
      <c r="I40" s="13"/>
      <c r="J40" s="11">
        <f t="shared" si="0"/>
        <v>0</v>
      </c>
      <c r="K40" s="11"/>
      <c r="L40" s="11"/>
      <c r="M40" s="11"/>
      <c r="N40" s="21"/>
    </row>
    <row r="41" spans="1:14">
      <c r="A41" s="29">
        <v>43556</v>
      </c>
      <c r="B41" s="21" t="s">
        <v>323</v>
      </c>
      <c r="C41" s="24" t="s">
        <v>40</v>
      </c>
      <c r="D41" s="21" t="s">
        <v>159</v>
      </c>
      <c r="E41" s="21" t="s">
        <v>160</v>
      </c>
      <c r="F41" s="3" t="s">
        <v>220</v>
      </c>
      <c r="G41" s="11"/>
      <c r="H41" s="12"/>
      <c r="I41" s="13"/>
      <c r="J41" s="11">
        <f t="shared" si="0"/>
        <v>0</v>
      </c>
      <c r="K41" s="11">
        <f>(J41)*0.04*N2</f>
        <v>0</v>
      </c>
      <c r="L41" s="11">
        <f>K41/0.04*0.25</f>
        <v>0</v>
      </c>
      <c r="M41" s="11">
        <f t="shared" ref="M41:M46" si="6">L41-K41</f>
        <v>0</v>
      </c>
      <c r="N41" s="21"/>
    </row>
    <row r="42" spans="1:14">
      <c r="A42" s="29"/>
      <c r="B42" s="21"/>
      <c r="C42" s="24"/>
      <c r="D42" s="21" t="s">
        <v>41</v>
      </c>
      <c r="E42" s="21" t="s">
        <v>42</v>
      </c>
      <c r="F42" s="3" t="s">
        <v>43</v>
      </c>
      <c r="G42" s="11"/>
      <c r="H42" s="12"/>
      <c r="I42" s="13"/>
      <c r="J42" s="11">
        <f t="shared" si="0"/>
        <v>0</v>
      </c>
      <c r="K42" s="11"/>
      <c r="L42" s="11"/>
      <c r="M42" s="11"/>
      <c r="N42" s="21"/>
    </row>
    <row r="43" spans="1:14">
      <c r="A43" s="29">
        <v>43556</v>
      </c>
      <c r="B43" s="21" t="s">
        <v>323</v>
      </c>
      <c r="C43" s="24"/>
      <c r="D43" s="21" t="s">
        <v>41</v>
      </c>
      <c r="E43" s="21" t="s">
        <v>42</v>
      </c>
      <c r="F43" s="3" t="s">
        <v>165</v>
      </c>
      <c r="G43" s="11"/>
      <c r="H43" s="12"/>
      <c r="I43" s="13"/>
      <c r="J43" s="11">
        <f t="shared" si="0"/>
        <v>0</v>
      </c>
      <c r="K43" s="11"/>
      <c r="L43" s="11"/>
      <c r="M43" s="11"/>
      <c r="N43" s="21"/>
    </row>
    <row r="44" spans="1:14">
      <c r="A44" s="29">
        <v>43556</v>
      </c>
      <c r="B44" s="21" t="s">
        <v>323</v>
      </c>
      <c r="C44" s="24"/>
      <c r="D44" s="21" t="s">
        <v>171</v>
      </c>
      <c r="E44" s="21" t="s">
        <v>172</v>
      </c>
      <c r="F44" s="3" t="s">
        <v>174</v>
      </c>
      <c r="G44" s="11"/>
      <c r="H44" s="12"/>
      <c r="I44" s="13"/>
      <c r="J44" s="11">
        <f t="shared" si="0"/>
        <v>0</v>
      </c>
      <c r="K44" s="11">
        <f>(J44+J45)*0.05*N2</f>
        <v>0</v>
      </c>
      <c r="L44" s="11">
        <f>K44/0.05*0.25</f>
        <v>0</v>
      </c>
      <c r="M44" s="11">
        <f t="shared" si="6"/>
        <v>0</v>
      </c>
      <c r="N44" s="21"/>
    </row>
    <row r="45" spans="1:14">
      <c r="A45" s="29">
        <v>43556</v>
      </c>
      <c r="B45" s="21" t="s">
        <v>323</v>
      </c>
      <c r="C45" s="24"/>
      <c r="D45" s="21" t="s">
        <v>216</v>
      </c>
      <c r="E45" s="21" t="s">
        <v>172</v>
      </c>
      <c r="F45" s="3" t="s">
        <v>174</v>
      </c>
      <c r="G45" s="11"/>
      <c r="H45" s="12"/>
      <c r="I45" s="13"/>
      <c r="J45" s="11">
        <f t="shared" si="0"/>
        <v>0</v>
      </c>
      <c r="K45" s="11"/>
      <c r="L45" s="11"/>
      <c r="M45" s="11"/>
      <c r="N45" s="21"/>
    </row>
    <row r="46" spans="1:14">
      <c r="A46" s="29">
        <v>43556</v>
      </c>
      <c r="B46" s="21" t="s">
        <v>323</v>
      </c>
      <c r="C46" s="24"/>
      <c r="D46" s="32" t="s">
        <v>230</v>
      </c>
      <c r="E46" s="32" t="s">
        <v>163</v>
      </c>
      <c r="F46" s="32" t="s">
        <v>164</v>
      </c>
      <c r="G46" s="33"/>
      <c r="H46" s="34"/>
      <c r="I46" s="13"/>
      <c r="J46" s="11">
        <f t="shared" si="0"/>
        <v>0</v>
      </c>
      <c r="K46" s="11"/>
      <c r="L46" s="11">
        <f>K46/0.03*0.25</f>
        <v>0</v>
      </c>
      <c r="M46" s="11">
        <f t="shared" si="6"/>
        <v>0</v>
      </c>
      <c r="N46" s="21"/>
    </row>
    <row r="47" spans="1:14">
      <c r="A47" s="29">
        <v>43556</v>
      </c>
      <c r="B47" s="21" t="s">
        <v>323</v>
      </c>
      <c r="C47" s="24"/>
      <c r="D47" s="32" t="s">
        <v>162</v>
      </c>
      <c r="E47" s="32" t="s">
        <v>163</v>
      </c>
      <c r="F47" s="32" t="s">
        <v>164</v>
      </c>
      <c r="G47" s="33"/>
      <c r="H47" s="34"/>
      <c r="I47" s="13"/>
      <c r="J47" s="11">
        <f t="shared" si="0"/>
        <v>0</v>
      </c>
      <c r="K47" s="11"/>
      <c r="L47" s="11"/>
      <c r="M47" s="11"/>
      <c r="N47" s="21"/>
    </row>
    <row r="48" spans="1:14">
      <c r="A48" s="29">
        <v>43556</v>
      </c>
      <c r="B48" s="21" t="s">
        <v>323</v>
      </c>
      <c r="C48" s="24"/>
      <c r="D48" s="21" t="s">
        <v>176</v>
      </c>
      <c r="E48" s="21" t="s">
        <v>177</v>
      </c>
      <c r="F48" s="3" t="s">
        <v>228</v>
      </c>
      <c r="G48" s="11"/>
      <c r="H48" s="12"/>
      <c r="I48" s="13"/>
      <c r="J48" s="11">
        <f t="shared" si="0"/>
        <v>0</v>
      </c>
      <c r="K48" s="11"/>
      <c r="L48" s="11">
        <f>K48/0.05*0.25</f>
        <v>0</v>
      </c>
      <c r="M48" s="11">
        <f>L48-K48</f>
        <v>0</v>
      </c>
      <c r="N48" s="21"/>
    </row>
    <row r="49" spans="1:14">
      <c r="A49" s="29"/>
      <c r="B49" s="21"/>
      <c r="C49" s="24"/>
      <c r="D49" s="21" t="s">
        <v>176</v>
      </c>
      <c r="E49" s="21" t="s">
        <v>177</v>
      </c>
      <c r="F49" s="3" t="s">
        <v>178</v>
      </c>
      <c r="G49" s="11"/>
      <c r="H49" s="12"/>
      <c r="I49" s="13"/>
      <c r="J49" s="11">
        <f t="shared" si="0"/>
        <v>0</v>
      </c>
      <c r="K49" s="11"/>
      <c r="L49" s="11"/>
      <c r="M49" s="11"/>
      <c r="N49" s="21"/>
    </row>
    <row r="50" spans="1:14">
      <c r="A50" s="29">
        <v>43556</v>
      </c>
      <c r="B50" s="21" t="s">
        <v>323</v>
      </c>
      <c r="C50" s="24"/>
      <c r="D50" s="32" t="s">
        <v>226</v>
      </c>
      <c r="E50" s="32" t="s">
        <v>163</v>
      </c>
      <c r="F50" s="32" t="s">
        <v>164</v>
      </c>
      <c r="G50" s="33"/>
      <c r="H50" s="34"/>
      <c r="I50" s="13"/>
      <c r="J50" s="11">
        <f t="shared" si="0"/>
        <v>0</v>
      </c>
      <c r="K50" s="11">
        <f>(J50+J47+J46)*0.25*N2</f>
        <v>0</v>
      </c>
      <c r="L50" s="11"/>
      <c r="M50" s="11"/>
      <c r="N50" s="21"/>
    </row>
    <row r="51" spans="1:14">
      <c r="A51" s="29">
        <v>43556</v>
      </c>
      <c r="B51" s="21" t="s">
        <v>323</v>
      </c>
      <c r="C51" s="24"/>
      <c r="D51" s="21" t="s">
        <v>175</v>
      </c>
      <c r="E51" s="21" t="s">
        <v>42</v>
      </c>
      <c r="F51" s="3" t="s">
        <v>165</v>
      </c>
      <c r="G51" s="11"/>
      <c r="H51" s="12"/>
      <c r="I51" s="13"/>
      <c r="J51" s="11">
        <f t="shared" si="0"/>
        <v>0</v>
      </c>
      <c r="K51" s="11">
        <f>(J51+J43+J52+J42)*0.03*N2</f>
        <v>0</v>
      </c>
      <c r="L51" s="11">
        <f>K51/0.03*0.25</f>
        <v>0</v>
      </c>
      <c r="M51" s="11">
        <f>L51-K51</f>
        <v>0</v>
      </c>
      <c r="N51" s="21"/>
    </row>
    <row r="52" spans="1:14">
      <c r="A52" s="29"/>
      <c r="B52" s="21"/>
      <c r="C52" s="24"/>
      <c r="D52" s="21" t="s">
        <v>175</v>
      </c>
      <c r="E52" s="21" t="s">
        <v>42</v>
      </c>
      <c r="F52" s="3" t="s">
        <v>218</v>
      </c>
      <c r="G52" s="11"/>
      <c r="H52" s="12"/>
      <c r="I52" s="13"/>
      <c r="J52" s="11">
        <f t="shared" si="0"/>
        <v>0</v>
      </c>
      <c r="K52" s="11"/>
      <c r="L52" s="11"/>
      <c r="M52" s="11"/>
      <c r="N52" s="21"/>
    </row>
    <row r="53" spans="1:14">
      <c r="A53" s="29"/>
      <c r="B53" s="21"/>
      <c r="C53" s="24"/>
      <c r="D53" s="21" t="s">
        <v>219</v>
      </c>
      <c r="E53" s="21" t="s">
        <v>177</v>
      </c>
      <c r="F53" s="3" t="s">
        <v>178</v>
      </c>
      <c r="G53" s="11"/>
      <c r="H53" s="12"/>
      <c r="I53" s="13"/>
      <c r="J53" s="11">
        <f t="shared" si="0"/>
        <v>0</v>
      </c>
      <c r="K53" s="11">
        <f>(J53+J54+J48+J49)*0.03*N2</f>
        <v>0</v>
      </c>
      <c r="L53" s="11">
        <f>K53/0.03*0.25</f>
        <v>0</v>
      </c>
      <c r="M53" s="11">
        <f>L53-K53</f>
        <v>0</v>
      </c>
      <c r="N53" s="21"/>
    </row>
    <row r="54" spans="1:14">
      <c r="A54" s="29">
        <v>43556</v>
      </c>
      <c r="B54" s="21" t="s">
        <v>323</v>
      </c>
      <c r="C54" s="24"/>
      <c r="D54" s="21" t="s">
        <v>229</v>
      </c>
      <c r="E54" s="21" t="s">
        <v>177</v>
      </c>
      <c r="F54" s="3" t="s">
        <v>178</v>
      </c>
      <c r="G54" s="11"/>
      <c r="H54" s="12"/>
      <c r="I54" s="13"/>
      <c r="J54" s="11">
        <f t="shared" si="0"/>
        <v>0</v>
      </c>
      <c r="K54" s="11"/>
      <c r="L54" s="11">
        <f>K54/0.04*0.25</f>
        <v>0</v>
      </c>
      <c r="M54" s="11">
        <f t="shared" ref="M54:M59" si="7">L54-K54</f>
        <v>0</v>
      </c>
      <c r="N54" s="21"/>
    </row>
    <row r="55" spans="1:14">
      <c r="A55" s="29"/>
      <c r="B55" s="21"/>
      <c r="C55" s="24"/>
      <c r="D55" s="21" t="s">
        <v>229</v>
      </c>
      <c r="E55" s="21" t="s">
        <v>223</v>
      </c>
      <c r="F55" s="3" t="s">
        <v>225</v>
      </c>
      <c r="G55" s="11"/>
      <c r="H55" s="12"/>
      <c r="I55" s="13"/>
      <c r="J55" s="11">
        <f t="shared" si="0"/>
        <v>0</v>
      </c>
      <c r="K55" s="11">
        <f>(J55+J56)*0.05*N2</f>
        <v>0</v>
      </c>
      <c r="L55" s="11">
        <f>K55/0.05*0.25</f>
        <v>0</v>
      </c>
      <c r="M55" s="11">
        <f t="shared" si="7"/>
        <v>0</v>
      </c>
      <c r="N55" s="21"/>
    </row>
    <row r="56" spans="1:14">
      <c r="A56" s="29"/>
      <c r="B56" s="21"/>
      <c r="C56" s="24"/>
      <c r="D56" s="21" t="s">
        <v>222</v>
      </c>
      <c r="E56" s="21" t="s">
        <v>223</v>
      </c>
      <c r="F56" s="3" t="s">
        <v>225</v>
      </c>
      <c r="G56" s="11"/>
      <c r="H56" s="12"/>
      <c r="I56" s="13"/>
      <c r="J56" s="11">
        <f t="shared" si="0"/>
        <v>0</v>
      </c>
      <c r="K56" s="11"/>
      <c r="L56" s="11"/>
      <c r="M56" s="11"/>
      <c r="N56" s="21"/>
    </row>
    <row r="57" spans="1:14">
      <c r="A57" s="29">
        <v>43556</v>
      </c>
      <c r="B57" s="21" t="s">
        <v>323</v>
      </c>
      <c r="C57" s="24"/>
      <c r="D57" s="21" t="s">
        <v>166</v>
      </c>
      <c r="E57" s="21" t="s">
        <v>167</v>
      </c>
      <c r="F57" s="3" t="s">
        <v>170</v>
      </c>
      <c r="G57" s="11"/>
      <c r="H57" s="12"/>
      <c r="I57" s="13"/>
      <c r="J57" s="11">
        <f t="shared" si="0"/>
        <v>0</v>
      </c>
      <c r="K57" s="11">
        <f>(J57+J59+J58)*0.04*N2</f>
        <v>0</v>
      </c>
      <c r="L57" s="11">
        <f>K57/0.04*0.25</f>
        <v>0</v>
      </c>
      <c r="M57" s="11">
        <f t="shared" si="7"/>
        <v>0</v>
      </c>
      <c r="N57" s="21"/>
    </row>
    <row r="58" spans="1:14" ht="14.25">
      <c r="A58" s="29"/>
      <c r="B58" s="21"/>
      <c r="C58" s="24"/>
      <c r="D58" s="21" t="s">
        <v>169</v>
      </c>
      <c r="E58" s="21" t="s">
        <v>167</v>
      </c>
      <c r="F58" s="3" t="s">
        <v>168</v>
      </c>
      <c r="G58" s="11"/>
      <c r="H58" s="12"/>
      <c r="I58" s="82"/>
      <c r="J58" s="11">
        <f t="shared" si="0"/>
        <v>0</v>
      </c>
      <c r="K58" s="11"/>
      <c r="L58" s="11"/>
      <c r="M58" s="11"/>
      <c r="N58" s="21"/>
    </row>
    <row r="59" spans="1:14">
      <c r="A59" s="29">
        <v>43556</v>
      </c>
      <c r="B59" s="21" t="s">
        <v>323</v>
      </c>
      <c r="C59" s="24"/>
      <c r="D59" s="21" t="s">
        <v>169</v>
      </c>
      <c r="E59" s="21" t="s">
        <v>167</v>
      </c>
      <c r="F59" s="3" t="s">
        <v>170</v>
      </c>
      <c r="G59" s="11"/>
      <c r="H59" s="12"/>
      <c r="I59" s="14"/>
      <c r="J59" s="11">
        <f t="shared" si="0"/>
        <v>0</v>
      </c>
      <c r="K59" s="11"/>
      <c r="L59" s="11">
        <f>K59/0.03*0.25</f>
        <v>0</v>
      </c>
      <c r="M59" s="11">
        <f t="shared" si="7"/>
        <v>0</v>
      </c>
      <c r="N59" s="21"/>
    </row>
    <row r="60" spans="1:14">
      <c r="A60" s="29"/>
      <c r="B60" s="21"/>
      <c r="C60" s="24" t="s">
        <v>66</v>
      </c>
      <c r="D60" s="21" t="s">
        <v>186</v>
      </c>
      <c r="E60" s="21" t="s">
        <v>183</v>
      </c>
      <c r="F60" s="3" t="s">
        <v>184</v>
      </c>
      <c r="G60" s="11"/>
      <c r="H60" s="12"/>
      <c r="I60" s="14"/>
      <c r="J60" s="11">
        <f t="shared" si="0"/>
        <v>0</v>
      </c>
      <c r="K60" s="11"/>
      <c r="L60" s="11"/>
      <c r="M60" s="11"/>
      <c r="N60" s="21"/>
    </row>
    <row r="61" spans="1:14">
      <c r="A61" s="29">
        <v>43556</v>
      </c>
      <c r="B61" s="21" t="s">
        <v>323</v>
      </c>
      <c r="C61" s="24"/>
      <c r="D61" s="21" t="s">
        <v>186</v>
      </c>
      <c r="E61" s="21" t="s">
        <v>183</v>
      </c>
      <c r="F61" s="3" t="s">
        <v>185</v>
      </c>
      <c r="G61" s="11"/>
      <c r="H61" s="12"/>
      <c r="I61" s="13"/>
      <c r="J61" s="11">
        <f t="shared" si="0"/>
        <v>0</v>
      </c>
      <c r="K61" s="11">
        <f>(J61+J60)*0.05*N2</f>
        <v>0</v>
      </c>
      <c r="L61" s="11">
        <f>K61/0.05*0.25</f>
        <v>0</v>
      </c>
      <c r="M61" s="11">
        <f>L61-K61</f>
        <v>0</v>
      </c>
      <c r="N61" s="21"/>
    </row>
    <row r="62" spans="1:14">
      <c r="A62" s="29"/>
      <c r="B62" s="21"/>
      <c r="C62" s="24"/>
      <c r="D62" s="21" t="s">
        <v>182</v>
      </c>
      <c r="E62" s="21" t="s">
        <v>237</v>
      </c>
      <c r="F62" s="3" t="s">
        <v>238</v>
      </c>
      <c r="G62" s="11"/>
      <c r="H62" s="12"/>
      <c r="I62" s="13"/>
      <c r="J62" s="11">
        <f t="shared" si="0"/>
        <v>0</v>
      </c>
      <c r="K62" s="11"/>
      <c r="L62" s="11"/>
      <c r="M62" s="11"/>
      <c r="N62" s="21"/>
    </row>
    <row r="63" spans="1:14">
      <c r="A63" s="29">
        <v>43556</v>
      </c>
      <c r="B63" s="21" t="s">
        <v>323</v>
      </c>
      <c r="C63" s="24"/>
      <c r="D63" s="21" t="s">
        <v>182</v>
      </c>
      <c r="E63" s="21" t="s">
        <v>237</v>
      </c>
      <c r="F63" s="3" t="s">
        <v>239</v>
      </c>
      <c r="G63" s="11"/>
      <c r="H63" s="12"/>
      <c r="I63" s="13"/>
      <c r="J63" s="11">
        <f t="shared" si="0"/>
        <v>0</v>
      </c>
      <c r="K63" s="11">
        <f>(J63+J64+J62)*0.05*N2</f>
        <v>0</v>
      </c>
      <c r="L63" s="11">
        <f>K63/0.05*0.25</f>
        <v>0</v>
      </c>
      <c r="M63" s="11">
        <f>L63-K63</f>
        <v>0</v>
      </c>
      <c r="N63" s="21"/>
    </row>
    <row r="64" spans="1:14">
      <c r="A64" s="29">
        <v>43556</v>
      </c>
      <c r="B64" s="21" t="s">
        <v>323</v>
      </c>
      <c r="C64" s="24"/>
      <c r="D64" s="83" t="s">
        <v>240</v>
      </c>
      <c r="E64" s="21" t="s">
        <v>237</v>
      </c>
      <c r="F64" s="3" t="s">
        <v>239</v>
      </c>
      <c r="G64" s="11"/>
      <c r="H64" s="12"/>
      <c r="I64" s="13"/>
      <c r="J64" s="11">
        <f t="shared" si="0"/>
        <v>0</v>
      </c>
      <c r="K64" s="11"/>
      <c r="L64" s="11"/>
      <c r="M64" s="11"/>
      <c r="N64" s="21"/>
    </row>
    <row r="65" spans="1:14">
      <c r="A65" s="29">
        <v>43556</v>
      </c>
      <c r="B65" s="21" t="s">
        <v>323</v>
      </c>
      <c r="C65" s="30" t="s">
        <v>276</v>
      </c>
      <c r="D65" s="21" t="s">
        <v>48</v>
      </c>
      <c r="E65" s="21" t="s">
        <v>46</v>
      </c>
      <c r="F65" s="3" t="s">
        <v>47</v>
      </c>
      <c r="G65" s="11"/>
      <c r="H65" s="12"/>
      <c r="I65" s="13"/>
      <c r="J65" s="11">
        <f t="shared" si="0"/>
        <v>0</v>
      </c>
      <c r="K65" s="11">
        <f>(J65+J66)*0.25*N2</f>
        <v>0</v>
      </c>
      <c r="L65" s="11"/>
      <c r="M65" s="11"/>
      <c r="N65" s="21"/>
    </row>
    <row r="66" spans="1:14">
      <c r="A66" s="29">
        <v>43556</v>
      </c>
      <c r="B66" s="21" t="s">
        <v>323</v>
      </c>
      <c r="C66" s="26"/>
      <c r="D66" s="21" t="s">
        <v>234</v>
      </c>
      <c r="E66" s="21" t="s">
        <v>46</v>
      </c>
      <c r="F66" s="3" t="s">
        <v>47</v>
      </c>
      <c r="G66" s="11"/>
      <c r="H66" s="12"/>
      <c r="I66" s="14"/>
      <c r="J66" s="11">
        <f t="shared" si="0"/>
        <v>0</v>
      </c>
      <c r="K66" s="11"/>
      <c r="L66" s="11"/>
      <c r="M66" s="11"/>
      <c r="N66" s="21"/>
    </row>
    <row r="67" spans="1:14">
      <c r="A67" s="21">
        <v>42795</v>
      </c>
      <c r="B67" s="21"/>
      <c r="C67" s="24" t="s">
        <v>49</v>
      </c>
      <c r="D67" s="24"/>
      <c r="E67" s="21" t="s">
        <v>50</v>
      </c>
      <c r="F67" s="3" t="s">
        <v>50</v>
      </c>
      <c r="G67" s="11"/>
      <c r="H67" s="12"/>
      <c r="I67" s="14"/>
      <c r="J67" s="11">
        <f t="shared" ref="J67:J70" si="8">(G67*H67*0.98)-I67</f>
        <v>0</v>
      </c>
      <c r="K67" s="11">
        <f>(J3+J4+J6+J15+J24+J25+J26+J27+J41+J44+J45+J47+J50+J51+J54+J59+J61+J63+J64+J19+J46+J28+J29+J57+J13+J16++J30+J31+J32+J34+J35+J55+J53+J14+J18+J33+J36+J40+J43+J48+J49+J52+J20+J21+J7+J8+J9+J39+J42+J56+J58+J60+J62)*0.01*N2+(J5+J10+J11+J17+J12)*0.07*N2+(J38)*0.04*N2+(0)*0.08*N2</f>
        <v>0</v>
      </c>
      <c r="L67" s="11"/>
      <c r="M67" s="11"/>
      <c r="N67" s="21"/>
    </row>
    <row r="68" spans="1:14">
      <c r="A68" s="21">
        <v>42795</v>
      </c>
      <c r="B68" s="21"/>
      <c r="C68" s="24"/>
      <c r="D68" s="24"/>
      <c r="E68" s="21" t="s">
        <v>51</v>
      </c>
      <c r="F68" s="3" t="s">
        <v>51</v>
      </c>
      <c r="G68" s="11"/>
      <c r="H68" s="12"/>
      <c r="I68" s="14"/>
      <c r="J68" s="11">
        <f t="shared" si="8"/>
        <v>0</v>
      </c>
      <c r="K68" s="11">
        <f>(J6+J16)*0.06*N2+(0)*0.03*N2+(J28+J59+J19+J29+J58+J56)*0.07*N2</f>
        <v>0</v>
      </c>
      <c r="L68" s="11"/>
      <c r="M68" s="11"/>
      <c r="N68" s="21"/>
    </row>
    <row r="69" spans="1:14">
      <c r="A69" s="21">
        <v>42795</v>
      </c>
      <c r="B69" s="21"/>
      <c r="C69" s="24"/>
      <c r="D69" s="24"/>
      <c r="E69" s="21" t="s">
        <v>52</v>
      </c>
      <c r="F69" s="3" t="s">
        <v>52</v>
      </c>
      <c r="G69" s="11"/>
      <c r="H69" s="12"/>
      <c r="I69" s="14"/>
      <c r="J69" s="11">
        <f t="shared" si="8"/>
        <v>0</v>
      </c>
      <c r="K69" s="11">
        <f>(J24+J30+J46+J50+J25+J47)*0.07*N2+(J3+J7+J4)*0.06*N2+(J61+J60)*0.03*N2</f>
        <v>0</v>
      </c>
      <c r="L69" s="11"/>
      <c r="M69" s="11"/>
      <c r="N69" s="21"/>
    </row>
    <row r="70" spans="1:14">
      <c r="A70" s="21">
        <v>42795</v>
      </c>
      <c r="B70" s="21"/>
      <c r="C70" s="24"/>
      <c r="D70" s="24"/>
      <c r="E70" s="21" t="s">
        <v>56</v>
      </c>
      <c r="F70" s="3" t="s">
        <v>56</v>
      </c>
      <c r="G70" s="11"/>
      <c r="H70" s="12"/>
      <c r="I70" s="14"/>
      <c r="J70" s="11">
        <f t="shared" si="8"/>
        <v>0</v>
      </c>
      <c r="K70" s="11">
        <f>(J43+J45+J42)*0.07*N2+(J8+J9)*0.06*N2</f>
        <v>0</v>
      </c>
      <c r="L70" s="11"/>
      <c r="M70" s="11"/>
      <c r="N70" s="21"/>
    </row>
    <row r="71" spans="1:14">
      <c r="A71" s="21">
        <v>42795</v>
      </c>
      <c r="B71" s="21"/>
      <c r="C71" s="24"/>
      <c r="D71" s="24"/>
      <c r="E71" s="21" t="s">
        <v>192</v>
      </c>
      <c r="F71" s="3" t="s">
        <v>192</v>
      </c>
      <c r="G71" s="11"/>
      <c r="H71" s="12"/>
      <c r="I71" s="14"/>
      <c r="J71" s="11">
        <v>0</v>
      </c>
      <c r="K71" s="11">
        <f>(J13+J14)*0.06*N2</f>
        <v>0</v>
      </c>
      <c r="L71" s="11"/>
      <c r="M71" s="11"/>
      <c r="N71" s="21"/>
    </row>
    <row r="72" spans="1:14">
      <c r="A72" s="21"/>
      <c r="B72" s="21"/>
      <c r="C72" s="24"/>
      <c r="D72" s="24"/>
      <c r="E72" s="21" t="s">
        <v>55</v>
      </c>
      <c r="F72" s="3" t="s">
        <v>55</v>
      </c>
      <c r="G72" s="11"/>
      <c r="H72" s="12"/>
      <c r="I72" s="14"/>
      <c r="J72" s="11">
        <v>0</v>
      </c>
      <c r="K72" s="11">
        <f>(0)*0.06*N2+(J44+J51+J57+J52)*0.07*N2+(J32+J62+J63+J64)*0.03*N2</f>
        <v>0</v>
      </c>
      <c r="L72" s="11"/>
      <c r="M72" s="11"/>
      <c r="N72" s="21"/>
    </row>
    <row r="73" spans="1:14">
      <c r="A73" s="21"/>
      <c r="B73" s="21"/>
      <c r="C73" s="24"/>
      <c r="D73" s="24"/>
      <c r="E73" s="21" t="s">
        <v>53</v>
      </c>
      <c r="F73" s="3" t="s">
        <v>53</v>
      </c>
      <c r="G73" s="11"/>
      <c r="H73" s="12"/>
      <c r="I73" s="14"/>
      <c r="J73" s="11">
        <v>0</v>
      </c>
      <c r="K73" s="11">
        <f>(J31+J40)*0.03*N2+(J41+J53+J26+J27+J20+J21)*0.07*N2+J18*0.06*N2</f>
        <v>0</v>
      </c>
      <c r="L73" s="11"/>
      <c r="M73" s="11"/>
      <c r="N73" s="21"/>
    </row>
    <row r="74" spans="1:14">
      <c r="A74" s="21"/>
      <c r="B74" s="21"/>
      <c r="C74" s="21"/>
      <c r="D74" s="21"/>
      <c r="E74" s="21" t="s">
        <v>54</v>
      </c>
      <c r="F74" s="3" t="s">
        <v>54</v>
      </c>
      <c r="G74" s="11"/>
      <c r="H74" s="12"/>
      <c r="I74" s="14"/>
      <c r="J74" s="11">
        <v>0</v>
      </c>
      <c r="K74" s="11">
        <f>(J48+J49+J54+J55)*0.07*N2+J15*0.06*N2</f>
        <v>0</v>
      </c>
      <c r="L74" s="11"/>
      <c r="M74" s="11"/>
      <c r="N74" s="21"/>
    </row>
    <row r="75" spans="1:14">
      <c r="A75" s="21">
        <v>42795</v>
      </c>
      <c r="B75" s="21"/>
      <c r="C75" s="21"/>
      <c r="D75" s="21"/>
      <c r="E75" s="21"/>
      <c r="F75" s="4" t="s">
        <v>57</v>
      </c>
      <c r="G75" s="15">
        <f>SUM(G3:G70)</f>
        <v>0</v>
      </c>
      <c r="H75" s="16"/>
      <c r="I75" s="17">
        <f>SUM(I3:I68)</f>
        <v>0</v>
      </c>
      <c r="J75" s="15">
        <f>SUM(J3:J73)</f>
        <v>0</v>
      </c>
      <c r="K75" s="15">
        <f>J75*N2</f>
        <v>0</v>
      </c>
      <c r="L75" s="11"/>
      <c r="M75" s="11"/>
      <c r="N75" s="21"/>
    </row>
    <row r="76" spans="1:14">
      <c r="A76" s="21"/>
      <c r="B76" s="21"/>
      <c r="C76" s="21"/>
      <c r="D76" s="21"/>
      <c r="E76" s="21"/>
      <c r="F76" s="4" t="s">
        <v>58</v>
      </c>
      <c r="G76" s="15"/>
      <c r="H76" s="16"/>
      <c r="I76" s="17"/>
      <c r="J76" s="15"/>
      <c r="K76" s="15">
        <f>K75*0.4</f>
        <v>0</v>
      </c>
      <c r="L76" s="11"/>
      <c r="M76" s="11"/>
      <c r="N76" s="21"/>
    </row>
    <row r="77" spans="1:14">
      <c r="A77" s="21"/>
      <c r="B77" s="21"/>
      <c r="C77" s="21"/>
      <c r="D77" s="21"/>
      <c r="E77" s="21"/>
      <c r="F77" s="4" t="s">
        <v>59</v>
      </c>
      <c r="G77" s="15"/>
      <c r="H77" s="16"/>
      <c r="I77" s="17"/>
      <c r="J77" s="15"/>
      <c r="K77" s="15">
        <f>K75*0.6</f>
        <v>0</v>
      </c>
      <c r="L77" s="11"/>
      <c r="M77" s="11"/>
      <c r="N77" s="21"/>
    </row>
  </sheetData>
  <mergeCells count="7">
    <mergeCell ref="C67:D73"/>
    <mergeCell ref="C3:C18"/>
    <mergeCell ref="C19:C30"/>
    <mergeCell ref="C31:C40"/>
    <mergeCell ref="C41:C59"/>
    <mergeCell ref="C60:C64"/>
    <mergeCell ref="C65:C66"/>
  </mergeCells>
  <phoneticPr fontId="1" type="noConversion"/>
  <conditionalFormatting sqref="E70">
    <cfRule type="containsText" dxfId="7" priority="1" operator="containsText" text="方泽斯">
      <formula>NOT(ISERROR(SEARCH("方泽斯",E70)))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41"/>
  <sheetViews>
    <sheetView topLeftCell="C1" workbookViewId="0">
      <selection activeCell="G12" sqref="G12"/>
    </sheetView>
  </sheetViews>
  <sheetFormatPr defaultRowHeight="13.5"/>
  <cols>
    <col min="1" max="1" width="11.375" style="21" hidden="1" customWidth="1"/>
    <col min="2" max="2" width="8.875" style="21" hidden="1" customWidth="1"/>
    <col min="3" max="3" width="9.125" style="21" customWidth="1"/>
    <col min="4" max="4" width="9" style="21"/>
    <col min="5" max="5" width="9" style="21" customWidth="1"/>
    <col min="6" max="6" width="15.125" style="21" customWidth="1"/>
    <col min="7" max="7" width="13.5" style="5" customWidth="1"/>
    <col min="8" max="8" width="12" style="6" customWidth="1"/>
    <col min="9" max="9" width="16.25" style="7" customWidth="1"/>
    <col min="10" max="10" width="13.625" style="5" customWidth="1"/>
    <col min="11" max="11" width="19.875" style="5" customWidth="1"/>
    <col min="12" max="12" width="11" style="5" customWidth="1"/>
    <col min="13" max="13" width="10.625" style="5" customWidth="1"/>
    <col min="14" max="14" width="11.5" style="78" customWidth="1"/>
    <col min="15" max="15" width="15.75" style="21" customWidth="1"/>
    <col min="16" max="16384" width="9" style="21"/>
  </cols>
  <sheetData>
    <row r="1" spans="1:25">
      <c r="C1" s="21" t="s">
        <v>325</v>
      </c>
    </row>
    <row r="2" spans="1:25" s="100" customFormat="1" ht="21" customHeight="1">
      <c r="A2" s="27"/>
      <c r="B2" s="27"/>
      <c r="C2" s="1" t="s">
        <v>1</v>
      </c>
      <c r="D2" s="1" t="s">
        <v>2</v>
      </c>
      <c r="E2" s="1"/>
      <c r="F2" s="2" t="s">
        <v>3</v>
      </c>
      <c r="G2" s="8" t="s">
        <v>69</v>
      </c>
      <c r="H2" s="9" t="s">
        <v>70</v>
      </c>
      <c r="I2" s="10" t="s">
        <v>71</v>
      </c>
      <c r="J2" s="10" t="s">
        <v>72</v>
      </c>
      <c r="K2" s="18" t="s">
        <v>73</v>
      </c>
      <c r="L2" s="19"/>
      <c r="M2" s="20" t="s">
        <v>74</v>
      </c>
      <c r="N2" s="28">
        <v>7.01</v>
      </c>
      <c r="O2" s="97"/>
      <c r="P2" s="91"/>
      <c r="Q2" s="98"/>
      <c r="R2" s="99"/>
      <c r="S2" s="99"/>
      <c r="W2" s="101"/>
      <c r="X2" s="101"/>
      <c r="Y2" s="101"/>
    </row>
    <row r="3" spans="1:25" ht="15" customHeight="1">
      <c r="A3" s="29">
        <v>43556</v>
      </c>
      <c r="B3" s="21" t="s">
        <v>325</v>
      </c>
      <c r="C3" s="25" t="s">
        <v>4</v>
      </c>
      <c r="D3" s="21" t="s">
        <v>81</v>
      </c>
      <c r="E3" s="21" t="s">
        <v>244</v>
      </c>
      <c r="F3" s="3" t="s">
        <v>245</v>
      </c>
      <c r="G3" s="11"/>
      <c r="H3" s="12"/>
      <c r="I3" s="13"/>
      <c r="J3" s="11">
        <f t="shared" ref="J3:J66" si="0">G3*H3*1-I3</f>
        <v>0</v>
      </c>
      <c r="K3" s="11">
        <f>J3*0.2*N2</f>
        <v>0</v>
      </c>
      <c r="L3" s="11"/>
      <c r="M3" s="11"/>
      <c r="N3" s="78" t="s">
        <v>242</v>
      </c>
    </row>
    <row r="4" spans="1:25" ht="15" customHeight="1">
      <c r="A4" s="29">
        <v>43556</v>
      </c>
      <c r="B4" s="21" t="s">
        <v>325</v>
      </c>
      <c r="C4" s="30"/>
      <c r="D4" s="21" t="s">
        <v>95</v>
      </c>
      <c r="E4" s="21" t="s">
        <v>96</v>
      </c>
      <c r="F4" s="3" t="s">
        <v>97</v>
      </c>
      <c r="G4" s="11"/>
      <c r="H4" s="12"/>
      <c r="I4" s="13"/>
      <c r="J4" s="11">
        <f t="shared" si="0"/>
        <v>0</v>
      </c>
      <c r="K4" s="11">
        <f>(J4+J5+J6)*0.05*N2</f>
        <v>0</v>
      </c>
      <c r="L4" s="11">
        <f>K4/0.05*0.25</f>
        <v>0</v>
      </c>
      <c r="M4" s="11">
        <f>L4-K4</f>
        <v>0</v>
      </c>
    </row>
    <row r="5" spans="1:25" ht="15" customHeight="1">
      <c r="A5" s="29">
        <v>43556</v>
      </c>
      <c r="B5" s="21" t="s">
        <v>325</v>
      </c>
      <c r="C5" s="30"/>
      <c r="D5" s="21" t="s">
        <v>95</v>
      </c>
      <c r="E5" s="21" t="s">
        <v>96</v>
      </c>
      <c r="F5" s="3" t="s">
        <v>98</v>
      </c>
      <c r="G5" s="11"/>
      <c r="H5" s="12"/>
      <c r="I5" s="13"/>
      <c r="J5" s="11">
        <f t="shared" si="0"/>
        <v>0</v>
      </c>
      <c r="K5" s="11"/>
      <c r="L5" s="11"/>
      <c r="M5" s="11"/>
    </row>
    <row r="6" spans="1:25" ht="15" customHeight="1">
      <c r="A6" s="29">
        <v>43556</v>
      </c>
      <c r="B6" s="21" t="s">
        <v>325</v>
      </c>
      <c r="C6" s="30"/>
      <c r="D6" s="21" t="s">
        <v>95</v>
      </c>
      <c r="E6" s="21" t="s">
        <v>96</v>
      </c>
      <c r="F6" s="3" t="s">
        <v>326</v>
      </c>
      <c r="G6" s="11"/>
      <c r="H6" s="12"/>
      <c r="I6" s="14"/>
      <c r="J6" s="11">
        <f t="shared" si="0"/>
        <v>0</v>
      </c>
      <c r="K6" s="11"/>
      <c r="L6" s="11"/>
      <c r="M6" s="11"/>
    </row>
    <row r="7" spans="1:25" ht="15" customHeight="1">
      <c r="A7" s="29">
        <v>43556</v>
      </c>
      <c r="B7" s="21" t="s">
        <v>325</v>
      </c>
      <c r="C7" s="30"/>
      <c r="D7" s="21" t="s">
        <v>120</v>
      </c>
      <c r="E7" s="21" t="s">
        <v>327</v>
      </c>
      <c r="F7" s="3" t="s">
        <v>328</v>
      </c>
      <c r="G7" s="11"/>
      <c r="H7" s="12"/>
      <c r="I7" s="13"/>
      <c r="J7" s="11">
        <f t="shared" si="0"/>
        <v>0</v>
      </c>
      <c r="K7" s="11">
        <f>J7*0.03*N2</f>
        <v>0</v>
      </c>
      <c r="L7" s="11">
        <f>K7/0.03*0.25</f>
        <v>0</v>
      </c>
      <c r="M7" s="11">
        <f t="shared" ref="M7:M11" si="1">L7-K7</f>
        <v>0</v>
      </c>
    </row>
    <row r="8" spans="1:25" ht="15" customHeight="1">
      <c r="A8" s="29">
        <v>43556</v>
      </c>
      <c r="B8" s="21" t="s">
        <v>325</v>
      </c>
      <c r="C8" s="30"/>
      <c r="D8" s="21" t="s">
        <v>89</v>
      </c>
      <c r="E8" s="21" t="s">
        <v>90</v>
      </c>
      <c r="F8" s="3" t="s">
        <v>91</v>
      </c>
      <c r="G8" s="11"/>
      <c r="H8" s="12"/>
      <c r="I8" s="13"/>
      <c r="J8" s="11">
        <f t="shared" si="0"/>
        <v>0</v>
      </c>
      <c r="K8" s="11">
        <f>(J8+J9)*0.2*N2</f>
        <v>0</v>
      </c>
      <c r="L8" s="11"/>
      <c r="M8" s="11"/>
    </row>
    <row r="9" spans="1:25" ht="15" customHeight="1">
      <c r="A9" s="29">
        <v>43556</v>
      </c>
      <c r="B9" s="21" t="s">
        <v>325</v>
      </c>
      <c r="C9" s="30"/>
      <c r="D9" s="21" t="s">
        <v>89</v>
      </c>
      <c r="E9" s="21" t="s">
        <v>90</v>
      </c>
      <c r="F9" s="3" t="s">
        <v>92</v>
      </c>
      <c r="G9" s="11"/>
      <c r="H9" s="12"/>
      <c r="I9" s="13"/>
      <c r="J9" s="11">
        <f t="shared" si="0"/>
        <v>0</v>
      </c>
      <c r="K9" s="11"/>
      <c r="L9" s="11"/>
      <c r="M9" s="11"/>
    </row>
    <row r="10" spans="1:25" ht="15" customHeight="1">
      <c r="A10" s="29">
        <v>43556</v>
      </c>
      <c r="B10" s="21" t="s">
        <v>325</v>
      </c>
      <c r="C10" s="30"/>
      <c r="D10" s="21" t="s">
        <v>8</v>
      </c>
      <c r="E10" s="21" t="s">
        <v>9</v>
      </c>
      <c r="F10" s="3" t="s">
        <v>10</v>
      </c>
      <c r="G10" s="11"/>
      <c r="H10" s="12"/>
      <c r="I10" s="13"/>
      <c r="J10" s="11">
        <f t="shared" si="0"/>
        <v>0</v>
      </c>
      <c r="K10" s="11">
        <f>J10*0.05*N2</f>
        <v>0</v>
      </c>
      <c r="L10" s="11">
        <f t="shared" ref="L10:L14" si="2">K10/0.05*0.25</f>
        <v>0</v>
      </c>
      <c r="M10" s="11">
        <f t="shared" si="1"/>
        <v>0</v>
      </c>
    </row>
    <row r="11" spans="1:25" ht="15" customHeight="1">
      <c r="A11" s="29">
        <v>43556</v>
      </c>
      <c r="B11" s="21" t="s">
        <v>325</v>
      </c>
      <c r="C11" s="30"/>
      <c r="D11" s="21" t="s">
        <v>111</v>
      </c>
      <c r="E11" s="21" t="s">
        <v>108</v>
      </c>
      <c r="F11" s="3" t="s">
        <v>109</v>
      </c>
      <c r="G11" s="11"/>
      <c r="H11" s="12"/>
      <c r="I11" s="13"/>
      <c r="J11" s="11">
        <f t="shared" si="0"/>
        <v>0</v>
      </c>
      <c r="K11" s="11">
        <f>(J11+J13+J12)*0.05*N2</f>
        <v>0</v>
      </c>
      <c r="L11" s="11">
        <f t="shared" si="2"/>
        <v>0</v>
      </c>
      <c r="M11" s="11">
        <f t="shared" si="1"/>
        <v>0</v>
      </c>
    </row>
    <row r="12" spans="1:25" ht="15" customHeight="1">
      <c r="A12" s="29"/>
      <c r="C12" s="30"/>
      <c r="D12" s="21" t="s">
        <v>111</v>
      </c>
      <c r="E12" s="21" t="s">
        <v>108</v>
      </c>
      <c r="F12" s="3" t="s">
        <v>110</v>
      </c>
      <c r="G12" s="11"/>
      <c r="H12" s="12"/>
      <c r="I12" s="14"/>
      <c r="J12" s="11">
        <f t="shared" si="0"/>
        <v>0</v>
      </c>
      <c r="K12" s="11"/>
      <c r="L12" s="11"/>
      <c r="M12" s="11"/>
    </row>
    <row r="13" spans="1:25" ht="15" customHeight="1">
      <c r="A13" s="29">
        <v>43556</v>
      </c>
      <c r="B13" s="21" t="s">
        <v>325</v>
      </c>
      <c r="C13" s="30"/>
      <c r="D13" s="21" t="s">
        <v>107</v>
      </c>
      <c r="E13" s="21" t="s">
        <v>108</v>
      </c>
      <c r="F13" s="3" t="s">
        <v>109</v>
      </c>
      <c r="G13" s="11"/>
      <c r="H13" s="12"/>
      <c r="I13" s="14"/>
      <c r="J13" s="11">
        <f t="shared" si="0"/>
        <v>0</v>
      </c>
      <c r="K13" s="11"/>
      <c r="L13" s="11"/>
      <c r="M13" s="11"/>
    </row>
    <row r="14" spans="1:25" ht="15" customHeight="1">
      <c r="A14" s="29">
        <v>43556</v>
      </c>
      <c r="B14" s="21" t="s">
        <v>325</v>
      </c>
      <c r="C14" s="30"/>
      <c r="D14" s="21" t="s">
        <v>106</v>
      </c>
      <c r="E14" s="21" t="s">
        <v>115</v>
      </c>
      <c r="F14" s="3" t="s">
        <v>116</v>
      </c>
      <c r="G14" s="79"/>
      <c r="H14" s="12"/>
      <c r="I14" s="13"/>
      <c r="J14" s="11">
        <f t="shared" si="0"/>
        <v>0</v>
      </c>
      <c r="K14" s="11">
        <f>(J14+J15+J18+J25+J26)*0.05*N2</f>
        <v>0</v>
      </c>
      <c r="L14" s="11">
        <f t="shared" si="2"/>
        <v>0</v>
      </c>
      <c r="M14" s="11">
        <f>L14-K14</f>
        <v>0</v>
      </c>
    </row>
    <row r="15" spans="1:25" ht="15" customHeight="1">
      <c r="A15" s="29">
        <v>43556</v>
      </c>
      <c r="B15" s="21" t="s">
        <v>325</v>
      </c>
      <c r="C15" s="30"/>
      <c r="D15" s="21" t="s">
        <v>106</v>
      </c>
      <c r="E15" s="21" t="s">
        <v>115</v>
      </c>
      <c r="F15" s="3" t="s">
        <v>204</v>
      </c>
      <c r="G15" s="79"/>
      <c r="H15" s="12"/>
      <c r="I15" s="13"/>
      <c r="J15" s="11">
        <f t="shared" si="0"/>
        <v>0</v>
      </c>
      <c r="K15" s="11"/>
      <c r="L15" s="11"/>
      <c r="M15" s="11"/>
    </row>
    <row r="16" spans="1:25" ht="15" customHeight="1">
      <c r="A16" s="29">
        <v>43556</v>
      </c>
      <c r="B16" s="21" t="s">
        <v>325</v>
      </c>
      <c r="C16" s="30"/>
      <c r="D16" s="21" t="s">
        <v>5</v>
      </c>
      <c r="E16" s="21" t="s">
        <v>6</v>
      </c>
      <c r="F16" s="3" t="s">
        <v>7</v>
      </c>
      <c r="G16" s="79"/>
      <c r="H16" s="12"/>
      <c r="I16" s="13"/>
      <c r="J16" s="11">
        <f t="shared" si="0"/>
        <v>0</v>
      </c>
      <c r="K16" s="11">
        <f>(J16+J17)*0.04*N2</f>
        <v>0</v>
      </c>
      <c r="L16" s="11">
        <f>K16/0.04*0.25</f>
        <v>0</v>
      </c>
      <c r="M16" s="11">
        <f>L16-K16</f>
        <v>0</v>
      </c>
    </row>
    <row r="17" spans="1:13">
      <c r="A17" s="29">
        <v>43556</v>
      </c>
      <c r="B17" s="21" t="s">
        <v>325</v>
      </c>
      <c r="C17" s="30"/>
      <c r="D17" s="21" t="s">
        <v>5</v>
      </c>
      <c r="E17" s="21" t="s">
        <v>6</v>
      </c>
      <c r="F17" s="3" t="s">
        <v>198</v>
      </c>
      <c r="G17" s="79"/>
      <c r="H17" s="12"/>
      <c r="I17" s="14"/>
      <c r="J17" s="11">
        <f t="shared" si="0"/>
        <v>0</v>
      </c>
      <c r="K17" s="11"/>
      <c r="L17" s="11"/>
      <c r="M17" s="11"/>
    </row>
    <row r="18" spans="1:13">
      <c r="A18" s="29">
        <v>43556</v>
      </c>
      <c r="B18" s="21" t="s">
        <v>325</v>
      </c>
      <c r="C18" s="30"/>
      <c r="D18" s="21" t="s">
        <v>205</v>
      </c>
      <c r="E18" s="21" t="s">
        <v>115</v>
      </c>
      <c r="F18" s="3" t="s">
        <v>116</v>
      </c>
      <c r="G18" s="79"/>
      <c r="H18" s="12"/>
      <c r="I18" s="13"/>
      <c r="J18" s="11">
        <f t="shared" si="0"/>
        <v>0</v>
      </c>
      <c r="K18" s="11"/>
      <c r="L18" s="11"/>
      <c r="M18" s="11"/>
    </row>
    <row r="19" spans="1:13">
      <c r="A19" s="29">
        <v>43556</v>
      </c>
      <c r="B19" s="21" t="s">
        <v>325</v>
      </c>
      <c r="C19" s="30"/>
      <c r="D19" s="21" t="s">
        <v>201</v>
      </c>
      <c r="E19" s="21" t="s">
        <v>202</v>
      </c>
      <c r="F19" s="3" t="s">
        <v>203</v>
      </c>
      <c r="G19" s="11"/>
      <c r="H19" s="12"/>
      <c r="I19" s="13"/>
      <c r="J19" s="11">
        <f t="shared" si="0"/>
        <v>0</v>
      </c>
      <c r="K19" s="11">
        <f>(J19+J20+J21)*0.2*N2</f>
        <v>0</v>
      </c>
      <c r="L19" s="11"/>
      <c r="M19" s="11"/>
    </row>
    <row r="20" spans="1:13">
      <c r="A20" s="29">
        <v>43556</v>
      </c>
      <c r="B20" s="21" t="s">
        <v>325</v>
      </c>
      <c r="C20" s="30"/>
      <c r="D20" s="21" t="s">
        <v>201</v>
      </c>
      <c r="E20" s="21" t="s">
        <v>202</v>
      </c>
      <c r="F20" s="3" t="s">
        <v>329</v>
      </c>
      <c r="G20" s="11"/>
      <c r="H20" s="12"/>
      <c r="I20" s="13"/>
      <c r="J20" s="11">
        <f t="shared" si="0"/>
        <v>0</v>
      </c>
      <c r="K20" s="11"/>
      <c r="L20" s="11"/>
      <c r="M20" s="11"/>
    </row>
    <row r="21" spans="1:13">
      <c r="A21" s="29">
        <v>43556</v>
      </c>
      <c r="B21" s="21" t="s">
        <v>325</v>
      </c>
      <c r="C21" s="30"/>
      <c r="D21" s="21" t="s">
        <v>201</v>
      </c>
      <c r="E21" s="21" t="s">
        <v>202</v>
      </c>
      <c r="F21" s="3" t="s">
        <v>307</v>
      </c>
      <c r="G21" s="11"/>
      <c r="H21" s="12"/>
      <c r="I21" s="13"/>
      <c r="J21" s="11">
        <f t="shared" si="0"/>
        <v>0</v>
      </c>
      <c r="K21" s="11"/>
      <c r="L21" s="11"/>
      <c r="M21" s="11"/>
    </row>
    <row r="22" spans="1:13">
      <c r="A22" s="29">
        <v>43556</v>
      </c>
      <c r="B22" s="21" t="s">
        <v>325</v>
      </c>
      <c r="C22" s="30"/>
      <c r="D22" s="21" t="s">
        <v>112</v>
      </c>
      <c r="E22" s="21" t="s">
        <v>113</v>
      </c>
      <c r="F22" s="3" t="s">
        <v>114</v>
      </c>
      <c r="G22" s="11"/>
      <c r="H22" s="12"/>
      <c r="I22" s="13"/>
      <c r="J22" s="11">
        <f t="shared" si="0"/>
        <v>0</v>
      </c>
      <c r="K22" s="11">
        <f>(J22+J24+J23)*0.05*N2</f>
        <v>0</v>
      </c>
      <c r="L22" s="11">
        <f>K22/0.05*0.25</f>
        <v>0</v>
      </c>
      <c r="M22" s="11">
        <f>L22-K22</f>
        <v>0</v>
      </c>
    </row>
    <row r="23" spans="1:13">
      <c r="A23" s="29">
        <v>43556</v>
      </c>
      <c r="B23" s="21" t="s">
        <v>325</v>
      </c>
      <c r="C23" s="30"/>
      <c r="D23" s="21" t="s">
        <v>102</v>
      </c>
      <c r="E23" s="21" t="s">
        <v>113</v>
      </c>
      <c r="F23" s="3" t="s">
        <v>114</v>
      </c>
      <c r="G23" s="11"/>
      <c r="H23" s="12"/>
      <c r="I23" s="13"/>
      <c r="J23" s="11">
        <f t="shared" si="0"/>
        <v>0</v>
      </c>
      <c r="K23" s="11"/>
      <c r="L23" s="11"/>
      <c r="M23" s="11"/>
    </row>
    <row r="24" spans="1:13">
      <c r="A24" s="29">
        <v>43556</v>
      </c>
      <c r="B24" s="21" t="s">
        <v>325</v>
      </c>
      <c r="C24" s="30"/>
      <c r="D24" s="21" t="s">
        <v>243</v>
      </c>
      <c r="E24" s="21" t="s">
        <v>113</v>
      </c>
      <c r="F24" s="3" t="s">
        <v>114</v>
      </c>
      <c r="G24" s="11"/>
      <c r="H24" s="12"/>
      <c r="I24" s="13"/>
      <c r="J24" s="11">
        <f t="shared" si="0"/>
        <v>0</v>
      </c>
      <c r="K24" s="11"/>
      <c r="L24" s="11"/>
      <c r="M24" s="11"/>
    </row>
    <row r="25" spans="1:13">
      <c r="A25" s="29">
        <v>43556</v>
      </c>
      <c r="B25" s="21" t="s">
        <v>325</v>
      </c>
      <c r="C25" s="30"/>
      <c r="D25" s="21" t="s">
        <v>119</v>
      </c>
      <c r="E25" s="21" t="s">
        <v>115</v>
      </c>
      <c r="F25" s="3" t="s">
        <v>116</v>
      </c>
      <c r="G25" s="11"/>
      <c r="H25" s="12"/>
      <c r="I25" s="13"/>
      <c r="J25" s="11">
        <f t="shared" si="0"/>
        <v>0</v>
      </c>
      <c r="K25" s="11"/>
      <c r="L25" s="11"/>
      <c r="M25" s="11"/>
    </row>
    <row r="26" spans="1:13">
      <c r="A26" s="29">
        <v>43556</v>
      </c>
      <c r="B26" s="21" t="s">
        <v>325</v>
      </c>
      <c r="C26" s="30"/>
      <c r="D26" s="21" t="s">
        <v>119</v>
      </c>
      <c r="E26" s="21" t="s">
        <v>115</v>
      </c>
      <c r="F26" s="3" t="s">
        <v>204</v>
      </c>
      <c r="G26" s="11"/>
      <c r="H26" s="12"/>
      <c r="I26" s="13"/>
      <c r="J26" s="11">
        <f t="shared" si="0"/>
        <v>0</v>
      </c>
      <c r="K26" s="11"/>
      <c r="L26" s="11"/>
      <c r="M26" s="11"/>
    </row>
    <row r="27" spans="1:13">
      <c r="A27" s="29">
        <v>43556</v>
      </c>
      <c r="B27" s="21" t="s">
        <v>325</v>
      </c>
      <c r="C27" s="30"/>
      <c r="D27" s="21" t="s">
        <v>117</v>
      </c>
      <c r="E27" s="21" t="s">
        <v>82</v>
      </c>
      <c r="F27" s="3" t="s">
        <v>83</v>
      </c>
      <c r="G27" s="11"/>
      <c r="H27" s="12"/>
      <c r="I27" s="13"/>
      <c r="J27" s="11">
        <f t="shared" si="0"/>
        <v>0</v>
      </c>
      <c r="K27" s="11">
        <f>J27*0.05*N2</f>
        <v>0</v>
      </c>
      <c r="L27" s="11">
        <f t="shared" ref="L27:L28" si="3">K27/0.05*0.25</f>
        <v>0</v>
      </c>
      <c r="M27" s="11">
        <f t="shared" ref="M27:M28" si="4">L27-K27</f>
        <v>0</v>
      </c>
    </row>
    <row r="28" spans="1:13">
      <c r="A28" s="29">
        <v>43556</v>
      </c>
      <c r="B28" s="21" t="s">
        <v>325</v>
      </c>
      <c r="C28" s="30"/>
      <c r="D28" s="21" t="s">
        <v>118</v>
      </c>
      <c r="E28" s="21" t="s">
        <v>77</v>
      </c>
      <c r="F28" s="3" t="s">
        <v>78</v>
      </c>
      <c r="G28" s="11"/>
      <c r="H28" s="12"/>
      <c r="I28" s="13"/>
      <c r="J28" s="11">
        <f t="shared" si="0"/>
        <v>0</v>
      </c>
      <c r="K28" s="11">
        <f>J28*0.05*N2</f>
        <v>0</v>
      </c>
      <c r="L28" s="11">
        <f t="shared" si="3"/>
        <v>0</v>
      </c>
      <c r="M28" s="11">
        <f t="shared" si="4"/>
        <v>0</v>
      </c>
    </row>
    <row r="29" spans="1:13">
      <c r="A29" s="29">
        <v>43556</v>
      </c>
      <c r="B29" s="21" t="s">
        <v>325</v>
      </c>
      <c r="C29" s="30"/>
      <c r="D29" s="32" t="s">
        <v>89</v>
      </c>
      <c r="E29" s="32" t="s">
        <v>208</v>
      </c>
      <c r="F29" s="32" t="s">
        <v>209</v>
      </c>
      <c r="G29" s="33"/>
      <c r="H29" s="34"/>
      <c r="I29" s="13"/>
      <c r="J29" s="11">
        <f t="shared" si="0"/>
        <v>0</v>
      </c>
      <c r="K29" s="11">
        <f>(J29+J30+J31)*0.25*N2</f>
        <v>0</v>
      </c>
      <c r="L29" s="11"/>
      <c r="M29" s="11"/>
    </row>
    <row r="30" spans="1:13">
      <c r="A30" s="29">
        <v>43556</v>
      </c>
      <c r="B30" s="21" t="s">
        <v>325</v>
      </c>
      <c r="C30" s="30"/>
      <c r="D30" s="32" t="s">
        <v>94</v>
      </c>
      <c r="E30" s="32" t="s">
        <v>208</v>
      </c>
      <c r="F30" s="32" t="s">
        <v>209</v>
      </c>
      <c r="G30" s="33"/>
      <c r="H30" s="34"/>
      <c r="I30" s="13"/>
      <c r="J30" s="11">
        <f t="shared" si="0"/>
        <v>0</v>
      </c>
      <c r="K30" s="11"/>
      <c r="L30" s="11"/>
      <c r="M30" s="11"/>
    </row>
    <row r="31" spans="1:13">
      <c r="A31" s="29">
        <v>43556</v>
      </c>
      <c r="B31" s="21" t="s">
        <v>325</v>
      </c>
      <c r="C31" s="26"/>
      <c r="D31" s="32" t="s">
        <v>94</v>
      </c>
      <c r="E31" s="32" t="s">
        <v>208</v>
      </c>
      <c r="F31" s="32" t="s">
        <v>210</v>
      </c>
      <c r="G31" s="33"/>
      <c r="H31" s="34"/>
      <c r="I31" s="13"/>
      <c r="J31" s="11">
        <f t="shared" si="0"/>
        <v>0</v>
      </c>
      <c r="K31" s="11"/>
      <c r="L31" s="11"/>
      <c r="M31" s="11"/>
    </row>
    <row r="32" spans="1:13">
      <c r="A32" s="29">
        <v>43556</v>
      </c>
      <c r="B32" s="21" t="s">
        <v>325</v>
      </c>
      <c r="C32" s="25" t="s">
        <v>15</v>
      </c>
      <c r="D32" s="21" t="s">
        <v>24</v>
      </c>
      <c r="E32" s="21" t="s">
        <v>25</v>
      </c>
      <c r="F32" s="3" t="s">
        <v>26</v>
      </c>
      <c r="G32" s="11"/>
      <c r="H32" s="12"/>
      <c r="I32" s="13"/>
      <c r="J32" s="11">
        <f t="shared" si="0"/>
        <v>0</v>
      </c>
      <c r="K32" s="11">
        <f>(J32+J33)*0.15*N2</f>
        <v>0</v>
      </c>
      <c r="L32" s="11"/>
      <c r="M32" s="11"/>
    </row>
    <row r="33" spans="1:13">
      <c r="A33" s="29">
        <v>43556</v>
      </c>
      <c r="B33" s="21" t="s">
        <v>325</v>
      </c>
      <c r="C33" s="30"/>
      <c r="D33" s="21" t="s">
        <v>24</v>
      </c>
      <c r="E33" s="21" t="s">
        <v>25</v>
      </c>
      <c r="F33" s="3" t="s">
        <v>270</v>
      </c>
      <c r="G33" s="11"/>
      <c r="H33" s="12"/>
      <c r="I33" s="13"/>
      <c r="J33" s="11">
        <f t="shared" si="0"/>
        <v>0</v>
      </c>
      <c r="K33" s="11"/>
      <c r="L33" s="11"/>
      <c r="M33" s="11"/>
    </row>
    <row r="34" spans="1:13">
      <c r="A34" s="29">
        <v>43556</v>
      </c>
      <c r="B34" s="21" t="s">
        <v>325</v>
      </c>
      <c r="C34" s="30"/>
      <c r="D34" s="21" t="s">
        <v>22</v>
      </c>
      <c r="E34" s="21" t="s">
        <v>20</v>
      </c>
      <c r="F34" s="3" t="s">
        <v>21</v>
      </c>
      <c r="G34" s="11"/>
      <c r="H34" s="12"/>
      <c r="I34" s="13"/>
      <c r="J34" s="11">
        <f t="shared" si="0"/>
        <v>0</v>
      </c>
      <c r="K34" s="11">
        <f>(J34+J35+J50+J51+J54+J55+J58+J59)*0.03*N2</f>
        <v>0</v>
      </c>
      <c r="L34" s="11">
        <f>K34/0.03*0.25</f>
        <v>0</v>
      </c>
      <c r="M34" s="11">
        <f t="shared" ref="M34:M38" si="5">L34-K34</f>
        <v>0</v>
      </c>
    </row>
    <row r="35" spans="1:13">
      <c r="A35" s="29">
        <v>43556</v>
      </c>
      <c r="B35" s="21" t="s">
        <v>325</v>
      </c>
      <c r="C35" s="30"/>
      <c r="D35" s="21" t="s">
        <v>22</v>
      </c>
      <c r="E35" s="21" t="s">
        <v>20</v>
      </c>
      <c r="F35" s="3" t="s">
        <v>133</v>
      </c>
      <c r="G35" s="11"/>
      <c r="H35" s="12"/>
      <c r="I35" s="13"/>
      <c r="J35" s="11">
        <f t="shared" si="0"/>
        <v>0</v>
      </c>
      <c r="K35" s="11"/>
      <c r="L35" s="11"/>
      <c r="M35" s="11"/>
    </row>
    <row r="36" spans="1:13">
      <c r="A36" s="29">
        <v>43556</v>
      </c>
      <c r="B36" s="21" t="s">
        <v>325</v>
      </c>
      <c r="C36" s="30"/>
      <c r="D36" s="21" t="s">
        <v>16</v>
      </c>
      <c r="E36" s="21" t="s">
        <v>17</v>
      </c>
      <c r="F36" s="3" t="s">
        <v>18</v>
      </c>
      <c r="G36" s="11"/>
      <c r="H36" s="12"/>
      <c r="I36" s="13"/>
      <c r="J36" s="11">
        <f t="shared" si="0"/>
        <v>0</v>
      </c>
      <c r="K36" s="11"/>
      <c r="L36" s="11">
        <f>K36/0.05*0.25</f>
        <v>0</v>
      </c>
      <c r="M36" s="11">
        <f t="shared" si="5"/>
        <v>0</v>
      </c>
    </row>
    <row r="37" spans="1:13">
      <c r="A37" s="29">
        <v>43556</v>
      </c>
      <c r="B37" s="21" t="s">
        <v>325</v>
      </c>
      <c r="C37" s="30"/>
      <c r="D37" s="21" t="s">
        <v>16</v>
      </c>
      <c r="E37" s="21" t="s">
        <v>17</v>
      </c>
      <c r="F37" s="3" t="s">
        <v>141</v>
      </c>
      <c r="G37" s="11"/>
      <c r="H37" s="12"/>
      <c r="I37" s="13"/>
      <c r="J37" s="11">
        <f t="shared" si="0"/>
        <v>0</v>
      </c>
      <c r="K37" s="11"/>
      <c r="L37" s="11"/>
      <c r="M37" s="11"/>
    </row>
    <row r="38" spans="1:13">
      <c r="A38" s="29">
        <v>43556</v>
      </c>
      <c r="B38" s="21" t="s">
        <v>325</v>
      </c>
      <c r="C38" s="30"/>
      <c r="D38" s="21" t="s">
        <v>31</v>
      </c>
      <c r="E38" s="21" t="s">
        <v>17</v>
      </c>
      <c r="F38" s="3" t="s">
        <v>18</v>
      </c>
      <c r="G38" s="11"/>
      <c r="H38" s="12"/>
      <c r="I38" s="13"/>
      <c r="J38" s="11">
        <f t="shared" si="0"/>
        <v>0</v>
      </c>
      <c r="K38" s="11">
        <f>(J38+J39+J36+J37)*0.05*N2</f>
        <v>0</v>
      </c>
      <c r="L38" s="11">
        <f>K38/0.05*0.25</f>
        <v>0</v>
      </c>
      <c r="M38" s="11">
        <f t="shared" si="5"/>
        <v>0</v>
      </c>
    </row>
    <row r="39" spans="1:13">
      <c r="A39" s="29">
        <v>43556</v>
      </c>
      <c r="B39" s="21" t="s">
        <v>325</v>
      </c>
      <c r="C39" s="30"/>
      <c r="D39" s="21" t="s">
        <v>31</v>
      </c>
      <c r="E39" s="21" t="s">
        <v>17</v>
      </c>
      <c r="F39" s="3" t="s">
        <v>141</v>
      </c>
      <c r="G39" s="11"/>
      <c r="H39" s="12"/>
      <c r="I39" s="13"/>
      <c r="J39" s="11">
        <f t="shared" si="0"/>
        <v>0</v>
      </c>
      <c r="K39" s="11"/>
      <c r="L39" s="11"/>
      <c r="M39" s="11"/>
    </row>
    <row r="40" spans="1:13">
      <c r="A40" s="29"/>
      <c r="C40" s="30"/>
      <c r="D40" s="21" t="s">
        <v>140</v>
      </c>
      <c r="E40" s="21" t="s">
        <v>38</v>
      </c>
      <c r="F40" s="3" t="s">
        <v>39</v>
      </c>
      <c r="G40" s="11"/>
      <c r="H40" s="12"/>
      <c r="I40" s="13"/>
      <c r="J40" s="11">
        <f t="shared" si="0"/>
        <v>0</v>
      </c>
      <c r="K40" s="11"/>
      <c r="L40" s="11"/>
      <c r="M40" s="11"/>
    </row>
    <row r="41" spans="1:13">
      <c r="A41" s="29">
        <v>43556</v>
      </c>
      <c r="B41" s="21" t="s">
        <v>325</v>
      </c>
      <c r="C41" s="30"/>
      <c r="D41" s="21" t="s">
        <v>28</v>
      </c>
      <c r="E41" s="21" t="s">
        <v>29</v>
      </c>
      <c r="F41" s="3" t="s">
        <v>30</v>
      </c>
      <c r="G41" s="11"/>
      <c r="H41" s="12"/>
      <c r="I41" s="13"/>
      <c r="J41" s="11">
        <f t="shared" si="0"/>
        <v>0</v>
      </c>
      <c r="K41" s="11"/>
      <c r="L41" s="11"/>
      <c r="M41" s="11"/>
    </row>
    <row r="42" spans="1:13">
      <c r="A42" s="29">
        <v>43556</v>
      </c>
      <c r="B42" s="21" t="s">
        <v>325</v>
      </c>
      <c r="C42" s="30"/>
      <c r="D42" s="21" t="s">
        <v>28</v>
      </c>
      <c r="E42" s="21" t="s">
        <v>29</v>
      </c>
      <c r="F42" s="3" t="s">
        <v>135</v>
      </c>
      <c r="G42" s="11"/>
      <c r="H42" s="12"/>
      <c r="I42" s="13"/>
      <c r="J42" s="11">
        <f t="shared" si="0"/>
        <v>0</v>
      </c>
      <c r="K42" s="11"/>
      <c r="L42" s="11"/>
      <c r="M42" s="11"/>
    </row>
    <row r="43" spans="1:13">
      <c r="A43" s="29">
        <v>43556</v>
      </c>
      <c r="B43" s="21" t="s">
        <v>325</v>
      </c>
      <c r="C43" s="30"/>
      <c r="D43" s="21" t="s">
        <v>134</v>
      </c>
      <c r="E43" s="21" t="s">
        <v>29</v>
      </c>
      <c r="F43" s="3" t="s">
        <v>30</v>
      </c>
      <c r="G43" s="11"/>
      <c r="H43" s="12"/>
      <c r="I43" s="13"/>
      <c r="J43" s="11">
        <f t="shared" si="0"/>
        <v>0</v>
      </c>
      <c r="K43" s="11">
        <f>(J43+J44+J52+J53+J41+J42)*0.05*N2</f>
        <v>0</v>
      </c>
      <c r="L43" s="11">
        <f>K43/0.05*0.25</f>
        <v>0</v>
      </c>
      <c r="M43" s="11">
        <f t="shared" ref="M43:M47" si="6">L43-K43</f>
        <v>0</v>
      </c>
    </row>
    <row r="44" spans="1:13">
      <c r="A44" s="29">
        <v>43556</v>
      </c>
      <c r="B44" s="21" t="s">
        <v>325</v>
      </c>
      <c r="C44" s="30"/>
      <c r="D44" s="21" t="s">
        <v>134</v>
      </c>
      <c r="E44" s="21" t="s">
        <v>29</v>
      </c>
      <c r="F44" s="3" t="s">
        <v>135</v>
      </c>
      <c r="G44" s="11"/>
      <c r="H44" s="12"/>
      <c r="I44" s="14"/>
      <c r="J44" s="11">
        <f t="shared" si="0"/>
        <v>0</v>
      </c>
      <c r="K44" s="11"/>
      <c r="L44" s="11"/>
      <c r="M44" s="11"/>
    </row>
    <row r="45" spans="1:13">
      <c r="A45" s="29">
        <v>43556</v>
      </c>
      <c r="B45" s="21" t="s">
        <v>325</v>
      </c>
      <c r="C45" s="30"/>
      <c r="D45" s="21" t="s">
        <v>31</v>
      </c>
      <c r="E45" s="21" t="s">
        <v>35</v>
      </c>
      <c r="F45" s="3" t="s">
        <v>142</v>
      </c>
      <c r="G45" s="11"/>
      <c r="H45" s="12"/>
      <c r="I45" s="13"/>
      <c r="J45" s="11">
        <f t="shared" si="0"/>
        <v>0</v>
      </c>
      <c r="K45" s="11"/>
      <c r="L45" s="11">
        <f>K45/0.05*0.25</f>
        <v>0</v>
      </c>
      <c r="M45" s="11">
        <f t="shared" si="6"/>
        <v>0</v>
      </c>
    </row>
    <row r="46" spans="1:13">
      <c r="A46" s="29">
        <v>43556</v>
      </c>
      <c r="B46" s="21" t="s">
        <v>325</v>
      </c>
      <c r="C46" s="30"/>
      <c r="D46" s="21" t="s">
        <v>31</v>
      </c>
      <c r="E46" s="21" t="s">
        <v>35</v>
      </c>
      <c r="F46" s="3" t="s">
        <v>299</v>
      </c>
      <c r="G46" s="11"/>
      <c r="H46" s="12"/>
      <c r="I46" s="13"/>
      <c r="J46" s="11">
        <f t="shared" si="0"/>
        <v>0</v>
      </c>
      <c r="K46" s="11"/>
      <c r="L46" s="11"/>
      <c r="M46" s="11"/>
    </row>
    <row r="47" spans="1:13">
      <c r="A47" s="29">
        <v>43556</v>
      </c>
      <c r="B47" s="21" t="s">
        <v>325</v>
      </c>
      <c r="C47" s="30"/>
      <c r="D47" s="21" t="s">
        <v>34</v>
      </c>
      <c r="E47" s="21" t="s">
        <v>35</v>
      </c>
      <c r="F47" s="3" t="s">
        <v>36</v>
      </c>
      <c r="G47" s="11"/>
      <c r="H47" s="12"/>
      <c r="I47" s="13"/>
      <c r="J47" s="11">
        <f t="shared" si="0"/>
        <v>0</v>
      </c>
      <c r="K47" s="11"/>
      <c r="L47" s="11">
        <f>K47/0.03*0.25</f>
        <v>0</v>
      </c>
      <c r="M47" s="11">
        <f t="shared" si="6"/>
        <v>0</v>
      </c>
    </row>
    <row r="48" spans="1:13">
      <c r="A48" s="29">
        <v>43556</v>
      </c>
      <c r="B48" s="21" t="s">
        <v>325</v>
      </c>
      <c r="C48" s="30"/>
      <c r="D48" s="21" t="s">
        <v>34</v>
      </c>
      <c r="E48" s="21" t="s">
        <v>35</v>
      </c>
      <c r="F48" s="3" t="s">
        <v>271</v>
      </c>
      <c r="G48" s="11"/>
      <c r="H48" s="12"/>
      <c r="I48" s="13"/>
      <c r="J48" s="11">
        <f t="shared" si="0"/>
        <v>0</v>
      </c>
      <c r="K48" s="11"/>
      <c r="L48" s="11"/>
      <c r="M48" s="11"/>
    </row>
    <row r="49" spans="1:13">
      <c r="A49" s="29"/>
      <c r="C49" s="30"/>
      <c r="D49" s="21" t="s">
        <v>37</v>
      </c>
      <c r="E49" s="21" t="s">
        <v>35</v>
      </c>
      <c r="F49" s="3" t="s">
        <v>36</v>
      </c>
      <c r="G49" s="11"/>
      <c r="H49" s="12"/>
      <c r="I49" s="13"/>
      <c r="J49" s="11">
        <f t="shared" si="0"/>
        <v>0</v>
      </c>
      <c r="K49" s="11"/>
      <c r="L49" s="11"/>
      <c r="M49" s="11"/>
    </row>
    <row r="50" spans="1:13">
      <c r="A50" s="29">
        <v>43556</v>
      </c>
      <c r="B50" s="21" t="s">
        <v>325</v>
      </c>
      <c r="C50" s="30"/>
      <c r="D50" s="21" t="s">
        <v>19</v>
      </c>
      <c r="E50" s="21" t="s">
        <v>20</v>
      </c>
      <c r="F50" s="3" t="s">
        <v>21</v>
      </c>
      <c r="G50" s="11"/>
      <c r="H50" s="12"/>
      <c r="I50" s="13"/>
      <c r="J50" s="11">
        <f t="shared" si="0"/>
        <v>0</v>
      </c>
      <c r="K50" s="11"/>
      <c r="L50" s="11"/>
      <c r="M50" s="11"/>
    </row>
    <row r="51" spans="1:13">
      <c r="A51" s="29">
        <v>43556</v>
      </c>
      <c r="B51" s="21" t="s">
        <v>325</v>
      </c>
      <c r="C51" s="30"/>
      <c r="D51" s="21" t="s">
        <v>19</v>
      </c>
      <c r="E51" s="21" t="s">
        <v>20</v>
      </c>
      <c r="F51" s="3" t="s">
        <v>133</v>
      </c>
      <c r="G51" s="11"/>
      <c r="H51" s="12"/>
      <c r="I51" s="13"/>
      <c r="J51" s="11">
        <f t="shared" si="0"/>
        <v>0</v>
      </c>
      <c r="K51" s="11"/>
      <c r="L51" s="11"/>
      <c r="M51" s="11"/>
    </row>
    <row r="52" spans="1:13">
      <c r="A52" s="29">
        <v>43556</v>
      </c>
      <c r="B52" s="21" t="s">
        <v>325</v>
      </c>
      <c r="C52" s="30"/>
      <c r="D52" s="21" t="s">
        <v>136</v>
      </c>
      <c r="E52" s="21" t="s">
        <v>29</v>
      </c>
      <c r="F52" s="3" t="s">
        <v>30</v>
      </c>
      <c r="G52" s="11"/>
      <c r="H52" s="12"/>
      <c r="I52" s="13"/>
      <c r="J52" s="11">
        <f t="shared" si="0"/>
        <v>0</v>
      </c>
      <c r="K52" s="11"/>
      <c r="L52" s="11"/>
      <c r="M52" s="11"/>
    </row>
    <row r="53" spans="1:13">
      <c r="A53" s="29">
        <v>43556</v>
      </c>
      <c r="B53" s="21" t="s">
        <v>325</v>
      </c>
      <c r="C53" s="30"/>
      <c r="D53" s="21" t="s">
        <v>136</v>
      </c>
      <c r="E53" s="21" t="s">
        <v>29</v>
      </c>
      <c r="F53" s="3" t="s">
        <v>135</v>
      </c>
      <c r="G53" s="11"/>
      <c r="H53" s="12"/>
      <c r="I53" s="13"/>
      <c r="J53" s="11">
        <f t="shared" si="0"/>
        <v>0</v>
      </c>
      <c r="K53" s="11"/>
      <c r="L53" s="11"/>
      <c r="M53" s="11"/>
    </row>
    <row r="54" spans="1:13">
      <c r="A54" s="29">
        <v>43556</v>
      </c>
      <c r="B54" s="21" t="s">
        <v>325</v>
      </c>
      <c r="C54" s="30"/>
      <c r="D54" s="21" t="s">
        <v>23</v>
      </c>
      <c r="E54" s="21" t="s">
        <v>20</v>
      </c>
      <c r="F54" s="3" t="s">
        <v>21</v>
      </c>
      <c r="G54" s="11"/>
      <c r="H54" s="12"/>
      <c r="I54" s="13"/>
      <c r="J54" s="11">
        <f t="shared" si="0"/>
        <v>0</v>
      </c>
      <c r="K54" s="11"/>
      <c r="L54" s="11">
        <f>K54/0.05*0.25</f>
        <v>0</v>
      </c>
      <c r="M54" s="11">
        <f>L54-K54</f>
        <v>0</v>
      </c>
    </row>
    <row r="55" spans="1:13">
      <c r="A55" s="29">
        <v>43556</v>
      </c>
      <c r="B55" s="21" t="s">
        <v>325</v>
      </c>
      <c r="C55" s="30"/>
      <c r="D55" s="21" t="s">
        <v>23</v>
      </c>
      <c r="E55" s="21" t="s">
        <v>20</v>
      </c>
      <c r="F55" s="3" t="s">
        <v>133</v>
      </c>
      <c r="G55" s="11"/>
      <c r="H55" s="12"/>
      <c r="I55" s="14"/>
      <c r="J55" s="11">
        <f t="shared" si="0"/>
        <v>0</v>
      </c>
      <c r="K55" s="11"/>
      <c r="L55" s="11"/>
      <c r="M55" s="11"/>
    </row>
    <row r="56" spans="1:13">
      <c r="A56" s="29">
        <v>43556</v>
      </c>
      <c r="B56" s="21" t="s">
        <v>325</v>
      </c>
      <c r="C56" s="30"/>
      <c r="D56" s="21" t="s">
        <v>23</v>
      </c>
      <c r="E56" s="21" t="s">
        <v>29</v>
      </c>
      <c r="F56" s="3" t="s">
        <v>330</v>
      </c>
      <c r="G56" s="11"/>
      <c r="H56" s="12"/>
      <c r="I56" s="13"/>
      <c r="J56" s="11">
        <f t="shared" si="0"/>
        <v>0</v>
      </c>
      <c r="K56" s="11"/>
      <c r="L56" s="11">
        <f>K56/0.03*0.25</f>
        <v>0</v>
      </c>
      <c r="M56" s="11">
        <f>L56-K56</f>
        <v>0</v>
      </c>
    </row>
    <row r="57" spans="1:13">
      <c r="A57" s="29"/>
      <c r="C57" s="30"/>
      <c r="D57" s="21" t="s">
        <v>212</v>
      </c>
      <c r="E57" s="21" t="s">
        <v>35</v>
      </c>
      <c r="F57" s="3" t="s">
        <v>213</v>
      </c>
      <c r="G57" s="11"/>
      <c r="H57" s="12"/>
      <c r="I57" s="13"/>
      <c r="J57" s="11">
        <f t="shared" si="0"/>
        <v>0</v>
      </c>
      <c r="K57" s="11"/>
      <c r="L57" s="11"/>
      <c r="M57" s="11"/>
    </row>
    <row r="58" spans="1:13">
      <c r="A58" s="29"/>
      <c r="C58" s="30"/>
      <c r="D58" s="21" t="s">
        <v>214</v>
      </c>
      <c r="E58" s="21" t="s">
        <v>20</v>
      </c>
      <c r="F58" s="3" t="s">
        <v>21</v>
      </c>
      <c r="G58" s="11"/>
      <c r="H58" s="12"/>
      <c r="I58" s="13"/>
      <c r="J58" s="11">
        <f t="shared" si="0"/>
        <v>0</v>
      </c>
      <c r="K58" s="11"/>
      <c r="L58" s="11"/>
      <c r="M58" s="11"/>
    </row>
    <row r="59" spans="1:13">
      <c r="A59" s="29"/>
      <c r="C59" s="30"/>
      <c r="D59" s="21" t="s">
        <v>214</v>
      </c>
      <c r="E59" s="21" t="s">
        <v>20</v>
      </c>
      <c r="F59" s="3" t="s">
        <v>133</v>
      </c>
      <c r="G59" s="11"/>
      <c r="H59" s="12"/>
      <c r="I59" s="14"/>
      <c r="J59" s="11">
        <f t="shared" si="0"/>
        <v>0</v>
      </c>
      <c r="K59" s="11"/>
      <c r="L59" s="11"/>
      <c r="M59" s="11"/>
    </row>
    <row r="60" spans="1:13">
      <c r="A60" s="29"/>
      <c r="C60" s="30"/>
      <c r="D60" s="21" t="s">
        <v>139</v>
      </c>
      <c r="E60" s="21" t="s">
        <v>35</v>
      </c>
      <c r="F60" s="3" t="s">
        <v>213</v>
      </c>
      <c r="G60" s="11"/>
      <c r="H60" s="12"/>
      <c r="I60" s="13"/>
      <c r="J60" s="11">
        <f t="shared" si="0"/>
        <v>0</v>
      </c>
      <c r="K60" s="11"/>
      <c r="L60" s="11"/>
      <c r="M60" s="11"/>
    </row>
    <row r="61" spans="1:13">
      <c r="A61" s="29">
        <v>43556</v>
      </c>
      <c r="B61" s="21" t="s">
        <v>325</v>
      </c>
      <c r="C61" s="25" t="s">
        <v>158</v>
      </c>
      <c r="D61" s="21" t="s">
        <v>229</v>
      </c>
      <c r="E61" s="21" t="s">
        <v>177</v>
      </c>
      <c r="F61" s="3" t="s">
        <v>228</v>
      </c>
      <c r="G61" s="11"/>
      <c r="H61" s="12"/>
      <c r="I61" s="13"/>
      <c r="J61" s="11">
        <f t="shared" si="0"/>
        <v>0</v>
      </c>
      <c r="K61" s="11">
        <f>(J61+J63+J62+J84+J85+J86)*0.03*N2</f>
        <v>0</v>
      </c>
      <c r="L61" s="11">
        <f>K61/0.03*0.25</f>
        <v>0</v>
      </c>
      <c r="M61" s="11">
        <f>L61-K61</f>
        <v>0</v>
      </c>
    </row>
    <row r="62" spans="1:13">
      <c r="A62" s="29">
        <v>43556</v>
      </c>
      <c r="B62" s="21" t="s">
        <v>325</v>
      </c>
      <c r="C62" s="30"/>
      <c r="D62" s="21" t="s">
        <v>229</v>
      </c>
      <c r="E62" s="21" t="s">
        <v>177</v>
      </c>
      <c r="F62" s="3" t="s">
        <v>178</v>
      </c>
      <c r="G62" s="11"/>
      <c r="H62" s="12"/>
      <c r="I62" s="13"/>
      <c r="J62" s="11">
        <f t="shared" si="0"/>
        <v>0</v>
      </c>
      <c r="K62" s="11"/>
      <c r="L62" s="11"/>
      <c r="M62" s="11"/>
    </row>
    <row r="63" spans="1:13">
      <c r="A63" s="29">
        <v>43556</v>
      </c>
      <c r="B63" s="21" t="s">
        <v>325</v>
      </c>
      <c r="C63" s="30"/>
      <c r="D63" s="21" t="s">
        <v>229</v>
      </c>
      <c r="E63" s="21" t="s">
        <v>177</v>
      </c>
      <c r="F63" s="3" t="s">
        <v>274</v>
      </c>
      <c r="G63" s="11"/>
      <c r="H63" s="12"/>
      <c r="I63" s="13"/>
      <c r="J63" s="11">
        <f t="shared" si="0"/>
        <v>0</v>
      </c>
      <c r="K63" s="11"/>
      <c r="L63" s="11"/>
      <c r="M63" s="11"/>
    </row>
    <row r="64" spans="1:13">
      <c r="A64" s="29">
        <v>43556</v>
      </c>
      <c r="B64" s="21" t="s">
        <v>325</v>
      </c>
      <c r="C64" s="30"/>
      <c r="D64" s="21" t="s">
        <v>169</v>
      </c>
      <c r="E64" s="21" t="s">
        <v>167</v>
      </c>
      <c r="F64" s="3" t="s">
        <v>168</v>
      </c>
      <c r="G64" s="11"/>
      <c r="H64" s="12"/>
      <c r="I64" s="13"/>
      <c r="J64" s="11">
        <f t="shared" si="0"/>
        <v>0</v>
      </c>
      <c r="K64" s="11">
        <f>(J64+J65+J66+J67+J68+J69)*0.04*N2</f>
        <v>0</v>
      </c>
      <c r="L64" s="11">
        <f>K64/0.04*0.25</f>
        <v>0</v>
      </c>
      <c r="M64" s="11">
        <f>L64-K64</f>
        <v>0</v>
      </c>
    </row>
    <row r="65" spans="1:14">
      <c r="A65" s="29">
        <v>43556</v>
      </c>
      <c r="B65" s="21" t="s">
        <v>325</v>
      </c>
      <c r="C65" s="30"/>
      <c r="D65" s="21" t="s">
        <v>169</v>
      </c>
      <c r="E65" s="21" t="s">
        <v>167</v>
      </c>
      <c r="F65" s="3" t="s">
        <v>170</v>
      </c>
      <c r="G65" s="11"/>
      <c r="H65" s="12"/>
      <c r="I65" s="13"/>
      <c r="J65" s="11">
        <f t="shared" si="0"/>
        <v>0</v>
      </c>
      <c r="K65" s="11"/>
      <c r="L65" s="11"/>
      <c r="M65" s="11"/>
    </row>
    <row r="66" spans="1:14">
      <c r="A66" s="29">
        <v>43556</v>
      </c>
      <c r="B66" s="21" t="s">
        <v>325</v>
      </c>
      <c r="C66" s="30"/>
      <c r="D66" s="21" t="s">
        <v>169</v>
      </c>
      <c r="E66" s="21" t="s">
        <v>167</v>
      </c>
      <c r="F66" s="3" t="s">
        <v>215</v>
      </c>
      <c r="G66" s="11"/>
      <c r="H66" s="12"/>
      <c r="I66" s="13"/>
      <c r="J66" s="11">
        <f t="shared" si="0"/>
        <v>0</v>
      </c>
      <c r="K66" s="11"/>
      <c r="L66" s="11"/>
      <c r="M66" s="11"/>
    </row>
    <row r="67" spans="1:14">
      <c r="A67" s="29">
        <v>43556</v>
      </c>
      <c r="B67" s="21" t="s">
        <v>325</v>
      </c>
      <c r="C67" s="30"/>
      <c r="D67" s="21" t="s">
        <v>166</v>
      </c>
      <c r="E67" s="21" t="s">
        <v>167</v>
      </c>
      <c r="F67" s="3" t="s">
        <v>168</v>
      </c>
      <c r="G67" s="11"/>
      <c r="H67" s="12"/>
      <c r="I67" s="13"/>
      <c r="J67" s="11">
        <f t="shared" ref="J67:J129" si="7">G67*H67*1-I67</f>
        <v>0</v>
      </c>
      <c r="K67" s="11"/>
      <c r="L67" s="11"/>
      <c r="M67" s="11"/>
    </row>
    <row r="68" spans="1:14">
      <c r="A68" s="29">
        <v>43556</v>
      </c>
      <c r="B68" s="21" t="s">
        <v>325</v>
      </c>
      <c r="C68" s="30"/>
      <c r="D68" s="21" t="s">
        <v>166</v>
      </c>
      <c r="E68" s="21" t="s">
        <v>167</v>
      </c>
      <c r="F68" s="3" t="s">
        <v>170</v>
      </c>
      <c r="G68" s="11"/>
      <c r="H68" s="12"/>
      <c r="I68" s="13"/>
      <c r="J68" s="11">
        <f t="shared" si="7"/>
        <v>0</v>
      </c>
      <c r="K68" s="11"/>
      <c r="L68" s="11"/>
      <c r="M68" s="11"/>
    </row>
    <row r="69" spans="1:14">
      <c r="A69" s="29">
        <v>43556</v>
      </c>
      <c r="B69" s="21" t="s">
        <v>325</v>
      </c>
      <c r="C69" s="30"/>
      <c r="D69" s="21" t="s">
        <v>166</v>
      </c>
      <c r="E69" s="21" t="s">
        <v>167</v>
      </c>
      <c r="F69" s="3" t="s">
        <v>215</v>
      </c>
      <c r="G69" s="11"/>
      <c r="H69" s="12"/>
      <c r="I69" s="13"/>
      <c r="J69" s="11">
        <f t="shared" si="7"/>
        <v>0</v>
      </c>
      <c r="K69" s="11"/>
      <c r="L69" s="11"/>
      <c r="M69" s="11"/>
    </row>
    <row r="70" spans="1:14">
      <c r="A70" s="29">
        <v>43556</v>
      </c>
      <c r="B70" s="21" t="s">
        <v>325</v>
      </c>
      <c r="C70" s="30"/>
      <c r="D70" s="21" t="s">
        <v>175</v>
      </c>
      <c r="E70" s="21" t="s">
        <v>42</v>
      </c>
      <c r="F70" s="3" t="s">
        <v>165</v>
      </c>
      <c r="G70" s="11"/>
      <c r="H70" s="12"/>
      <c r="I70" s="13"/>
      <c r="J70" s="11">
        <f t="shared" si="7"/>
        <v>0</v>
      </c>
      <c r="K70" s="11">
        <f>(J70+J71+J105+J106+J107)*0.03*N2</f>
        <v>0</v>
      </c>
      <c r="L70" s="11">
        <f>K70/0.03*0.25</f>
        <v>0</v>
      </c>
      <c r="M70" s="11">
        <f>L70-K70</f>
        <v>0</v>
      </c>
    </row>
    <row r="71" spans="1:14">
      <c r="A71" s="29">
        <v>43556</v>
      </c>
      <c r="B71" s="21" t="s">
        <v>325</v>
      </c>
      <c r="C71" s="30"/>
      <c r="D71" s="21" t="s">
        <v>175</v>
      </c>
      <c r="E71" s="21" t="s">
        <v>42</v>
      </c>
      <c r="F71" s="3" t="s">
        <v>218</v>
      </c>
      <c r="G71" s="11"/>
      <c r="H71" s="12"/>
      <c r="I71" s="14"/>
      <c r="J71" s="11">
        <f t="shared" si="7"/>
        <v>0</v>
      </c>
      <c r="K71" s="11"/>
      <c r="L71" s="11"/>
      <c r="M71" s="11"/>
    </row>
    <row r="72" spans="1:14">
      <c r="A72" s="29">
        <v>43556</v>
      </c>
      <c r="B72" s="21" t="s">
        <v>325</v>
      </c>
      <c r="C72" s="30"/>
      <c r="D72" s="21" t="s">
        <v>171</v>
      </c>
      <c r="E72" s="21" t="s">
        <v>172</v>
      </c>
      <c r="F72" s="3" t="s">
        <v>173</v>
      </c>
      <c r="G72" s="79"/>
      <c r="H72" s="12"/>
      <c r="I72" s="13"/>
      <c r="J72" s="11">
        <f t="shared" si="7"/>
        <v>0</v>
      </c>
      <c r="K72" s="11"/>
      <c r="L72" s="11">
        <f>K72/0.05*0.25</f>
        <v>0</v>
      </c>
      <c r="M72" s="11">
        <f>L72-K72</f>
        <v>0</v>
      </c>
      <c r="N72" s="78">
        <f>M72*0.1</f>
        <v>0</v>
      </c>
    </row>
    <row r="73" spans="1:14">
      <c r="A73" s="29">
        <v>43556</v>
      </c>
      <c r="B73" s="21" t="s">
        <v>325</v>
      </c>
      <c r="C73" s="30"/>
      <c r="D73" s="21" t="s">
        <v>171</v>
      </c>
      <c r="E73" s="21" t="s">
        <v>172</v>
      </c>
      <c r="F73" s="3" t="s">
        <v>174</v>
      </c>
      <c r="G73" s="79"/>
      <c r="H73" s="12"/>
      <c r="I73" s="14"/>
      <c r="J73" s="11">
        <f t="shared" si="7"/>
        <v>0</v>
      </c>
      <c r="K73" s="11"/>
      <c r="L73" s="11"/>
      <c r="M73" s="11"/>
    </row>
    <row r="74" spans="1:14">
      <c r="A74" s="29">
        <v>43556</v>
      </c>
      <c r="B74" s="21" t="s">
        <v>325</v>
      </c>
      <c r="C74" s="30"/>
      <c r="D74" s="21" t="s">
        <v>171</v>
      </c>
      <c r="E74" s="21" t="s">
        <v>172</v>
      </c>
      <c r="F74" s="3" t="s">
        <v>217</v>
      </c>
      <c r="G74" s="79"/>
      <c r="H74" s="12"/>
      <c r="I74" s="13"/>
      <c r="J74" s="11">
        <f t="shared" si="7"/>
        <v>0</v>
      </c>
      <c r="K74" s="11"/>
      <c r="L74" s="11"/>
      <c r="M74" s="11"/>
    </row>
    <row r="75" spans="1:14">
      <c r="A75" s="29">
        <v>43556</v>
      </c>
      <c r="B75" s="21" t="s">
        <v>325</v>
      </c>
      <c r="C75" s="30"/>
      <c r="D75" s="32" t="s">
        <v>226</v>
      </c>
      <c r="E75" s="32" t="s">
        <v>163</v>
      </c>
      <c r="F75" s="32" t="s">
        <v>227</v>
      </c>
      <c r="G75" s="33"/>
      <c r="H75" s="34"/>
      <c r="I75" s="13"/>
      <c r="J75" s="11">
        <f t="shared" si="7"/>
        <v>0</v>
      </c>
      <c r="K75" s="11">
        <f>(J75+J76+J77+J97+J98+J99+J95+J96)*0.25*N2</f>
        <v>0</v>
      </c>
      <c r="L75" s="11"/>
      <c r="M75" s="11"/>
    </row>
    <row r="76" spans="1:14">
      <c r="A76" s="29">
        <v>43556</v>
      </c>
      <c r="B76" s="21" t="s">
        <v>325</v>
      </c>
      <c r="C76" s="30"/>
      <c r="D76" s="32" t="s">
        <v>226</v>
      </c>
      <c r="E76" s="32" t="s">
        <v>163</v>
      </c>
      <c r="F76" s="32" t="s">
        <v>164</v>
      </c>
      <c r="G76" s="33"/>
      <c r="H76" s="34"/>
      <c r="I76" s="13"/>
      <c r="J76" s="11">
        <f t="shared" si="7"/>
        <v>0</v>
      </c>
      <c r="K76" s="11"/>
      <c r="L76" s="11"/>
      <c r="M76" s="11"/>
    </row>
    <row r="77" spans="1:14">
      <c r="A77" s="29">
        <v>43556</v>
      </c>
      <c r="B77" s="21" t="s">
        <v>325</v>
      </c>
      <c r="C77" s="30"/>
      <c r="D77" s="32" t="s">
        <v>226</v>
      </c>
      <c r="E77" s="32" t="s">
        <v>163</v>
      </c>
      <c r="F77" s="32" t="s">
        <v>275</v>
      </c>
      <c r="G77" s="33"/>
      <c r="H77" s="34"/>
      <c r="I77" s="14"/>
      <c r="J77" s="11">
        <f t="shared" si="7"/>
        <v>0</v>
      </c>
      <c r="K77" s="11"/>
      <c r="L77" s="11"/>
      <c r="M77" s="11"/>
    </row>
    <row r="78" spans="1:14">
      <c r="A78" s="29"/>
      <c r="C78" s="30"/>
      <c r="D78" s="21" t="s">
        <v>309</v>
      </c>
      <c r="E78" s="21" t="s">
        <v>223</v>
      </c>
      <c r="F78" s="3" t="s">
        <v>224</v>
      </c>
      <c r="G78" s="11"/>
      <c r="H78" s="12"/>
      <c r="I78" s="13"/>
      <c r="J78" s="11">
        <f t="shared" si="7"/>
        <v>0</v>
      </c>
      <c r="K78" s="11">
        <f>(J78+J79+J80+J81+J82+J83+J90+J91+J92)*0.05*N2</f>
        <v>0</v>
      </c>
      <c r="L78" s="11">
        <f>K78/0.05*0.25</f>
        <v>0</v>
      </c>
      <c r="M78" s="11">
        <f>L78-K78</f>
        <v>0</v>
      </c>
    </row>
    <row r="79" spans="1:14">
      <c r="A79" s="29"/>
      <c r="C79" s="30"/>
      <c r="D79" s="21" t="s">
        <v>309</v>
      </c>
      <c r="E79" s="21" t="s">
        <v>223</v>
      </c>
      <c r="F79" s="3" t="s">
        <v>225</v>
      </c>
      <c r="G79" s="11"/>
      <c r="H79" s="12"/>
      <c r="I79" s="13"/>
      <c r="J79" s="11">
        <f t="shared" si="7"/>
        <v>0</v>
      </c>
      <c r="K79" s="11"/>
      <c r="L79" s="11"/>
      <c r="M79" s="11"/>
    </row>
    <row r="80" spans="1:14">
      <c r="A80" s="29"/>
      <c r="C80" s="30"/>
      <c r="D80" s="21" t="s">
        <v>331</v>
      </c>
      <c r="E80" s="21" t="s">
        <v>223</v>
      </c>
      <c r="F80" s="3" t="s">
        <v>224</v>
      </c>
      <c r="G80" s="11"/>
      <c r="H80" s="12"/>
      <c r="I80" s="13"/>
      <c r="J80" s="11">
        <f t="shared" si="7"/>
        <v>0</v>
      </c>
      <c r="K80" s="11"/>
      <c r="L80" s="11"/>
      <c r="M80" s="11"/>
    </row>
    <row r="81" spans="1:13">
      <c r="A81" s="29">
        <v>43556</v>
      </c>
      <c r="B81" s="21" t="s">
        <v>325</v>
      </c>
      <c r="C81" s="30"/>
      <c r="D81" s="21" t="s">
        <v>231</v>
      </c>
      <c r="E81" s="21" t="s">
        <v>223</v>
      </c>
      <c r="F81" s="3" t="s">
        <v>224</v>
      </c>
      <c r="G81" s="11"/>
      <c r="H81" s="12"/>
      <c r="I81" s="13"/>
      <c r="J81" s="11">
        <f t="shared" si="7"/>
        <v>0</v>
      </c>
      <c r="K81" s="11"/>
      <c r="L81" s="11"/>
      <c r="M81" s="11"/>
    </row>
    <row r="82" spans="1:13">
      <c r="A82" s="29">
        <v>43556</v>
      </c>
      <c r="B82" s="21" t="s">
        <v>325</v>
      </c>
      <c r="C82" s="30"/>
      <c r="D82" s="21" t="s">
        <v>231</v>
      </c>
      <c r="E82" s="21" t="s">
        <v>223</v>
      </c>
      <c r="F82" s="3" t="s">
        <v>225</v>
      </c>
      <c r="G82" s="11"/>
      <c r="H82" s="12"/>
      <c r="I82" s="13"/>
      <c r="J82" s="11">
        <f t="shared" si="7"/>
        <v>0</v>
      </c>
      <c r="K82" s="11"/>
      <c r="L82" s="11"/>
      <c r="M82" s="11"/>
    </row>
    <row r="83" spans="1:13">
      <c r="A83" s="29">
        <v>43556</v>
      </c>
      <c r="B83" s="21" t="s">
        <v>325</v>
      </c>
      <c r="C83" s="30"/>
      <c r="D83" s="21" t="s">
        <v>231</v>
      </c>
      <c r="E83" s="21" t="s">
        <v>223</v>
      </c>
      <c r="F83" s="3" t="s">
        <v>273</v>
      </c>
      <c r="G83" s="11"/>
      <c r="H83" s="12"/>
      <c r="I83" s="13"/>
      <c r="J83" s="11">
        <f t="shared" si="7"/>
        <v>0</v>
      </c>
      <c r="K83" s="11"/>
      <c r="L83" s="11"/>
      <c r="M83" s="11"/>
    </row>
    <row r="84" spans="1:13">
      <c r="A84" s="29">
        <v>43556</v>
      </c>
      <c r="B84" s="21" t="s">
        <v>325</v>
      </c>
      <c r="C84" s="30"/>
      <c r="D84" s="21" t="s">
        <v>176</v>
      </c>
      <c r="E84" s="21" t="s">
        <v>177</v>
      </c>
      <c r="F84" s="3" t="s">
        <v>228</v>
      </c>
      <c r="G84" s="11"/>
      <c r="H84" s="12"/>
      <c r="I84" s="13"/>
      <c r="J84" s="11">
        <f t="shared" si="7"/>
        <v>0</v>
      </c>
      <c r="K84" s="11"/>
      <c r="L84" s="11">
        <f>K84/0.05*0.25</f>
        <v>0</v>
      </c>
      <c r="M84" s="11">
        <f>L84-K84</f>
        <v>0</v>
      </c>
    </row>
    <row r="85" spans="1:13">
      <c r="A85" s="29">
        <v>43556</v>
      </c>
      <c r="B85" s="21" t="s">
        <v>325</v>
      </c>
      <c r="C85" s="30"/>
      <c r="D85" s="21" t="s">
        <v>176</v>
      </c>
      <c r="E85" s="21" t="s">
        <v>177</v>
      </c>
      <c r="F85" s="3" t="s">
        <v>178</v>
      </c>
      <c r="G85" s="11"/>
      <c r="H85" s="12"/>
      <c r="I85" s="13"/>
      <c r="J85" s="11">
        <f t="shared" si="7"/>
        <v>0</v>
      </c>
      <c r="K85" s="11"/>
      <c r="L85" s="11"/>
      <c r="M85" s="11"/>
    </row>
    <row r="86" spans="1:13">
      <c r="A86" s="29">
        <v>43556</v>
      </c>
      <c r="B86" s="21" t="s">
        <v>325</v>
      </c>
      <c r="C86" s="30"/>
      <c r="D86" s="21" t="s">
        <v>176</v>
      </c>
      <c r="E86" s="21" t="s">
        <v>177</v>
      </c>
      <c r="F86" s="3" t="s">
        <v>274</v>
      </c>
      <c r="G86" s="11"/>
      <c r="H86" s="12"/>
      <c r="I86" s="13"/>
      <c r="J86" s="11">
        <f t="shared" si="7"/>
        <v>0</v>
      </c>
      <c r="K86" s="11"/>
      <c r="L86" s="11"/>
      <c r="M86" s="11"/>
    </row>
    <row r="87" spans="1:13">
      <c r="A87" s="29">
        <v>43556</v>
      </c>
      <c r="B87" s="21" t="s">
        <v>325</v>
      </c>
      <c r="C87" s="30"/>
      <c r="D87" s="21" t="s">
        <v>216</v>
      </c>
      <c r="E87" s="21" t="s">
        <v>172</v>
      </c>
      <c r="F87" s="3" t="s">
        <v>173</v>
      </c>
      <c r="G87" s="11"/>
      <c r="H87" s="12"/>
      <c r="I87" s="13"/>
      <c r="J87" s="11">
        <f t="shared" si="7"/>
        <v>0</v>
      </c>
      <c r="K87" s="11">
        <f>(J87+J88+J89+J72+J73+J74)*0.05*N2</f>
        <v>0</v>
      </c>
      <c r="L87" s="11">
        <f>K87/0.05*0.25</f>
        <v>0</v>
      </c>
      <c r="M87" s="11">
        <f>L87-K87</f>
        <v>0</v>
      </c>
    </row>
    <row r="88" spans="1:13">
      <c r="A88" s="29">
        <v>43556</v>
      </c>
      <c r="B88" s="21" t="s">
        <v>325</v>
      </c>
      <c r="C88" s="30"/>
      <c r="D88" s="21" t="s">
        <v>216</v>
      </c>
      <c r="E88" s="21" t="s">
        <v>172</v>
      </c>
      <c r="F88" s="3" t="s">
        <v>174</v>
      </c>
      <c r="G88" s="11"/>
      <c r="H88" s="12"/>
      <c r="I88" s="14"/>
      <c r="J88" s="11">
        <f t="shared" si="7"/>
        <v>0</v>
      </c>
      <c r="K88" s="11"/>
      <c r="L88" s="11"/>
      <c r="M88" s="11"/>
    </row>
    <row r="89" spans="1:13">
      <c r="A89" s="29">
        <v>43556</v>
      </c>
      <c r="B89" s="21" t="s">
        <v>325</v>
      </c>
      <c r="C89" s="30"/>
      <c r="D89" s="21" t="s">
        <v>216</v>
      </c>
      <c r="E89" s="21" t="s">
        <v>172</v>
      </c>
      <c r="F89" s="3" t="s">
        <v>217</v>
      </c>
      <c r="G89" s="11"/>
      <c r="H89" s="12"/>
      <c r="I89" s="14"/>
      <c r="J89" s="11">
        <f t="shared" si="7"/>
        <v>0</v>
      </c>
      <c r="K89" s="11"/>
      <c r="L89" s="11"/>
      <c r="M89" s="11"/>
    </row>
    <row r="90" spans="1:13">
      <c r="A90" s="29">
        <v>43556</v>
      </c>
      <c r="B90" s="21" t="s">
        <v>325</v>
      </c>
      <c r="C90" s="30"/>
      <c r="D90" s="21" t="s">
        <v>222</v>
      </c>
      <c r="E90" s="21" t="s">
        <v>223</v>
      </c>
      <c r="F90" s="3" t="s">
        <v>224</v>
      </c>
      <c r="G90" s="11"/>
      <c r="H90" s="12"/>
      <c r="I90" s="13"/>
      <c r="J90" s="11">
        <f t="shared" si="7"/>
        <v>0</v>
      </c>
      <c r="K90" s="11"/>
      <c r="L90" s="11"/>
      <c r="M90" s="11"/>
    </row>
    <row r="91" spans="1:13">
      <c r="A91" s="29">
        <v>43556</v>
      </c>
      <c r="B91" s="21" t="s">
        <v>325</v>
      </c>
      <c r="C91" s="30"/>
      <c r="D91" s="21" t="s">
        <v>222</v>
      </c>
      <c r="E91" s="21" t="s">
        <v>223</v>
      </c>
      <c r="F91" s="3" t="s">
        <v>225</v>
      </c>
      <c r="G91" s="11"/>
      <c r="H91" s="12"/>
      <c r="I91" s="13"/>
      <c r="J91" s="11">
        <f t="shared" si="7"/>
        <v>0</v>
      </c>
      <c r="K91" s="11"/>
      <c r="L91" s="11"/>
      <c r="M91" s="11"/>
    </row>
    <row r="92" spans="1:13">
      <c r="A92" s="29"/>
      <c r="C92" s="30"/>
      <c r="D92" s="21" t="s">
        <v>222</v>
      </c>
      <c r="E92" s="21" t="s">
        <v>223</v>
      </c>
      <c r="F92" s="3" t="s">
        <v>273</v>
      </c>
      <c r="G92" s="11"/>
      <c r="H92" s="12"/>
      <c r="I92" s="13"/>
      <c r="J92" s="11">
        <f t="shared" si="7"/>
        <v>0</v>
      </c>
      <c r="K92" s="11"/>
      <c r="L92" s="11"/>
      <c r="M92" s="11"/>
    </row>
    <row r="93" spans="1:13">
      <c r="A93" s="29">
        <v>43556</v>
      </c>
      <c r="B93" s="21" t="s">
        <v>325</v>
      </c>
      <c r="C93" s="30"/>
      <c r="D93" s="32" t="s">
        <v>332</v>
      </c>
      <c r="E93" s="32" t="s">
        <v>333</v>
      </c>
      <c r="F93" s="32" t="s">
        <v>334</v>
      </c>
      <c r="G93" s="33"/>
      <c r="H93" s="34"/>
      <c r="I93" s="13"/>
      <c r="J93" s="11">
        <f t="shared" si="7"/>
        <v>0</v>
      </c>
      <c r="K93" s="11"/>
      <c r="L93" s="11"/>
      <c r="M93" s="11"/>
    </row>
    <row r="94" spans="1:13">
      <c r="A94" s="29">
        <v>43556</v>
      </c>
      <c r="B94" s="21" t="s">
        <v>325</v>
      </c>
      <c r="C94" s="30"/>
      <c r="D94" s="21" t="s">
        <v>335</v>
      </c>
      <c r="E94" s="21" t="s">
        <v>167</v>
      </c>
      <c r="F94" s="3" t="s">
        <v>215</v>
      </c>
      <c r="G94" s="11"/>
      <c r="H94" s="12"/>
      <c r="I94" s="13"/>
      <c r="J94" s="11">
        <f t="shared" si="7"/>
        <v>0</v>
      </c>
      <c r="K94" s="11"/>
      <c r="L94" s="11">
        <f>K94/0.03*0.25</f>
        <v>0</v>
      </c>
      <c r="M94" s="11">
        <f>L94-K94</f>
        <v>0</v>
      </c>
    </row>
    <row r="95" spans="1:13">
      <c r="A95" s="29">
        <v>43556</v>
      </c>
      <c r="B95" s="21" t="s">
        <v>325</v>
      </c>
      <c r="C95" s="30"/>
      <c r="D95" s="32" t="s">
        <v>230</v>
      </c>
      <c r="E95" s="32" t="s">
        <v>163</v>
      </c>
      <c r="F95" s="32" t="s">
        <v>164</v>
      </c>
      <c r="G95" s="33"/>
      <c r="H95" s="34"/>
      <c r="I95" s="13"/>
      <c r="J95" s="11">
        <f t="shared" si="7"/>
        <v>0</v>
      </c>
      <c r="K95" s="11"/>
      <c r="L95" s="11"/>
      <c r="M95" s="11"/>
    </row>
    <row r="96" spans="1:13">
      <c r="A96" s="29">
        <v>43556</v>
      </c>
      <c r="B96" s="21" t="s">
        <v>325</v>
      </c>
      <c r="C96" s="30"/>
      <c r="D96" s="32" t="s">
        <v>230</v>
      </c>
      <c r="E96" s="32" t="s">
        <v>163</v>
      </c>
      <c r="F96" s="32" t="s">
        <v>275</v>
      </c>
      <c r="G96" s="33"/>
      <c r="H96" s="34"/>
      <c r="I96" s="13"/>
      <c r="J96" s="11">
        <f t="shared" si="7"/>
        <v>0</v>
      </c>
      <c r="K96" s="11"/>
      <c r="L96" s="11"/>
      <c r="M96" s="11"/>
    </row>
    <row r="97" spans="1:13">
      <c r="A97" s="29">
        <v>43556</v>
      </c>
      <c r="B97" s="21" t="s">
        <v>325</v>
      </c>
      <c r="C97" s="30"/>
      <c r="D97" s="32" t="s">
        <v>162</v>
      </c>
      <c r="E97" s="32" t="s">
        <v>163</v>
      </c>
      <c r="F97" s="32" t="s">
        <v>227</v>
      </c>
      <c r="G97" s="33"/>
      <c r="H97" s="34"/>
      <c r="I97" s="13"/>
      <c r="J97" s="11">
        <f t="shared" si="7"/>
        <v>0</v>
      </c>
      <c r="K97" s="11"/>
      <c r="L97" s="11"/>
      <c r="M97" s="11"/>
    </row>
    <row r="98" spans="1:13">
      <c r="A98" s="29">
        <v>43556</v>
      </c>
      <c r="B98" s="21" t="s">
        <v>325</v>
      </c>
      <c r="C98" s="30"/>
      <c r="D98" s="32" t="s">
        <v>162</v>
      </c>
      <c r="E98" s="32" t="s">
        <v>163</v>
      </c>
      <c r="F98" s="32" t="s">
        <v>164</v>
      </c>
      <c r="G98" s="33"/>
      <c r="H98" s="34"/>
      <c r="I98" s="13"/>
      <c r="J98" s="11">
        <f t="shared" si="7"/>
        <v>0</v>
      </c>
      <c r="K98" s="11"/>
      <c r="L98" s="11">
        <f>K98/0.03*0.25</f>
        <v>0</v>
      </c>
      <c r="M98" s="11">
        <f>L98-K98</f>
        <v>0</v>
      </c>
    </row>
    <row r="99" spans="1:13">
      <c r="A99" s="29">
        <v>43556</v>
      </c>
      <c r="B99" s="21" t="s">
        <v>325</v>
      </c>
      <c r="C99" s="30"/>
      <c r="D99" s="32" t="s">
        <v>162</v>
      </c>
      <c r="E99" s="32" t="s">
        <v>163</v>
      </c>
      <c r="F99" s="32" t="s">
        <v>275</v>
      </c>
      <c r="G99" s="33"/>
      <c r="H99" s="34"/>
      <c r="I99" s="13"/>
      <c r="J99" s="11">
        <f t="shared" si="7"/>
        <v>0</v>
      </c>
      <c r="K99" s="11"/>
      <c r="L99" s="11"/>
      <c r="M99" s="11"/>
    </row>
    <row r="100" spans="1:13">
      <c r="A100" s="29">
        <v>43556</v>
      </c>
      <c r="B100" s="21" t="s">
        <v>325</v>
      </c>
      <c r="C100" s="30"/>
      <c r="D100" s="21" t="s">
        <v>159</v>
      </c>
      <c r="E100" s="21" t="s">
        <v>160</v>
      </c>
      <c r="F100" s="3" t="s">
        <v>220</v>
      </c>
      <c r="G100" s="11"/>
      <c r="H100" s="12"/>
      <c r="I100" s="13"/>
      <c r="J100" s="11">
        <f t="shared" si="7"/>
        <v>0</v>
      </c>
      <c r="K100" s="11">
        <f>(J100+J102+J101+J103+J104)*0.04*N2</f>
        <v>0</v>
      </c>
      <c r="L100" s="11">
        <f>K100/0.04*0.25</f>
        <v>0</v>
      </c>
      <c r="M100" s="11">
        <f>L100-K100</f>
        <v>0</v>
      </c>
    </row>
    <row r="101" spans="1:13">
      <c r="A101" s="29">
        <v>43556</v>
      </c>
      <c r="B101" s="21" t="s">
        <v>325</v>
      </c>
      <c r="C101" s="30"/>
      <c r="D101" s="21" t="s">
        <v>159</v>
      </c>
      <c r="E101" s="21" t="s">
        <v>160</v>
      </c>
      <c r="F101" s="3" t="s">
        <v>161</v>
      </c>
      <c r="G101" s="11"/>
      <c r="H101" s="12"/>
      <c r="I101" s="13"/>
      <c r="J101" s="11">
        <f t="shared" si="7"/>
        <v>0</v>
      </c>
      <c r="K101" s="11"/>
      <c r="L101" s="11"/>
      <c r="M101" s="11"/>
    </row>
    <row r="102" spans="1:13">
      <c r="A102" s="29">
        <v>43556</v>
      </c>
      <c r="B102" s="21" t="s">
        <v>325</v>
      </c>
      <c r="C102" s="30"/>
      <c r="D102" s="21" t="s">
        <v>159</v>
      </c>
      <c r="E102" s="21" t="s">
        <v>160</v>
      </c>
      <c r="F102" s="3" t="s">
        <v>221</v>
      </c>
      <c r="G102" s="11"/>
      <c r="H102" s="12"/>
      <c r="I102" s="13"/>
      <c r="J102" s="11">
        <f t="shared" si="7"/>
        <v>0</v>
      </c>
      <c r="K102" s="11"/>
      <c r="L102" s="11"/>
      <c r="M102" s="11"/>
    </row>
    <row r="103" spans="1:13">
      <c r="A103" s="29">
        <v>43556</v>
      </c>
      <c r="B103" s="21" t="s">
        <v>325</v>
      </c>
      <c r="C103" s="30"/>
      <c r="D103" s="21" t="s">
        <v>219</v>
      </c>
      <c r="E103" s="21" t="s">
        <v>160</v>
      </c>
      <c r="F103" s="3" t="s">
        <v>220</v>
      </c>
      <c r="G103" s="11"/>
      <c r="H103" s="12"/>
      <c r="I103" s="13"/>
      <c r="J103" s="11">
        <f t="shared" si="7"/>
        <v>0</v>
      </c>
      <c r="K103" s="11"/>
      <c r="L103" s="11"/>
      <c r="M103" s="11"/>
    </row>
    <row r="104" spans="1:13">
      <c r="A104" s="29"/>
      <c r="C104" s="30"/>
      <c r="D104" s="21" t="s">
        <v>219</v>
      </c>
      <c r="E104" s="21" t="s">
        <v>160</v>
      </c>
      <c r="F104" s="3" t="s">
        <v>161</v>
      </c>
      <c r="G104" s="11"/>
      <c r="H104" s="12"/>
      <c r="I104" s="13"/>
      <c r="J104" s="11">
        <f t="shared" si="7"/>
        <v>0</v>
      </c>
      <c r="K104" s="11"/>
      <c r="L104" s="11"/>
      <c r="M104" s="11"/>
    </row>
    <row r="105" spans="1:13">
      <c r="A105" s="29">
        <v>43556</v>
      </c>
      <c r="B105" s="21" t="s">
        <v>325</v>
      </c>
      <c r="C105" s="30"/>
      <c r="D105" s="21" t="s">
        <v>41</v>
      </c>
      <c r="E105" s="21" t="s">
        <v>42</v>
      </c>
      <c r="F105" s="3" t="s">
        <v>43</v>
      </c>
      <c r="G105" s="11"/>
      <c r="H105" s="12"/>
      <c r="I105" s="14"/>
      <c r="J105" s="11">
        <f t="shared" si="7"/>
        <v>0</v>
      </c>
      <c r="K105" s="11"/>
      <c r="L105" s="11">
        <f>K105/0.05*0.25</f>
        <v>0</v>
      </c>
      <c r="M105" s="11">
        <f>L105-K105</f>
        <v>0</v>
      </c>
    </row>
    <row r="106" spans="1:13">
      <c r="A106" s="29">
        <v>43556</v>
      </c>
      <c r="B106" s="21" t="s">
        <v>325</v>
      </c>
      <c r="C106" s="30"/>
      <c r="D106" s="21" t="s">
        <v>41</v>
      </c>
      <c r="E106" s="21" t="s">
        <v>42</v>
      </c>
      <c r="F106" s="3" t="s">
        <v>165</v>
      </c>
      <c r="G106" s="11"/>
      <c r="H106" s="12"/>
      <c r="I106" s="13"/>
      <c r="J106" s="11">
        <f t="shared" si="7"/>
        <v>0</v>
      </c>
      <c r="K106" s="11"/>
      <c r="L106" s="11"/>
      <c r="M106" s="11"/>
    </row>
    <row r="107" spans="1:13">
      <c r="A107" s="29">
        <v>43556</v>
      </c>
      <c r="B107" s="21" t="s">
        <v>325</v>
      </c>
      <c r="C107" s="30"/>
      <c r="D107" s="21" t="s">
        <v>41</v>
      </c>
      <c r="E107" s="21" t="s">
        <v>42</v>
      </c>
      <c r="F107" s="3" t="s">
        <v>218</v>
      </c>
      <c r="G107" s="11"/>
      <c r="H107" s="12"/>
      <c r="I107" s="13"/>
      <c r="J107" s="11">
        <f t="shared" si="7"/>
        <v>0</v>
      </c>
      <c r="K107" s="11"/>
      <c r="L107" s="11"/>
      <c r="M107" s="11"/>
    </row>
    <row r="108" spans="1:13">
      <c r="A108" s="29">
        <v>43556</v>
      </c>
      <c r="B108" s="21" t="s">
        <v>325</v>
      </c>
      <c r="C108" s="25" t="s">
        <v>11</v>
      </c>
      <c r="D108" s="21" t="s">
        <v>143</v>
      </c>
      <c r="E108" s="21" t="s">
        <v>144</v>
      </c>
      <c r="F108" s="3" t="s">
        <v>153</v>
      </c>
      <c r="G108" s="11"/>
      <c r="H108" s="12"/>
      <c r="I108" s="13"/>
      <c r="J108" s="11">
        <f t="shared" si="7"/>
        <v>0</v>
      </c>
      <c r="K108" s="11">
        <f>(J109+J108)*0.03*N2</f>
        <v>0</v>
      </c>
      <c r="L108" s="11">
        <f>K108/0.03*0.25</f>
        <v>0</v>
      </c>
      <c r="M108" s="11">
        <f>L108-K108</f>
        <v>0</v>
      </c>
    </row>
    <row r="109" spans="1:13">
      <c r="A109" s="29">
        <v>43556</v>
      </c>
      <c r="B109" s="21" t="s">
        <v>325</v>
      </c>
      <c r="C109" s="30"/>
      <c r="D109" s="21" t="s">
        <v>336</v>
      </c>
      <c r="E109" s="21" t="s">
        <v>337</v>
      </c>
      <c r="F109" s="3" t="s">
        <v>338</v>
      </c>
      <c r="G109" s="11"/>
      <c r="H109" s="12"/>
      <c r="I109" s="13"/>
      <c r="J109" s="11">
        <f t="shared" si="7"/>
        <v>0</v>
      </c>
      <c r="K109" s="11"/>
      <c r="L109" s="11"/>
      <c r="M109" s="11"/>
    </row>
    <row r="110" spans="1:13">
      <c r="A110" s="29">
        <v>43556</v>
      </c>
      <c r="B110" s="21" t="s">
        <v>325</v>
      </c>
      <c r="C110" s="30"/>
      <c r="D110" s="21" t="s">
        <v>211</v>
      </c>
      <c r="E110" s="21" t="s">
        <v>13</v>
      </c>
      <c r="F110" s="3" t="s">
        <v>14</v>
      </c>
      <c r="G110" s="11"/>
      <c r="H110" s="12"/>
      <c r="I110" s="13"/>
      <c r="J110" s="11">
        <f t="shared" si="7"/>
        <v>0</v>
      </c>
      <c r="K110" s="11">
        <f>(J110+J111)*0.03*N2</f>
        <v>0</v>
      </c>
      <c r="L110" s="11">
        <f>K110/0.03*0.25</f>
        <v>0</v>
      </c>
      <c r="M110" s="11">
        <f>L110-K110</f>
        <v>0</v>
      </c>
    </row>
    <row r="111" spans="1:13">
      <c r="A111" s="29"/>
      <c r="C111" s="30"/>
      <c r="D111" s="21" t="s">
        <v>12</v>
      </c>
      <c r="E111" s="21" t="s">
        <v>13</v>
      </c>
      <c r="F111" s="3" t="s">
        <v>14</v>
      </c>
      <c r="G111" s="11"/>
      <c r="H111" s="12"/>
      <c r="I111" s="13"/>
      <c r="J111" s="11">
        <f t="shared" si="7"/>
        <v>0</v>
      </c>
      <c r="K111" s="11"/>
      <c r="L111" s="11"/>
      <c r="M111" s="11"/>
    </row>
    <row r="112" spans="1:13">
      <c r="A112" s="29">
        <v>43556</v>
      </c>
      <c r="B112" s="21" t="s">
        <v>325</v>
      </c>
      <c r="C112" s="30"/>
      <c r="D112" s="21" t="s">
        <v>267</v>
      </c>
      <c r="E112" s="21" t="s">
        <v>46</v>
      </c>
      <c r="F112" s="3" t="s">
        <v>47</v>
      </c>
      <c r="G112" s="11"/>
      <c r="H112" s="12"/>
      <c r="I112" s="13"/>
      <c r="J112" s="11">
        <f t="shared" si="7"/>
        <v>0</v>
      </c>
      <c r="K112" s="11">
        <f>(J112+J113)*0.2*N2</f>
        <v>0</v>
      </c>
      <c r="L112" s="11"/>
      <c r="M112" s="11"/>
    </row>
    <row r="113" spans="1:13">
      <c r="A113" s="29">
        <v>43556</v>
      </c>
      <c r="B113" s="21" t="s">
        <v>325</v>
      </c>
      <c r="C113" s="30"/>
      <c r="D113" s="21" t="s">
        <v>267</v>
      </c>
      <c r="E113" s="21" t="s">
        <v>46</v>
      </c>
      <c r="F113" s="3" t="s">
        <v>157</v>
      </c>
      <c r="G113" s="11"/>
      <c r="H113" s="12"/>
      <c r="I113" s="13"/>
      <c r="J113" s="11">
        <f t="shared" si="7"/>
        <v>0</v>
      </c>
      <c r="K113" s="11"/>
      <c r="L113" s="11"/>
      <c r="M113" s="11"/>
    </row>
    <row r="114" spans="1:13">
      <c r="A114" s="29">
        <v>43556</v>
      </c>
      <c r="B114" s="21" t="s">
        <v>325</v>
      </c>
      <c r="C114" s="26"/>
      <c r="D114" s="21" t="s">
        <v>339</v>
      </c>
      <c r="E114" s="21" t="s">
        <v>144</v>
      </c>
      <c r="F114" s="3" t="s">
        <v>153</v>
      </c>
      <c r="G114" s="11"/>
      <c r="H114" s="12"/>
      <c r="I114" s="13"/>
      <c r="J114" s="11">
        <f t="shared" si="7"/>
        <v>0</v>
      </c>
      <c r="K114" s="11"/>
      <c r="L114" s="11"/>
      <c r="M114" s="11"/>
    </row>
    <row r="115" spans="1:13">
      <c r="A115" s="29">
        <v>43556</v>
      </c>
      <c r="B115" s="21" t="s">
        <v>325</v>
      </c>
      <c r="C115" s="21" t="s">
        <v>276</v>
      </c>
      <c r="D115" s="21" t="s">
        <v>234</v>
      </c>
      <c r="E115" s="21" t="s">
        <v>46</v>
      </c>
      <c r="F115" s="3" t="s">
        <v>47</v>
      </c>
      <c r="G115" s="11"/>
      <c r="H115" s="12"/>
      <c r="I115" s="13"/>
      <c r="J115" s="11">
        <f t="shared" si="7"/>
        <v>0</v>
      </c>
      <c r="K115" s="11">
        <f>J115*0.25*N2</f>
        <v>0</v>
      </c>
      <c r="L115" s="11"/>
      <c r="M115" s="11"/>
    </row>
    <row r="116" spans="1:13">
      <c r="A116" s="29">
        <v>43556</v>
      </c>
      <c r="B116" s="21" t="s">
        <v>325</v>
      </c>
      <c r="C116" s="22" t="s">
        <v>179</v>
      </c>
      <c r="D116" s="21" t="s">
        <v>180</v>
      </c>
      <c r="E116" s="21" t="s">
        <v>232</v>
      </c>
      <c r="F116" s="3" t="s">
        <v>233</v>
      </c>
      <c r="G116" s="11"/>
      <c r="H116" s="12"/>
      <c r="I116" s="13"/>
      <c r="J116" s="11">
        <f t="shared" si="7"/>
        <v>0</v>
      </c>
      <c r="K116" s="11"/>
      <c r="L116" s="11"/>
      <c r="M116" s="11"/>
    </row>
    <row r="117" spans="1:13">
      <c r="A117" s="29"/>
      <c r="C117" s="25" t="s">
        <v>66</v>
      </c>
      <c r="D117" s="21" t="s">
        <v>182</v>
      </c>
      <c r="E117" s="21" t="s">
        <v>183</v>
      </c>
      <c r="F117" s="3" t="s">
        <v>184</v>
      </c>
      <c r="G117" s="11"/>
      <c r="H117" s="12"/>
      <c r="I117" s="14"/>
      <c r="J117" s="11">
        <f t="shared" si="7"/>
        <v>0</v>
      </c>
      <c r="K117" s="11"/>
      <c r="L117" s="11"/>
      <c r="M117" s="11"/>
    </row>
    <row r="118" spans="1:13">
      <c r="A118" s="29">
        <v>43556</v>
      </c>
      <c r="B118" s="21" t="s">
        <v>325</v>
      </c>
      <c r="C118" s="30"/>
      <c r="D118" s="21" t="s">
        <v>182</v>
      </c>
      <c r="E118" s="21" t="s">
        <v>183</v>
      </c>
      <c r="F118" s="3" t="s">
        <v>185</v>
      </c>
      <c r="G118" s="11"/>
      <c r="H118" s="12"/>
      <c r="I118" s="13"/>
      <c r="J118" s="11">
        <f t="shared" si="7"/>
        <v>0</v>
      </c>
      <c r="K118" s="11">
        <f>(J118+J117)*0.05*N2</f>
        <v>0</v>
      </c>
      <c r="L118" s="11">
        <f>K118/0.05*0.25</f>
        <v>0</v>
      </c>
      <c r="M118" s="11">
        <f>L118-K118</f>
        <v>0</v>
      </c>
    </row>
    <row r="119" spans="1:13">
      <c r="A119" s="29"/>
      <c r="C119" s="30"/>
      <c r="D119" s="21" t="s">
        <v>186</v>
      </c>
      <c r="E119" s="21" t="s">
        <v>187</v>
      </c>
      <c r="F119" s="3" t="s">
        <v>278</v>
      </c>
      <c r="G119" s="11"/>
      <c r="H119" s="12"/>
      <c r="I119" s="14"/>
      <c r="J119" s="11">
        <f t="shared" si="7"/>
        <v>0</v>
      </c>
      <c r="K119" s="11"/>
      <c r="L119" s="11"/>
      <c r="M119" s="11"/>
    </row>
    <row r="120" spans="1:13">
      <c r="A120" s="29">
        <v>43556</v>
      </c>
      <c r="B120" s="21" t="s">
        <v>325</v>
      </c>
      <c r="C120" s="26"/>
      <c r="D120" s="21" t="s">
        <v>186</v>
      </c>
      <c r="E120" s="21" t="s">
        <v>187</v>
      </c>
      <c r="F120" s="3" t="s">
        <v>188</v>
      </c>
      <c r="G120" s="11"/>
      <c r="H120" s="12"/>
      <c r="I120" s="13"/>
      <c r="J120" s="11">
        <f t="shared" si="7"/>
        <v>0</v>
      </c>
      <c r="K120" s="11">
        <f>(J120+J119)*0.05*N2</f>
        <v>0</v>
      </c>
      <c r="L120" s="11">
        <f>K120/0.05*0.25</f>
        <v>0</v>
      </c>
      <c r="M120" s="11">
        <f>L120-K120</f>
        <v>0</v>
      </c>
    </row>
    <row r="121" spans="1:13">
      <c r="A121" s="21">
        <v>42795</v>
      </c>
      <c r="B121" s="42"/>
      <c r="C121" s="36" t="s">
        <v>49</v>
      </c>
      <c r="D121" s="37"/>
      <c r="E121" s="21" t="s">
        <v>50</v>
      </c>
      <c r="F121" s="3" t="s">
        <v>50</v>
      </c>
      <c r="G121" s="11"/>
      <c r="H121" s="12"/>
      <c r="I121" s="14"/>
      <c r="J121" s="11">
        <f t="shared" ref="J121:J124" si="8">(G121*H121*0.98)-I121</f>
        <v>0</v>
      </c>
      <c r="K121" s="11">
        <f>(J3+J4+J5+J6+J7+J8+J9+J10+J11+J12+J13+J16+J17+J22+J27+J29+J30+J31+J32+J33+J34+J35+J36+J37+J38+J39+J40+J41+J42+J43+J44+J45+J46+J47+J48+J49+J50+J51+J52+J53+J57+J60+J61+J62+J63+J64+J65+J66+J67+J68+J69+J70+J71+J72+J73+J74+J75+J76+J77+J78+J79+J81+J82+J83+J84+J85+J86+J87+J88+J89+J90+J91+J92+J95+J96+J97+J98+J99+J100+J101+J102+J103+J104+J105+J106+J107+J108+J109+J110+J111+J112+J113+J117+J118+J119+J120)*0.01*N2+(J14+J15+J18+J23+J24+J25+J26+J28)*0.07*N2+(J54+J55+J56+J58+J59)*0.04*N2+(J80)*0.08*N2</f>
        <v>0</v>
      </c>
      <c r="L121" s="11"/>
      <c r="M121" s="11"/>
    </row>
    <row r="122" spans="1:13">
      <c r="A122" s="21">
        <v>42795</v>
      </c>
      <c r="B122" s="43"/>
      <c r="C122" s="38"/>
      <c r="D122" s="39"/>
      <c r="E122" s="21" t="s">
        <v>51</v>
      </c>
      <c r="F122" s="3" t="s">
        <v>51</v>
      </c>
      <c r="G122" s="11"/>
      <c r="H122" s="12"/>
      <c r="I122" s="14"/>
      <c r="J122" s="11">
        <f t="shared" si="8"/>
        <v>0</v>
      </c>
      <c r="K122" s="11">
        <f>(J3+J4+J5+J6+J8+J9+J29)*0.06*N2+(J49)*0.03*N2+(J64+J65+J66+J90+J91+J92)*0.07*N2</f>
        <v>0</v>
      </c>
      <c r="L122" s="11"/>
      <c r="M122" s="11"/>
    </row>
    <row r="123" spans="1:13">
      <c r="A123" s="21">
        <v>42795</v>
      </c>
      <c r="B123" s="43"/>
      <c r="C123" s="38"/>
      <c r="D123" s="39"/>
      <c r="E123" s="21" t="s">
        <v>52</v>
      </c>
      <c r="F123" s="3" t="s">
        <v>52</v>
      </c>
      <c r="G123" s="11"/>
      <c r="H123" s="12"/>
      <c r="I123" s="14"/>
      <c r="J123" s="11">
        <f t="shared" si="8"/>
        <v>0</v>
      </c>
      <c r="K123" s="11">
        <f>(J7+J10+J30+J31)*0.06*N2+(J75+J76+J77+J78+J79+J81+J82+J83+J95+J96+J97+J98+J99+J112+J113)*0.07*N2+(J119+J120)*0.03*N2</f>
        <v>0</v>
      </c>
      <c r="L123" s="11"/>
      <c r="M123" s="11"/>
    </row>
    <row r="124" spans="1:13">
      <c r="A124" s="21">
        <v>42795</v>
      </c>
      <c r="B124" s="43"/>
      <c r="C124" s="38"/>
      <c r="D124" s="39"/>
      <c r="E124" s="21" t="s">
        <v>56</v>
      </c>
      <c r="F124" s="3" t="s">
        <v>56</v>
      </c>
      <c r="G124" s="11"/>
      <c r="H124" s="12"/>
      <c r="I124" s="14"/>
      <c r="J124" s="11">
        <f t="shared" si="8"/>
        <v>0</v>
      </c>
      <c r="K124" s="11">
        <f>(J16+J17)*0.06*N2+(J38+J39+J45+J46+J47+J48+J52+J53)*0.03*N2+(J87+J88+J89+J105+J106+J107)*0.07*N2</f>
        <v>0</v>
      </c>
      <c r="L124" s="11"/>
      <c r="M124" s="11"/>
    </row>
    <row r="125" spans="1:13">
      <c r="A125" s="21">
        <v>42795</v>
      </c>
      <c r="B125" s="43"/>
      <c r="C125" s="38"/>
      <c r="D125" s="39"/>
      <c r="E125" s="21" t="s">
        <v>192</v>
      </c>
      <c r="F125" s="3" t="s">
        <v>192</v>
      </c>
      <c r="G125" s="11"/>
      <c r="H125" s="12"/>
      <c r="I125" s="14"/>
      <c r="J125" s="11">
        <v>0</v>
      </c>
      <c r="K125" s="11">
        <f>(J11+J12+J13+J22)*0.06*N2</f>
        <v>0</v>
      </c>
      <c r="L125" s="11"/>
      <c r="M125" s="11"/>
    </row>
    <row r="126" spans="1:13">
      <c r="B126" s="43"/>
      <c r="C126" s="38"/>
      <c r="D126" s="39"/>
      <c r="E126" s="21" t="s">
        <v>55</v>
      </c>
      <c r="F126" s="3" t="s">
        <v>55</v>
      </c>
      <c r="G126" s="11"/>
      <c r="H126" s="12"/>
      <c r="I126" s="14"/>
      <c r="J126" s="11">
        <v>0</v>
      </c>
      <c r="K126" s="11">
        <f>(0)*0.06*N2+(J43+J44+J117+J118)*0.03*N2+(J67+J68+J69+J70+J71+J72+J73+J74+J108)*0.07*N2</f>
        <v>0</v>
      </c>
      <c r="L126" s="11"/>
      <c r="M126" s="11"/>
    </row>
    <row r="127" spans="1:13">
      <c r="B127" s="43"/>
      <c r="C127" s="38"/>
      <c r="D127" s="39"/>
      <c r="E127" s="21" t="s">
        <v>54</v>
      </c>
      <c r="F127" s="3" t="s">
        <v>54</v>
      </c>
      <c r="G127" s="11"/>
      <c r="H127" s="12"/>
      <c r="I127" s="14"/>
      <c r="J127" s="11">
        <v>0</v>
      </c>
      <c r="K127" s="11">
        <f>(J27)*0.06*N2+(J32+J33+J34+J35+J57)*0.03*N2+(J61+J62+J63+J84+J85+J86+J110)*0.07*N2</f>
        <v>0</v>
      </c>
      <c r="L127" s="11"/>
      <c r="M127" s="11"/>
    </row>
    <row r="128" spans="1:13">
      <c r="B128" s="44"/>
      <c r="C128" s="40"/>
      <c r="D128" s="41"/>
      <c r="E128" s="21" t="s">
        <v>53</v>
      </c>
      <c r="F128" s="3" t="s">
        <v>53</v>
      </c>
      <c r="G128" s="11"/>
      <c r="H128" s="12"/>
      <c r="I128" s="14"/>
      <c r="J128" s="11">
        <v>0</v>
      </c>
      <c r="K128" s="11">
        <f>(J36+J37+J40+J41+J42+J50+J51+J60)*0.03*N2+(J100+J101+J102+J103+J104+J111)*0.07*N2</f>
        <v>0</v>
      </c>
      <c r="L128" s="11"/>
      <c r="M128" s="11"/>
    </row>
    <row r="129" spans="1:13">
      <c r="A129" s="21">
        <v>42795</v>
      </c>
      <c r="F129" s="4" t="s">
        <v>57</v>
      </c>
      <c r="G129" s="15">
        <f>SUM(G3:G124)</f>
        <v>0</v>
      </c>
      <c r="H129" s="16"/>
      <c r="I129" s="17">
        <f>SUM(I3:I124)</f>
        <v>0</v>
      </c>
      <c r="J129" s="15">
        <f>SUM(J3:J128)</f>
        <v>0</v>
      </c>
      <c r="K129" s="15">
        <f>J129*N2</f>
        <v>0</v>
      </c>
      <c r="L129" s="11"/>
      <c r="M129" s="11"/>
    </row>
    <row r="130" spans="1:13">
      <c r="F130" s="4" t="s">
        <v>58</v>
      </c>
      <c r="G130" s="15"/>
      <c r="H130" s="16"/>
      <c r="I130" s="17"/>
      <c r="J130" s="15"/>
      <c r="K130" s="15">
        <f>K129*0.4</f>
        <v>0</v>
      </c>
      <c r="L130" s="11"/>
      <c r="M130" s="11"/>
    </row>
    <row r="131" spans="1:13">
      <c r="F131" s="4" t="s">
        <v>59</v>
      </c>
      <c r="G131" s="15"/>
      <c r="H131" s="16"/>
      <c r="I131" s="17"/>
      <c r="J131" s="15"/>
      <c r="K131" s="15">
        <f>K129*0.6</f>
        <v>0</v>
      </c>
      <c r="L131" s="11"/>
      <c r="M131" s="11"/>
    </row>
    <row r="132" spans="1:13">
      <c r="F132" s="3"/>
      <c r="G132" s="11"/>
      <c r="H132" s="12"/>
      <c r="I132" s="14"/>
      <c r="J132" s="11"/>
      <c r="K132" s="11"/>
      <c r="L132" s="11"/>
      <c r="M132" s="11"/>
    </row>
    <row r="133" spans="1:13">
      <c r="A133" s="21">
        <v>42795</v>
      </c>
      <c r="C133" s="21" t="s">
        <v>60</v>
      </c>
      <c r="E133" s="21" t="s">
        <v>61</v>
      </c>
      <c r="F133" s="3"/>
      <c r="G133" s="11"/>
      <c r="H133" s="12"/>
      <c r="I133" s="14"/>
      <c r="J133" s="11"/>
      <c r="K133" s="11">
        <f>(J8+J19+J20+J21+J9+J3)*0.05*N2+M10+M11+M14+M22+M29+M27+M4+M7+M28+M16</f>
        <v>0</v>
      </c>
      <c r="L133" s="11"/>
      <c r="M133" s="11"/>
    </row>
    <row r="134" spans="1:13">
      <c r="A134" s="21">
        <v>42795</v>
      </c>
      <c r="C134" s="21" t="s">
        <v>62</v>
      </c>
      <c r="E134" s="21" t="s">
        <v>61</v>
      </c>
      <c r="F134" s="3"/>
      <c r="G134" s="11"/>
      <c r="H134" s="12"/>
      <c r="I134" s="14"/>
      <c r="J134" s="11"/>
      <c r="K134" s="11">
        <f>M61+M67+M84+M87+M98+M100+M105+M94+M64+M70+M78</f>
        <v>0</v>
      </c>
      <c r="L134" s="11"/>
      <c r="M134" s="11"/>
    </row>
    <row r="135" spans="1:13">
      <c r="A135" s="21">
        <v>42795</v>
      </c>
      <c r="C135" s="21" t="s">
        <v>63</v>
      </c>
      <c r="E135" s="21" t="s">
        <v>61</v>
      </c>
      <c r="F135" s="3"/>
      <c r="G135" s="11"/>
      <c r="H135" s="12"/>
      <c r="I135" s="14"/>
      <c r="J135" s="11"/>
      <c r="K135" s="11">
        <f>M108+M112+(J112)*0.05*N2+M110</f>
        <v>0</v>
      </c>
      <c r="L135" s="11"/>
      <c r="M135" s="11"/>
    </row>
    <row r="136" spans="1:13">
      <c r="A136" s="21">
        <v>42795</v>
      </c>
      <c r="C136" s="21" t="s">
        <v>65</v>
      </c>
      <c r="E136" s="21" t="s">
        <v>61</v>
      </c>
      <c r="F136" s="3"/>
      <c r="G136" s="11"/>
      <c r="H136" s="12"/>
      <c r="I136" s="14"/>
      <c r="J136" s="11"/>
      <c r="K136" s="11">
        <f>(J32+J33)*0.05*N2+M34+M43+M45+M47+M54+M56+M36+M38</f>
        <v>0</v>
      </c>
      <c r="L136" s="11"/>
      <c r="M136" s="11"/>
    </row>
    <row r="137" spans="1:13">
      <c r="C137" s="21" t="s">
        <v>66</v>
      </c>
      <c r="E137" s="21" t="s">
        <v>61</v>
      </c>
      <c r="F137" s="3"/>
      <c r="G137" s="11"/>
      <c r="H137" s="12"/>
      <c r="I137" s="14"/>
      <c r="J137" s="11"/>
      <c r="K137" s="11">
        <f>M118+M120</f>
        <v>0</v>
      </c>
      <c r="L137" s="11"/>
      <c r="M137" s="11"/>
    </row>
    <row r="138" spans="1:13">
      <c r="A138" s="21">
        <v>42795</v>
      </c>
      <c r="C138" s="21" t="s">
        <v>67</v>
      </c>
      <c r="F138" s="3"/>
      <c r="G138" s="11"/>
      <c r="H138" s="12"/>
      <c r="I138" s="14"/>
      <c r="J138" s="11"/>
      <c r="K138" s="11">
        <v>0</v>
      </c>
      <c r="L138" s="11"/>
      <c r="M138" s="11"/>
    </row>
    <row r="139" spans="1:13">
      <c r="A139" s="21">
        <v>42795</v>
      </c>
      <c r="C139" s="21" t="s">
        <v>68</v>
      </c>
      <c r="E139" s="21" t="s">
        <v>61</v>
      </c>
      <c r="K139" s="5">
        <f>J129*0.07*N2</f>
        <v>0</v>
      </c>
    </row>
    <row r="140" spans="1:13">
      <c r="K140" s="5">
        <f>K133+K134+K136</f>
        <v>0</v>
      </c>
    </row>
    <row r="141" spans="1:13">
      <c r="K141" s="15">
        <f>K133+K134+K135+K136+K137</f>
        <v>0</v>
      </c>
    </row>
  </sheetData>
  <mergeCells count="6">
    <mergeCell ref="C3:C31"/>
    <mergeCell ref="C32:C60"/>
    <mergeCell ref="C61:C107"/>
    <mergeCell ref="C108:C114"/>
    <mergeCell ref="C117:C120"/>
    <mergeCell ref="C121:D128"/>
  </mergeCells>
  <phoneticPr fontId="1" type="noConversion"/>
  <conditionalFormatting sqref="E124">
    <cfRule type="containsText" dxfId="6" priority="1" operator="containsText" text="方泽斯">
      <formula>NOT(ISERROR(SEARCH("方泽斯",E124)))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A类</vt:lpstr>
      <vt:lpstr>B类</vt:lpstr>
      <vt:lpstr>C类打底裤</vt:lpstr>
      <vt:lpstr>D类</vt:lpstr>
      <vt:lpstr>E类</vt:lpstr>
      <vt:lpstr>F类</vt:lpstr>
      <vt:lpstr>G类</vt:lpstr>
      <vt:lpstr>H类</vt:lpstr>
      <vt:lpstr>J类</vt:lpstr>
      <vt:lpstr>K类</vt:lpstr>
      <vt:lpstr>L类</vt:lpstr>
      <vt:lpstr>M类</vt:lpstr>
      <vt:lpstr>N类</vt:lpstr>
      <vt:lpstr>Q类</vt:lpstr>
      <vt:lpstr>T类</vt:lpstr>
      <vt:lpstr>V类</vt:lpstr>
      <vt:lpstr>Y类</vt:lpstr>
      <vt:lpstr>Z类</vt:lpstr>
      <vt:lpstr>提成汇总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黄绍铭</dc:creator>
  <cp:lastModifiedBy>huangshaoming</cp:lastModifiedBy>
  <dcterms:created xsi:type="dcterms:W3CDTF">2006-09-13T11:21:51Z</dcterms:created>
  <dcterms:modified xsi:type="dcterms:W3CDTF">2019-10-29T08:12:44Z</dcterms:modified>
</cp:coreProperties>
</file>