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EXCEL-INTERMEDIATE\EXCEL INTERMEDIATE\"/>
    </mc:Choice>
  </mc:AlternateContent>
  <xr:revisionPtr revIDLastSave="0" documentId="13_ncr:1_{E6F9CE87-39EF-41A3-B5B9-8AAA686CE101}" xr6:coauthVersionLast="47" xr6:coauthVersionMax="47" xr10:uidLastSave="{00000000-0000-0000-0000-000000000000}"/>
  <bookViews>
    <workbookView xWindow="-120" yWindow="-120" windowWidth="20730" windowHeight="11760" tabRatio="722" firstSheet="9" activeTab="18" xr2:uid="{00000000-000D-0000-FFFF-FFFF00000000}"/>
  </bookViews>
  <sheets>
    <sheet name="VLOOKUP_FALSE" sheetId="1" r:id="rId1"/>
    <sheet name="HLOOKUP_FALSE" sheetId="2" r:id="rId2"/>
    <sheet name="VHLOOKUP_TRUE" sheetId="3" r:id="rId3"/>
    <sheet name="latihan1A" sheetId="5" r:id="rId4"/>
    <sheet name="Latihan1B" sheetId="18" r:id="rId5"/>
    <sheet name="latihan1c" sheetId="20" r:id="rId6"/>
    <sheet name="latihan 2" sheetId="6" r:id="rId7"/>
    <sheet name="latihan 3" sheetId="9" r:id="rId8"/>
    <sheet name="latihan 4" sheetId="10" r:id="rId9"/>
    <sheet name="Latihan 5" sheetId="4" r:id="rId10"/>
    <sheet name="Latihan 6" sheetId="14" r:id="rId11"/>
    <sheet name="Latihan 8" sheetId="15" r:id="rId12"/>
    <sheet name="Latihan 7" sheetId="8" r:id="rId13"/>
    <sheet name="Latihan 9" sheetId="7" r:id="rId14"/>
    <sheet name="Latihan 10" sheetId="16" r:id="rId15"/>
    <sheet name="Latihan 11" sheetId="11" r:id="rId16"/>
    <sheet name="latihan 12" sheetId="12" r:id="rId17"/>
    <sheet name="Sheet1" sheetId="17" state="hidden" r:id="rId18"/>
    <sheet name="Latihan13" sheetId="19" r:id="rId19"/>
  </sheets>
  <definedNames>
    <definedName name="angka">'Latihan 10'!$B$12:$C$21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9" l="1"/>
  <c r="G8" i="19"/>
  <c r="G9" i="19"/>
  <c r="G10" i="19"/>
  <c r="G11" i="19"/>
  <c r="G12" i="19"/>
  <c r="G13" i="19"/>
  <c r="G14" i="19"/>
  <c r="G15" i="19"/>
  <c r="G6" i="19"/>
  <c r="D6" i="19"/>
  <c r="E6" i="19"/>
  <c r="F7" i="19"/>
  <c r="F8" i="19"/>
  <c r="F9" i="19"/>
  <c r="F10" i="19"/>
  <c r="F11" i="19"/>
  <c r="F12" i="19"/>
  <c r="F13" i="19"/>
  <c r="F14" i="19"/>
  <c r="F15" i="19"/>
  <c r="F6" i="19"/>
  <c r="E7" i="19"/>
  <c r="E8" i="19"/>
  <c r="E9" i="19"/>
  <c r="E10" i="19"/>
  <c r="E11" i="19"/>
  <c r="E12" i="19"/>
  <c r="E13" i="19"/>
  <c r="E14" i="19"/>
  <c r="E15" i="19"/>
  <c r="C6" i="19"/>
  <c r="D7" i="19"/>
  <c r="D8" i="19"/>
  <c r="D9" i="19"/>
  <c r="D10" i="19"/>
  <c r="D11" i="19"/>
  <c r="D12" i="19"/>
  <c r="D13" i="19"/>
  <c r="D14" i="19"/>
  <c r="D15" i="19"/>
  <c r="C7" i="19"/>
  <c r="C8" i="19"/>
  <c r="C9" i="19"/>
  <c r="C10" i="19"/>
  <c r="C11" i="19"/>
  <c r="C12" i="19"/>
  <c r="C13" i="19"/>
  <c r="C14" i="19"/>
  <c r="C15" i="19"/>
  <c r="I6" i="12"/>
  <c r="I7" i="12"/>
  <c r="I8" i="12"/>
  <c r="I9" i="12"/>
  <c r="I10" i="12"/>
  <c r="I11" i="12"/>
  <c r="I12" i="12"/>
  <c r="I13" i="12"/>
  <c r="I14" i="12"/>
  <c r="I15" i="12"/>
  <c r="I5" i="12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G6" i="16"/>
  <c r="G7" i="16"/>
  <c r="G5" i="16"/>
  <c r="F6" i="16"/>
  <c r="F7" i="16"/>
  <c r="F5" i="16"/>
  <c r="E5" i="16"/>
  <c r="E6" i="16"/>
  <c r="E7" i="16"/>
  <c r="D5" i="16"/>
  <c r="D6" i="16"/>
  <c r="D7" i="16"/>
  <c r="C5" i="16"/>
  <c r="C6" i="16"/>
  <c r="C7" i="16"/>
  <c r="I3" i="14"/>
  <c r="H4" i="15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F4" i="7"/>
  <c r="E4" i="7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4" i="8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" i="15"/>
  <c r="G6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4" i="15"/>
  <c r="D28" i="2" a="1"/>
  <c r="D28" i="2" s="1"/>
  <c r="F4" i="14" l="1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3" i="14"/>
  <c r="G4" i="10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E5" i="4"/>
  <c r="E6" i="4"/>
  <c r="E7" i="4"/>
  <c r="E8" i="4"/>
  <c r="E4" i="4"/>
  <c r="D5" i="4"/>
  <c r="D6" i="4"/>
  <c r="D7" i="4"/>
  <c r="D8" i="4"/>
  <c r="D4" i="4"/>
  <c r="B8" i="4"/>
  <c r="B5" i="4"/>
  <c r="B6" i="4"/>
  <c r="B7" i="4"/>
  <c r="B4" i="4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4" i="10"/>
  <c r="G28" i="10"/>
  <c r="G32" i="10"/>
  <c r="G36" i="10"/>
  <c r="G40" i="10"/>
  <c r="G44" i="10"/>
  <c r="G48" i="10"/>
  <c r="G52" i="10"/>
  <c r="G56" i="10"/>
  <c r="G60" i="10"/>
  <c r="G64" i="10"/>
  <c r="G68" i="10"/>
  <c r="G72" i="10"/>
  <c r="G76" i="10"/>
  <c r="G80" i="10"/>
  <c r="D5" i="10"/>
  <c r="G5" i="10" s="1"/>
  <c r="D6" i="10"/>
  <c r="G6" i="10" s="1"/>
  <c r="D7" i="10"/>
  <c r="G7" i="10" s="1"/>
  <c r="D8" i="10"/>
  <c r="G8" i="10" s="1"/>
  <c r="D9" i="10"/>
  <c r="G9" i="10" s="1"/>
  <c r="D10" i="10"/>
  <c r="G10" i="10" s="1"/>
  <c r="D11" i="10"/>
  <c r="G11" i="10" s="1"/>
  <c r="D12" i="10"/>
  <c r="G12" i="10" s="1"/>
  <c r="D13" i="10"/>
  <c r="G13" i="10" s="1"/>
  <c r="D14" i="10"/>
  <c r="G14" i="10" s="1"/>
  <c r="D15" i="10"/>
  <c r="G15" i="10" s="1"/>
  <c r="D16" i="10"/>
  <c r="G16" i="10" s="1"/>
  <c r="D17" i="10"/>
  <c r="G17" i="10" s="1"/>
  <c r="D18" i="10"/>
  <c r="G18" i="10" s="1"/>
  <c r="D19" i="10"/>
  <c r="G19" i="10" s="1"/>
  <c r="D20" i="10"/>
  <c r="G20" i="10" s="1"/>
  <c r="D21" i="10"/>
  <c r="G21" i="10" s="1"/>
  <c r="D22" i="10"/>
  <c r="G22" i="10" s="1"/>
  <c r="D23" i="10"/>
  <c r="G23" i="10" s="1"/>
  <c r="D24" i="10"/>
  <c r="G24" i="10" s="1"/>
  <c r="D25" i="10"/>
  <c r="G25" i="10" s="1"/>
  <c r="D26" i="10"/>
  <c r="G26" i="10" s="1"/>
  <c r="D27" i="10"/>
  <c r="G27" i="10" s="1"/>
  <c r="D28" i="10"/>
  <c r="D29" i="10"/>
  <c r="G29" i="10" s="1"/>
  <c r="D30" i="10"/>
  <c r="G30" i="10" s="1"/>
  <c r="D31" i="10"/>
  <c r="G31" i="10" s="1"/>
  <c r="D32" i="10"/>
  <c r="D33" i="10"/>
  <c r="G33" i="10" s="1"/>
  <c r="D34" i="10"/>
  <c r="G34" i="10" s="1"/>
  <c r="D35" i="10"/>
  <c r="G35" i="10" s="1"/>
  <c r="D36" i="10"/>
  <c r="D37" i="10"/>
  <c r="G37" i="10" s="1"/>
  <c r="D38" i="10"/>
  <c r="G38" i="10" s="1"/>
  <c r="D39" i="10"/>
  <c r="G39" i="10" s="1"/>
  <c r="D40" i="10"/>
  <c r="D41" i="10"/>
  <c r="G41" i="10" s="1"/>
  <c r="D42" i="10"/>
  <c r="G42" i="10" s="1"/>
  <c r="D43" i="10"/>
  <c r="G43" i="10" s="1"/>
  <c r="D44" i="10"/>
  <c r="D45" i="10"/>
  <c r="G45" i="10" s="1"/>
  <c r="D46" i="10"/>
  <c r="G46" i="10" s="1"/>
  <c r="D47" i="10"/>
  <c r="G47" i="10" s="1"/>
  <c r="D48" i="10"/>
  <c r="D49" i="10"/>
  <c r="G49" i="10" s="1"/>
  <c r="D50" i="10"/>
  <c r="G50" i="10" s="1"/>
  <c r="D51" i="10"/>
  <c r="G51" i="10" s="1"/>
  <c r="D52" i="10"/>
  <c r="D53" i="10"/>
  <c r="G53" i="10" s="1"/>
  <c r="D54" i="10"/>
  <c r="G54" i="10" s="1"/>
  <c r="D55" i="10"/>
  <c r="G55" i="10" s="1"/>
  <c r="D56" i="10"/>
  <c r="D57" i="10"/>
  <c r="G57" i="10" s="1"/>
  <c r="D58" i="10"/>
  <c r="G58" i="10" s="1"/>
  <c r="D59" i="10"/>
  <c r="G59" i="10" s="1"/>
  <c r="D60" i="10"/>
  <c r="D61" i="10"/>
  <c r="G61" i="10" s="1"/>
  <c r="D62" i="10"/>
  <c r="G62" i="10" s="1"/>
  <c r="D63" i="10"/>
  <c r="G63" i="10" s="1"/>
  <c r="D64" i="10"/>
  <c r="D65" i="10"/>
  <c r="G65" i="10" s="1"/>
  <c r="D66" i="10"/>
  <c r="G66" i="10" s="1"/>
  <c r="D67" i="10"/>
  <c r="G67" i="10" s="1"/>
  <c r="D68" i="10"/>
  <c r="D69" i="10"/>
  <c r="G69" i="10" s="1"/>
  <c r="D70" i="10"/>
  <c r="G70" i="10" s="1"/>
  <c r="D71" i="10"/>
  <c r="G71" i="10" s="1"/>
  <c r="D72" i="10"/>
  <c r="D73" i="10"/>
  <c r="G73" i="10" s="1"/>
  <c r="D74" i="10"/>
  <c r="G74" i="10" s="1"/>
  <c r="D75" i="10"/>
  <c r="G75" i="10" s="1"/>
  <c r="D76" i="10"/>
  <c r="D77" i="10"/>
  <c r="G77" i="10" s="1"/>
  <c r="D78" i="10"/>
  <c r="G78" i="10" s="1"/>
  <c r="D79" i="10"/>
  <c r="G79" i="10" s="1"/>
  <c r="D80" i="10"/>
  <c r="D4" i="10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5" i="9"/>
  <c r="D89" i="6"/>
  <c r="G89" i="6" s="1"/>
  <c r="D88" i="6"/>
  <c r="E88" i="6" s="1"/>
  <c r="F88" i="6" s="1"/>
  <c r="D87" i="6"/>
  <c r="G87" i="6" s="1"/>
  <c r="D85" i="6"/>
  <c r="E85" i="6" s="1"/>
  <c r="F85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6" i="6"/>
  <c r="G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6" i="6"/>
  <c r="F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6" i="6"/>
  <c r="E5" i="6"/>
  <c r="C3" i="20"/>
  <c r="C4" i="20"/>
  <c r="C5" i="20"/>
  <c r="C6" i="20"/>
  <c r="C7" i="20"/>
  <c r="C8" i="20"/>
  <c r="C9" i="20"/>
  <c r="C10" i="20"/>
  <c r="C11" i="20"/>
  <c r="C12" i="20"/>
  <c r="C13" i="20"/>
  <c r="C2" i="20"/>
  <c r="C4" i="18"/>
  <c r="C3" i="18"/>
  <c r="C2" i="18"/>
  <c r="M15" i="5"/>
  <c r="M6" i="5"/>
  <c r="M7" i="5"/>
  <c r="M8" i="5"/>
  <c r="M9" i="5"/>
  <c r="M10" i="5"/>
  <c r="M11" i="5"/>
  <c r="M12" i="5"/>
  <c r="M13" i="5"/>
  <c r="M14" i="5"/>
  <c r="M5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4" i="5"/>
  <c r="AO34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10" i="3"/>
  <c r="AN34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10" i="3"/>
  <c r="AF7" i="3"/>
  <c r="AF8" i="3"/>
  <c r="AF9" i="3"/>
  <c r="AF10" i="3"/>
  <c r="AF11" i="3"/>
  <c r="AF12" i="3"/>
  <c r="AF13" i="3"/>
  <c r="AF6" i="3"/>
  <c r="AE7" i="3"/>
  <c r="AE8" i="3"/>
  <c r="AE9" i="3"/>
  <c r="AE10" i="3"/>
  <c r="AE11" i="3"/>
  <c r="AE12" i="3"/>
  <c r="AE13" i="3"/>
  <c r="AE6" i="3"/>
  <c r="AD7" i="3"/>
  <c r="AD8" i="3"/>
  <c r="AD9" i="3"/>
  <c r="AD10" i="3"/>
  <c r="AD11" i="3"/>
  <c r="AD12" i="3"/>
  <c r="AD13" i="3"/>
  <c r="AD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6" i="3"/>
  <c r="J6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13" i="3"/>
  <c r="J7" i="3"/>
  <c r="J8" i="3"/>
  <c r="J9" i="3"/>
  <c r="J10" i="3"/>
  <c r="J11" i="3"/>
  <c r="D10" i="3"/>
  <c r="D9" i="3"/>
  <c r="D8" i="3"/>
  <c r="Q33" i="2"/>
  <c r="R30" i="2"/>
  <c r="S30" i="2"/>
  <c r="T30" i="2"/>
  <c r="Q30" i="2"/>
  <c r="U30" i="2" s="1"/>
  <c r="U28" i="2"/>
  <c r="U26" i="2"/>
  <c r="U27" i="2"/>
  <c r="U29" i="2"/>
  <c r="U25" i="2"/>
  <c r="AE30" i="1"/>
  <c r="AF27" i="1"/>
  <c r="AG27" i="1"/>
  <c r="AH27" i="1"/>
  <c r="AE27" i="1"/>
  <c r="AI27" i="1" s="1"/>
  <c r="AI23" i="1"/>
  <c r="AI24" i="1"/>
  <c r="AI25" i="1"/>
  <c r="AI26" i="1"/>
  <c r="AI22" i="1"/>
  <c r="I25" i="2" a="1"/>
  <c r="I25" i="2" s="1"/>
  <c r="U20" i="1" a="1"/>
  <c r="U20" i="1" s="1"/>
  <c r="K22" i="1" a="1"/>
  <c r="K22" i="1" s="1"/>
  <c r="D22" i="1" a="1"/>
  <c r="D22" i="1" s="1"/>
  <c r="E89" i="6" l="1"/>
  <c r="F89" i="6" s="1"/>
  <c r="G88" i="6"/>
  <c r="E87" i="6"/>
  <c r="F87" i="6" s="1"/>
  <c r="G85" i="6"/>
  <c r="J1" i="18"/>
  <c r="L36" i="14" l="1"/>
  <c r="L35" i="14"/>
  <c r="L34" i="14"/>
  <c r="L33" i="14"/>
  <c r="L32" i="14"/>
  <c r="L31" i="14"/>
  <c r="L30" i="14"/>
  <c r="J4" i="18" l="1"/>
  <c r="J3" i="18"/>
  <c r="J2" i="18"/>
  <c r="C43" i="16" l="1"/>
  <c r="D43" i="16"/>
  <c r="E43" i="16"/>
  <c r="F43" i="16"/>
  <c r="P7" i="16" l="1"/>
  <c r="O7" i="16"/>
  <c r="N7" i="16"/>
  <c r="M7" i="16"/>
  <c r="P6" i="16"/>
  <c r="O6" i="16"/>
  <c r="N6" i="16"/>
  <c r="M6" i="16"/>
  <c r="P5" i="16"/>
  <c r="O5" i="16"/>
  <c r="N5" i="16"/>
  <c r="M5" i="16"/>
  <c r="P4" i="16"/>
  <c r="O4" i="16"/>
  <c r="N4" i="16"/>
  <c r="M4" i="16"/>
  <c r="L14" i="15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I52" i="11"/>
  <c r="I128" i="6"/>
  <c r="H128" i="6"/>
  <c r="G128" i="6"/>
  <c r="F128" i="6"/>
  <c r="Q4" i="16" l="1"/>
  <c r="Q5" i="16"/>
  <c r="Q6" i="16"/>
  <c r="Q7" i="16"/>
  <c r="I44" i="11"/>
  <c r="I37" i="11"/>
  <c r="I41" i="11"/>
  <c r="I45" i="11"/>
  <c r="I49" i="11"/>
  <c r="I38" i="11"/>
  <c r="I46" i="11"/>
  <c r="I50" i="11"/>
  <c r="I42" i="11"/>
  <c r="I39" i="11"/>
  <c r="I43" i="11"/>
  <c r="I47" i="11"/>
  <c r="I51" i="11"/>
  <c r="I40" i="11"/>
  <c r="I48" i="11"/>
  <c r="K4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3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Jenis produk diambil dr digit pertama dan kedua dr Kode produk</t>
        </r>
      </text>
    </comment>
    <comment ref="K3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diambil dr digit ketiga dr kode produk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<sst xmlns="http://schemas.openxmlformats.org/spreadsheetml/2006/main" count="2470" uniqueCount="1200">
  <si>
    <t>Tabel Lookup</t>
  </si>
  <si>
    <t>Kode</t>
  </si>
  <si>
    <t>Produk</t>
  </si>
  <si>
    <t>Harga</t>
  </si>
  <si>
    <t>Lenovo</t>
  </si>
  <si>
    <t>Asus</t>
  </si>
  <si>
    <t>Sony</t>
  </si>
  <si>
    <t>HP</t>
  </si>
  <si>
    <t>Jumlah</t>
  </si>
  <si>
    <t>Tebal</t>
  </si>
  <si>
    <t>Harga/Lbr</t>
  </si>
  <si>
    <t>Total</t>
  </si>
  <si>
    <t>Daftar Gaji Karyawan</t>
  </si>
  <si>
    <t>Nama</t>
  </si>
  <si>
    <t>Gol</t>
  </si>
  <si>
    <t>Gaji Kotor</t>
  </si>
  <si>
    <t>Gaji Pokok</t>
  </si>
  <si>
    <t>Tunjungan</t>
  </si>
  <si>
    <t>Ambar</t>
  </si>
  <si>
    <t>Joko</t>
  </si>
  <si>
    <t>Novy</t>
  </si>
  <si>
    <t>Wati</t>
  </si>
  <si>
    <t>Yenny</t>
  </si>
  <si>
    <t>Latihan1</t>
  </si>
  <si>
    <t>latihan 2</t>
  </si>
  <si>
    <t>No</t>
  </si>
  <si>
    <t>Customer</t>
  </si>
  <si>
    <t>Merek</t>
  </si>
  <si>
    <t>Harga Beli</t>
  </si>
  <si>
    <t>Andree</t>
  </si>
  <si>
    <t>Imron</t>
  </si>
  <si>
    <t>Axio</t>
  </si>
  <si>
    <t>Melinda</t>
  </si>
  <si>
    <t>Rizal</t>
  </si>
  <si>
    <t>Acer</t>
  </si>
  <si>
    <t>Catur</t>
  </si>
  <si>
    <t>Yamin</t>
  </si>
  <si>
    <t>Hidayat</t>
  </si>
  <si>
    <t>Komarudin</t>
  </si>
  <si>
    <t>Tina</t>
  </si>
  <si>
    <t>Hendra</t>
  </si>
  <si>
    <t>Andi</t>
  </si>
  <si>
    <t>Widuri</t>
  </si>
  <si>
    <t>Akhdan</t>
  </si>
  <si>
    <t>Rara</t>
  </si>
  <si>
    <t>Zarin</t>
  </si>
  <si>
    <t>Mat Sani</t>
  </si>
  <si>
    <t>Iwan</t>
  </si>
  <si>
    <t>Yani</t>
  </si>
  <si>
    <t>Anwar</t>
  </si>
  <si>
    <t>Intan</t>
  </si>
  <si>
    <t>Ningsih</t>
  </si>
  <si>
    <t>Kurnia</t>
  </si>
  <si>
    <t>Olig</t>
  </si>
  <si>
    <t>Gustav</t>
  </si>
  <si>
    <t>Toni</t>
  </si>
  <si>
    <t>Ratih</t>
  </si>
  <si>
    <t>Fatih</t>
  </si>
  <si>
    <t>Siswadi</t>
  </si>
  <si>
    <t>Samuel</t>
  </si>
  <si>
    <t>Merek Laptop</t>
  </si>
  <si>
    <t>Harga Server</t>
  </si>
  <si>
    <t>Negara Asal</t>
  </si>
  <si>
    <t>China</t>
  </si>
  <si>
    <t>Japan</t>
  </si>
  <si>
    <t>US</t>
  </si>
  <si>
    <t>Amerika</t>
  </si>
  <si>
    <t>Waktu Import</t>
  </si>
  <si>
    <t>2 Minggu</t>
  </si>
  <si>
    <t>3 Minggu</t>
  </si>
  <si>
    <t>1 Minggu</t>
  </si>
  <si>
    <t xml:space="preserve">Contoh </t>
  </si>
  <si>
    <t>Ubahlah singkatan berikut menjadi keterangan yang sebenarnya, yaitu</t>
  </si>
  <si>
    <t>Kode Status</t>
  </si>
  <si>
    <t>J</t>
  </si>
  <si>
    <t>D</t>
  </si>
  <si>
    <t>S</t>
  </si>
  <si>
    <t>M</t>
  </si>
  <si>
    <t>Keterangan</t>
  </si>
  <si>
    <t>Janda</t>
  </si>
  <si>
    <t>Duda</t>
  </si>
  <si>
    <t>Single</t>
  </si>
  <si>
    <t>Menikah</t>
  </si>
  <si>
    <t>No.</t>
  </si>
  <si>
    <t>Calon Pegawai</t>
  </si>
  <si>
    <t>Rina</t>
  </si>
  <si>
    <t xml:space="preserve"> Toni</t>
  </si>
  <si>
    <t>Samsul</t>
  </si>
  <si>
    <t>Tuti</t>
  </si>
  <si>
    <t>Dedi</t>
  </si>
  <si>
    <t>Fungsi Hlookup</t>
  </si>
  <si>
    <t>Fungsi ini digunakan untuk mengambil suatu nilai dari suatu tabel sumber, secara Horizontal</t>
  </si>
  <si>
    <t>Syntax</t>
  </si>
  <si>
    <t>=VLOOKUP(lookup_value,table_array,col_index_num,range_lookup)</t>
  </si>
  <si>
    <t>Ket :</t>
  </si>
  <si>
    <t>lookup_value</t>
  </si>
  <si>
    <r>
      <t xml:space="preserve">adalah nilai yang akan dicocokan dengan nilai yg ada pd </t>
    </r>
    <r>
      <rPr>
        <i/>
        <sz val="10"/>
        <rFont val="Trebuchet MS"/>
        <family val="2"/>
      </rPr>
      <t>table_array</t>
    </r>
  </si>
  <si>
    <t>table_array</t>
  </si>
  <si>
    <t>adalah tabel sumber dari data yg ada</t>
  </si>
  <si>
    <t>col_index_num</t>
  </si>
  <si>
    <r>
      <t xml:space="preserve">adalah nomor kolom yg ada pd </t>
    </r>
    <r>
      <rPr>
        <i/>
        <sz val="10"/>
        <rFont val="Trebuchet MS"/>
        <family val="2"/>
      </rPr>
      <t>table_array</t>
    </r>
  </si>
  <si>
    <t>range_lookup</t>
  </si>
  <si>
    <t>adalah nilai logika yg berisi 1 atau 0</t>
  </si>
  <si>
    <r>
      <t xml:space="preserve">1 jika </t>
    </r>
    <r>
      <rPr>
        <i/>
        <sz val="10"/>
        <rFont val="Trebuchet MS"/>
        <family val="2"/>
      </rPr>
      <t>table array sudah terurut</t>
    </r>
  </si>
  <si>
    <t>0 jika table array belum terurut</t>
  </si>
  <si>
    <t>Fungsi Vlookup</t>
  </si>
  <si>
    <t>Fungsi ini digunakan untuk mengambil suatu nilai dari suatu tabel sumber, secara vertikal</t>
  </si>
  <si>
    <t>Latihan 1</t>
  </si>
  <si>
    <t>Daftar Customer Order</t>
  </si>
  <si>
    <t>Sblm Disc</t>
  </si>
  <si>
    <t>Diskon</t>
  </si>
  <si>
    <t>Sesdh Disc</t>
  </si>
  <si>
    <t>A-123</t>
  </si>
  <si>
    <t>B-245</t>
  </si>
  <si>
    <t>D-567</t>
  </si>
  <si>
    <t>A-454</t>
  </si>
  <si>
    <t>B-356</t>
  </si>
  <si>
    <t>C-768</t>
  </si>
  <si>
    <t>A-344</t>
  </si>
  <si>
    <t>B-454</t>
  </si>
  <si>
    <t>Latihan 2</t>
  </si>
  <si>
    <t>Rincian Biaya Operasional Usaha</t>
  </si>
  <si>
    <t>Biaya</t>
  </si>
  <si>
    <t>Jan-Mar</t>
  </si>
  <si>
    <t>Apr-Jun</t>
  </si>
  <si>
    <t>Jul-Sep</t>
  </si>
  <si>
    <t>Okt-Des</t>
  </si>
  <si>
    <t>Iklan</t>
  </si>
  <si>
    <t>Sewa</t>
  </si>
  <si>
    <t>Supplies</t>
  </si>
  <si>
    <t>Gaji</t>
  </si>
  <si>
    <t>Listrik</t>
  </si>
  <si>
    <t>BULAN</t>
  </si>
  <si>
    <t>TOTAL</t>
  </si>
  <si>
    <t>Latihan 3</t>
  </si>
  <si>
    <t>Hasil  Nilia Ujian</t>
  </si>
  <si>
    <t>Siswa</t>
  </si>
  <si>
    <t>Nilai Angka</t>
  </si>
  <si>
    <t>Nilai Abjad</t>
  </si>
  <si>
    <t>F</t>
  </si>
  <si>
    <t>Novi</t>
  </si>
  <si>
    <t>C</t>
  </si>
  <si>
    <t>B</t>
  </si>
  <si>
    <t>A</t>
  </si>
  <si>
    <t>Vanda</t>
  </si>
  <si>
    <t>VLOOKUP_FALSE</t>
  </si>
  <si>
    <t>VLOOKUP_TRUE</t>
  </si>
  <si>
    <t>Seorang manager sedang memberikan bonus kepada bawahannya yang mempunyai nilai kinerja terbaik. Jika nilai kinerjanya &gt; 80, maka bonusnya Motor, jika  nilai kinerjanya antara 50 - 80, maka bonus Sepeda, dan jika kinerjanya &lt; 50, tidak ada bonus</t>
  </si>
  <si>
    <t>Kriteria</t>
  </si>
  <si>
    <t>Bonus</t>
  </si>
  <si>
    <t>Motor</t>
  </si>
  <si>
    <t>Sepeda</t>
  </si>
  <si>
    <t>&lt;50</t>
  </si>
  <si>
    <t>Tidak Ada</t>
  </si>
  <si>
    <t>Pegawai</t>
  </si>
  <si>
    <t>Kinerja</t>
  </si>
  <si>
    <t>kriteria</t>
  </si>
  <si>
    <t>Range nilai</t>
  </si>
  <si>
    <t>90 - 100</t>
  </si>
  <si>
    <t>80-89</t>
  </si>
  <si>
    <t>70-79</t>
  </si>
  <si>
    <t>60 - 69</t>
  </si>
  <si>
    <t>&lt;60</t>
  </si>
  <si>
    <t>Konsumen</t>
  </si>
  <si>
    <t>Sales Quantity (Ton)</t>
  </si>
  <si>
    <t>Discount</t>
  </si>
  <si>
    <t>Total Sales (USD $)</t>
  </si>
  <si>
    <t>Total Sales (Rp)</t>
  </si>
  <si>
    <t xml:space="preserve">Iwan </t>
  </si>
  <si>
    <t>Tatum</t>
  </si>
  <si>
    <t>Latihan 4</t>
  </si>
  <si>
    <t>Laporan Stok</t>
  </si>
  <si>
    <t>Diskripsi</t>
  </si>
  <si>
    <t>Total Harga</t>
  </si>
  <si>
    <t>PN15-100</t>
  </si>
  <si>
    <t>PN14-079</t>
  </si>
  <si>
    <t>PN12-098</t>
  </si>
  <si>
    <t>Widgets-Single</t>
  </si>
  <si>
    <t>Widgets-Double</t>
  </si>
  <si>
    <t>Widgets-2 per pack</t>
  </si>
  <si>
    <t>PN15-103</t>
  </si>
  <si>
    <t>Widgets-3 per pack</t>
  </si>
  <si>
    <t>No Stok</t>
  </si>
  <si>
    <t>Berikut adalah data peminjam buku perpustakaan sekolah</t>
  </si>
  <si>
    <t>Nama Buku</t>
  </si>
  <si>
    <t>Kode Buku</t>
  </si>
  <si>
    <t>Jenis Buku</t>
  </si>
  <si>
    <t>Penerbit</t>
  </si>
  <si>
    <t>Izin Peminjaman</t>
  </si>
  <si>
    <t>Harry Potter</t>
  </si>
  <si>
    <t>Marketing improvement</t>
  </si>
  <si>
    <t>CMP</t>
  </si>
  <si>
    <t>Buku Komputer</t>
  </si>
  <si>
    <t>Gramedia</t>
  </si>
  <si>
    <t>Panduan Perspuseru</t>
  </si>
  <si>
    <t>EDC</t>
  </si>
  <si>
    <t>Buku Pendidikan</t>
  </si>
  <si>
    <t>Andi Press</t>
  </si>
  <si>
    <t>Mengatasai kelaparan</t>
  </si>
  <si>
    <t>MRT</t>
  </si>
  <si>
    <t>Buku Pemasaran</t>
  </si>
  <si>
    <t>Ghalia Pustaka</t>
  </si>
  <si>
    <t>Usaha yang Booming 2013</t>
  </si>
  <si>
    <t>NVL</t>
  </si>
  <si>
    <t>Novel</t>
  </si>
  <si>
    <t>Elex Media</t>
  </si>
  <si>
    <t>IPA SMP 1</t>
  </si>
  <si>
    <t>SCN</t>
  </si>
  <si>
    <t>Science</t>
  </si>
  <si>
    <t>Alpha Beta press</t>
  </si>
  <si>
    <t>Internet Marketing</t>
  </si>
  <si>
    <t>FIK</t>
  </si>
  <si>
    <t>Buku Fiksi</t>
  </si>
  <si>
    <t>Sherlock Holmes</t>
  </si>
  <si>
    <t>TBL</t>
  </si>
  <si>
    <t>Tabloid</t>
  </si>
  <si>
    <t>Media Jaya</t>
  </si>
  <si>
    <t>MJL</t>
  </si>
  <si>
    <t>Majalah</t>
  </si>
  <si>
    <t>Trubus</t>
  </si>
  <si>
    <t>PERT</t>
  </si>
  <si>
    <t>Buku Pertanian</t>
  </si>
  <si>
    <t>Tani Makmur</t>
  </si>
  <si>
    <t>Delphi</t>
  </si>
  <si>
    <t>JRN</t>
  </si>
  <si>
    <t xml:space="preserve">Jurnal </t>
  </si>
  <si>
    <t>IPB Press</t>
  </si>
  <si>
    <t>Mesin Uang</t>
  </si>
  <si>
    <t>Sejarah SMP 2</t>
  </si>
  <si>
    <t>Kambing Hitam</t>
  </si>
  <si>
    <t>Matematika SD 1</t>
  </si>
  <si>
    <t>Matematika SD 2</t>
  </si>
  <si>
    <t>Programmer</t>
  </si>
  <si>
    <t>Cinta di rumah susun</t>
  </si>
  <si>
    <t>Kirun dan Nasrun</t>
  </si>
  <si>
    <t>Hanphone</t>
  </si>
  <si>
    <t xml:space="preserve">Geografi SMU </t>
  </si>
  <si>
    <t>Fisika SM 2</t>
  </si>
  <si>
    <t>MS Office 2007</t>
  </si>
  <si>
    <t>PC Media</t>
  </si>
  <si>
    <t xml:space="preserve">Matematika SMU </t>
  </si>
  <si>
    <t>English Conversation</t>
  </si>
  <si>
    <t>Marketing money</t>
  </si>
  <si>
    <t>PKPN 1</t>
  </si>
  <si>
    <t>Warta Ekonomi Indonesia</t>
  </si>
  <si>
    <t>Tertawa dengan Serius</t>
  </si>
  <si>
    <t>Bobo</t>
  </si>
  <si>
    <t>Kawanku</t>
  </si>
  <si>
    <t>Matematika SMP 2</t>
  </si>
  <si>
    <t>Sedap</t>
  </si>
  <si>
    <t>Bertani Melon</t>
  </si>
  <si>
    <t>Hidroponik</t>
  </si>
  <si>
    <t>Pulsa</t>
  </si>
  <si>
    <t>Trik Untung Usaha</t>
  </si>
  <si>
    <t>IPA SD 1</t>
  </si>
  <si>
    <t>Waralaba</t>
  </si>
  <si>
    <t>Bojonegoro dalam Angka</t>
  </si>
  <si>
    <t>Pamengkasan dalam Angka</t>
  </si>
  <si>
    <t xml:space="preserve">Peraturan Pemerintah </t>
  </si>
  <si>
    <t>Humor DPR</t>
  </si>
  <si>
    <t>Bahasa Indonesia 2</t>
  </si>
  <si>
    <t>Mengatasi macet</t>
  </si>
  <si>
    <t>Analisis Multivariat</t>
  </si>
  <si>
    <t>Tsunami</t>
  </si>
  <si>
    <t>Trik-Trik SPSS</t>
  </si>
  <si>
    <t>Nova</t>
  </si>
  <si>
    <t>Mari Menanam di Pot</t>
  </si>
  <si>
    <t>Lima Sekawan</t>
  </si>
  <si>
    <t>Hai</t>
  </si>
  <si>
    <t>Database</t>
  </si>
  <si>
    <t>Wanita Indonesia</t>
  </si>
  <si>
    <t>Tambulapot</t>
  </si>
  <si>
    <t>Hulubalang raja</t>
  </si>
  <si>
    <t>Sydney</t>
  </si>
  <si>
    <t>Rajaku</t>
  </si>
  <si>
    <t>IPA SD 3</t>
  </si>
  <si>
    <t>Bertanam Cabe</t>
  </si>
  <si>
    <t>PC Plus</t>
  </si>
  <si>
    <t>Magnacompress</t>
  </si>
  <si>
    <t>Jumlah Item</t>
  </si>
  <si>
    <t>Salesman</t>
  </si>
  <si>
    <t>Rico</t>
  </si>
  <si>
    <t>Rani</t>
  </si>
  <si>
    <t>Siska</t>
  </si>
  <si>
    <t>Roni</t>
  </si>
  <si>
    <t>Amir</t>
  </si>
  <si>
    <t>Frans</t>
  </si>
  <si>
    <t>Albert</t>
  </si>
  <si>
    <t>Yanto</t>
  </si>
  <si>
    <t>Berikut adalah nilai ujian siswa pada pelajaran Matematika di 3 kelas yang berbeda. Berikanlah kriteria ujian dengan persyaratan berikut:</t>
  </si>
  <si>
    <t>Kelas</t>
  </si>
  <si>
    <t>Nilai Ujian</t>
  </si>
  <si>
    <t>Kriteria Ujian</t>
  </si>
  <si>
    <t>Kriteria Kelulusan</t>
  </si>
  <si>
    <t>Kewajiban Les</t>
  </si>
  <si>
    <t>3A</t>
  </si>
  <si>
    <t>&lt; 30</t>
  </si>
  <si>
    <t>E</t>
  </si>
  <si>
    <t>30 - 50</t>
  </si>
  <si>
    <t>51 - 70</t>
  </si>
  <si>
    <t>71 - 85</t>
  </si>
  <si>
    <t>&gt; 85</t>
  </si>
  <si>
    <t>Sanu</t>
  </si>
  <si>
    <t>Wawan</t>
  </si>
  <si>
    <t>Siswa dikatakan LULUS, jika mendapat nilai A, B, dan C</t>
  </si>
  <si>
    <t>Selain itu, siswa TIDAK LULUS</t>
  </si>
  <si>
    <t>Samran</t>
  </si>
  <si>
    <t>Kewajiban Ikut Les</t>
  </si>
  <si>
    <t>Satria</t>
  </si>
  <si>
    <t>Kewajiban siswa ikut les hanya dengan persyaratan berikut:</t>
  </si>
  <si>
    <t>Wajib Ikut Les</t>
  </si>
  <si>
    <t>&lt; 65</t>
  </si>
  <si>
    <t>Rohya</t>
  </si>
  <si>
    <t>Optional Les</t>
  </si>
  <si>
    <t>65 - 70</t>
  </si>
  <si>
    <t>Tidak ikut</t>
  </si>
  <si>
    <t>&gt; 70</t>
  </si>
  <si>
    <t>Eri</t>
  </si>
  <si>
    <t>Rokhmat</t>
  </si>
  <si>
    <t>Subur</t>
  </si>
  <si>
    <t>3B</t>
  </si>
  <si>
    <t>3C</t>
  </si>
  <si>
    <t>Dewi</t>
  </si>
  <si>
    <t>Rata-rata Nilai Ujian Seluruh Kelas</t>
  </si>
  <si>
    <t>Rata-rata Nilai Ujian untuk Kelas:</t>
  </si>
  <si>
    <t>PERHITUNGAN BIAYA TAMU HOTEL BINTANG 5</t>
  </si>
  <si>
    <t>Tamu</t>
  </si>
  <si>
    <t>Type Kamar</t>
  </si>
  <si>
    <t>Ket. Kamar</t>
  </si>
  <si>
    <t>Fasilitas</t>
  </si>
  <si>
    <t>Sewa/ hari</t>
  </si>
  <si>
    <t>Tgl Chek in</t>
  </si>
  <si>
    <t>Tgl Chek out</t>
  </si>
  <si>
    <t>Lama Menginap</t>
  </si>
  <si>
    <t>Jumlah Pembayaran</t>
  </si>
  <si>
    <t>Diskon Promosi (%)</t>
  </si>
  <si>
    <t>Diskon Tambahan</t>
  </si>
  <si>
    <t>Total Pembayaran</t>
  </si>
  <si>
    <t>Ali</t>
  </si>
  <si>
    <t>EXC</t>
  </si>
  <si>
    <t>STD</t>
  </si>
  <si>
    <t xml:space="preserve"> Zainal</t>
  </si>
  <si>
    <t>MLT</t>
  </si>
  <si>
    <t>Lukman</t>
  </si>
  <si>
    <t>Oliq</t>
  </si>
  <si>
    <t>BNS</t>
  </si>
  <si>
    <t>Hasbi</t>
  </si>
  <si>
    <t>Rudy</t>
  </si>
  <si>
    <t>Dini</t>
  </si>
  <si>
    <t>Anang</t>
  </si>
  <si>
    <t>Susan</t>
  </si>
  <si>
    <t>Ranti</t>
  </si>
  <si>
    <t>Hanifah</t>
  </si>
  <si>
    <t>Abdul</t>
  </si>
  <si>
    <t>Safah</t>
  </si>
  <si>
    <t>Ket.</t>
  </si>
  <si>
    <t>Exclusive</t>
  </si>
  <si>
    <t>Makan Pagi dan Laundry</t>
  </si>
  <si>
    <t>Bisnis</t>
  </si>
  <si>
    <t>Makan Pagi</t>
  </si>
  <si>
    <t>Standar</t>
  </si>
  <si>
    <t>Kopi</t>
  </si>
  <si>
    <t>Melati</t>
  </si>
  <si>
    <t>Lama Menginap = tgl check out - check in</t>
  </si>
  <si>
    <t>Jumlah pembayaran = Sewa x lama menginap</t>
  </si>
  <si>
    <t>Jika menginap 3 - 5 hari, dapat diskon 5 %</t>
  </si>
  <si>
    <t>Jika menginap 6 - 10 hari, dapat diskon 10 %</t>
  </si>
  <si>
    <t>Jika menginap &gt; 10 hari, dapat diskon 20 %</t>
  </si>
  <si>
    <t>Diskon Tambahan 30 % diberikan jika tamu tersebut menginap di Kamar Executive DAN lamanya lebih dari 10 hari</t>
  </si>
  <si>
    <t>Total Pembayaran = jumlah pembayaran - diskon promosi -diskon tambahan</t>
  </si>
  <si>
    <t>Kode Produk</t>
  </si>
  <si>
    <t>Jenis Produk</t>
  </si>
  <si>
    <t>Nama Sales</t>
  </si>
  <si>
    <t>MN23</t>
  </si>
  <si>
    <t>PR</t>
  </si>
  <si>
    <t>Peralatan Rumah Tangga</t>
  </si>
  <si>
    <t>1</t>
  </si>
  <si>
    <t>Nancy Davolio</t>
  </si>
  <si>
    <t>MN22</t>
  </si>
  <si>
    <t>MK</t>
  </si>
  <si>
    <t>Makanan</t>
  </si>
  <si>
    <t>2</t>
  </si>
  <si>
    <t>Andrew Fuller</t>
  </si>
  <si>
    <t>MK24</t>
  </si>
  <si>
    <t>MN</t>
  </si>
  <si>
    <t>Minuman</t>
  </si>
  <si>
    <t>3</t>
  </si>
  <si>
    <t>Janet Leverling</t>
  </si>
  <si>
    <t>OB</t>
  </si>
  <si>
    <t>Obat-obatan</t>
  </si>
  <si>
    <t>4</t>
  </si>
  <si>
    <t>Laura Callahan</t>
  </si>
  <si>
    <t>MK33</t>
  </si>
  <si>
    <t>PR14</t>
  </si>
  <si>
    <t>MK21</t>
  </si>
  <si>
    <t>OB13</t>
  </si>
  <si>
    <t>PR11</t>
  </si>
  <si>
    <t>OB11</t>
  </si>
  <si>
    <t>PR41</t>
  </si>
  <si>
    <t>PR22</t>
  </si>
  <si>
    <t>OB21</t>
  </si>
  <si>
    <t>MK12</t>
  </si>
  <si>
    <t>MK32</t>
  </si>
  <si>
    <t>PR32</t>
  </si>
  <si>
    <t>PR31</t>
  </si>
  <si>
    <t>OB34</t>
  </si>
  <si>
    <t>MN14</t>
  </si>
  <si>
    <t>MN12</t>
  </si>
  <si>
    <t>MN44</t>
  </si>
  <si>
    <t>MN41</t>
  </si>
  <si>
    <t>MK42</t>
  </si>
  <si>
    <t>MK44</t>
  </si>
  <si>
    <t>OB22</t>
  </si>
  <si>
    <t>MK14</t>
  </si>
  <si>
    <t>PR34</t>
  </si>
  <si>
    <t>MN11</t>
  </si>
  <si>
    <t>MK34</t>
  </si>
  <si>
    <t>MK23</t>
  </si>
  <si>
    <t>PR43</t>
  </si>
  <si>
    <t>PR33</t>
  </si>
  <si>
    <t>PR13</t>
  </si>
  <si>
    <t>MK11</t>
  </si>
  <si>
    <t>MN31</t>
  </si>
  <si>
    <t>OB33</t>
  </si>
  <si>
    <t>PR21</t>
  </si>
  <si>
    <t>MK22</t>
  </si>
  <si>
    <t>OB23</t>
  </si>
  <si>
    <t>PR42</t>
  </si>
  <si>
    <t>OB42</t>
  </si>
  <si>
    <t>OB31</t>
  </si>
  <si>
    <t>OB44</t>
  </si>
  <si>
    <t>MK13</t>
  </si>
  <si>
    <t>OB41</t>
  </si>
  <si>
    <t>MN32</t>
  </si>
  <si>
    <t>MN33</t>
  </si>
  <si>
    <t>Ubahlah kode plat nomor kendaraan Berikut :</t>
  </si>
  <si>
    <t xml:space="preserve">No </t>
  </si>
  <si>
    <t>Pengemudi</t>
  </si>
  <si>
    <t>Kode Plat Kendaraan</t>
  </si>
  <si>
    <t>BN</t>
  </si>
  <si>
    <t>L</t>
  </si>
  <si>
    <t>DA</t>
  </si>
  <si>
    <t>Z</t>
  </si>
  <si>
    <t>DK</t>
  </si>
  <si>
    <t>W</t>
  </si>
  <si>
    <t>BA</t>
  </si>
  <si>
    <t>KT</t>
  </si>
  <si>
    <t>BL</t>
  </si>
  <si>
    <t>BD</t>
  </si>
  <si>
    <t>JAKARTA</t>
  </si>
  <si>
    <t>BANDUNG</t>
  </si>
  <si>
    <t>BANJARMASIN</t>
  </si>
  <si>
    <t>SAMARINDA</t>
  </si>
  <si>
    <t>ACEH</t>
  </si>
  <si>
    <t>PADANG</t>
  </si>
  <si>
    <t>BENGKULU</t>
  </si>
  <si>
    <t>BOGOR</t>
  </si>
  <si>
    <t>GARUT</t>
  </si>
  <si>
    <t>SURABAYA</t>
  </si>
  <si>
    <t>MADURA</t>
  </si>
  <si>
    <t>SIDOARJO</t>
  </si>
  <si>
    <t>BALI</t>
  </si>
  <si>
    <t>Lengkapilah soal berikut :</t>
  </si>
  <si>
    <t>Quantity</t>
  </si>
  <si>
    <t>Status Buyer</t>
  </si>
  <si>
    <t>Harga Jual</t>
  </si>
  <si>
    <t>Total Sales</t>
  </si>
  <si>
    <t>K</t>
  </si>
  <si>
    <t>1. Ketentuan Harga :</t>
  </si>
  <si>
    <t>Jika merek Asus dan Sonny, harganya 500 US $</t>
  </si>
  <si>
    <t>jIKA merek Lenovo dan Axio, harganya 300 US $</t>
  </si>
  <si>
    <t>2. Ketentuan harga jual</t>
  </si>
  <si>
    <t>T</t>
  </si>
  <si>
    <t>Jika membeli kredit (K), maka harga jual ditambah 30% dari harga beli</t>
  </si>
  <si>
    <t>Jika tunai, maka harga jual naik 10% dari harga beli</t>
  </si>
  <si>
    <t>3. Ketentuan Diskon :</t>
  </si>
  <si>
    <t>Jika membeli lebih dari 50unit, maka diskonnya 20%</t>
  </si>
  <si>
    <t>Jika membeli lebih antara 30 - 50unit, maka diskonnya 15%</t>
  </si>
  <si>
    <t>Jika membeli 20 -29 unit, maka diskonnya 10%</t>
  </si>
  <si>
    <t>4. Ketentuan Total Sales :</t>
  </si>
  <si>
    <t>adalah perkalian quantity dengan harga jual setelah dikurangi diskon</t>
  </si>
  <si>
    <t>Soal</t>
  </si>
  <si>
    <t>Berikut adalah penjualan berbagai macam produk di suatu Hypermarket. Produk yang dijual tersebut mencakup makanan, minuman, obat-obatan, dan buah-buahan. 
Harga yang dijual sangat tergantung dari asal mula produk tersebut. Berikut adalah tabel kode produk dan asal mulaproduk tersebut. Silahkan lengkapi dan hitung nilai total sales Hypermart tersebut:</t>
  </si>
  <si>
    <t>Kode Asal</t>
  </si>
  <si>
    <t>Harga Satuan</t>
  </si>
  <si>
    <t>DN</t>
  </si>
  <si>
    <t>RT</t>
  </si>
  <si>
    <t>LN</t>
  </si>
  <si>
    <t>GEN</t>
  </si>
  <si>
    <t>OL</t>
  </si>
  <si>
    <t>FR</t>
  </si>
  <si>
    <t>Obat2an</t>
  </si>
  <si>
    <t>Buah2an</t>
  </si>
  <si>
    <t>Dalam Negeri</t>
  </si>
  <si>
    <t>Luar Negeri</t>
  </si>
  <si>
    <t>Rumah Tangga</t>
  </si>
  <si>
    <t>Olahan</t>
  </si>
  <si>
    <t>Berikut adalah nilai pertukaran beberapa mata uang ke dalam rupiah di suatu Money Changer di Jakarta. Hitung total uang yang dikonversi hari tersebut :</t>
  </si>
  <si>
    <t>Nilai Kurs Rupiah (Rp / mata uang)</t>
  </si>
  <si>
    <t>USD</t>
  </si>
  <si>
    <t>Yen</t>
  </si>
  <si>
    <t>EURO</t>
  </si>
  <si>
    <t>Bank</t>
  </si>
  <si>
    <t>Kurs</t>
  </si>
  <si>
    <t>BCA</t>
  </si>
  <si>
    <t>Euro</t>
  </si>
  <si>
    <t>BNI</t>
  </si>
  <si>
    <t>BRI</t>
  </si>
  <si>
    <t>YEN</t>
  </si>
  <si>
    <t>MANDIRI</t>
  </si>
  <si>
    <t>VLOOK UP + LEFT + RIGHT</t>
  </si>
  <si>
    <t>Nama Pegawai</t>
  </si>
  <si>
    <t>Status</t>
  </si>
  <si>
    <t>Ket. Status</t>
  </si>
  <si>
    <t>Pendidikan</t>
  </si>
  <si>
    <t>Ket. Pendidikan</t>
  </si>
  <si>
    <t>Mobil yang dibeli</t>
  </si>
  <si>
    <t>Harga Mobil</t>
  </si>
  <si>
    <t>Negara Pabrikasi</t>
  </si>
  <si>
    <t>Norman</t>
  </si>
  <si>
    <t>S1</t>
  </si>
  <si>
    <t>N112G</t>
  </si>
  <si>
    <t>Ani</t>
  </si>
  <si>
    <t>SMA</t>
  </si>
  <si>
    <t>H121J</t>
  </si>
  <si>
    <t>Status &amp; Ket. Status</t>
  </si>
  <si>
    <t>S2</t>
  </si>
  <si>
    <t>S111J</t>
  </si>
  <si>
    <t>M = Menikah</t>
  </si>
  <si>
    <t xml:space="preserve">Sobariah </t>
  </si>
  <si>
    <t>D3</t>
  </si>
  <si>
    <t>H122J</t>
  </si>
  <si>
    <t>S = Jomblo</t>
  </si>
  <si>
    <t>Wahyu</t>
  </si>
  <si>
    <t>T121J</t>
  </si>
  <si>
    <t>J = Janda</t>
  </si>
  <si>
    <t>Elin</t>
  </si>
  <si>
    <t>Y121K</t>
  </si>
  <si>
    <t>D = Duda</t>
  </si>
  <si>
    <t>H111I</t>
  </si>
  <si>
    <t>SMP</t>
  </si>
  <si>
    <t>E112I</t>
  </si>
  <si>
    <t>Mahmud</t>
  </si>
  <si>
    <t>H111C</t>
  </si>
  <si>
    <t>Ket</t>
  </si>
  <si>
    <t>K121K</t>
  </si>
  <si>
    <t>s1, s2,</t>
  </si>
  <si>
    <t>Tinggi</t>
  </si>
  <si>
    <t>Kemal</t>
  </si>
  <si>
    <t>H102M</t>
  </si>
  <si>
    <t>d3</t>
  </si>
  <si>
    <t>Sedang</t>
  </si>
  <si>
    <t>H101M</t>
  </si>
  <si>
    <t>sma, smp</t>
  </si>
  <si>
    <t>Rendah</t>
  </si>
  <si>
    <t>N121A</t>
  </si>
  <si>
    <t>H122C</t>
  </si>
  <si>
    <t>S112J</t>
  </si>
  <si>
    <t xml:space="preserve">Kode Produk </t>
  </si>
  <si>
    <t>Mobil</t>
  </si>
  <si>
    <t xml:space="preserve">Harga </t>
  </si>
  <si>
    <t>T122J</t>
  </si>
  <si>
    <t>ESEMKA</t>
  </si>
  <si>
    <t>H121M</t>
  </si>
  <si>
    <t>FERRARI</t>
  </si>
  <si>
    <t>Y122K</t>
  </si>
  <si>
    <t>H</t>
  </si>
  <si>
    <t>HONDA</t>
  </si>
  <si>
    <t>O111G</t>
  </si>
  <si>
    <t>Y</t>
  </si>
  <si>
    <t>HYUNDAI</t>
  </si>
  <si>
    <t>N122G</t>
  </si>
  <si>
    <t>KIA</t>
  </si>
  <si>
    <t>N</t>
  </si>
  <si>
    <t>NISSAN</t>
  </si>
  <si>
    <t>F111T</t>
  </si>
  <si>
    <t>O</t>
  </si>
  <si>
    <t>OPEL</t>
  </si>
  <si>
    <t>T112M</t>
  </si>
  <si>
    <t>SUZUKI</t>
  </si>
  <si>
    <t>Siti</t>
  </si>
  <si>
    <t>TOYOTA</t>
  </si>
  <si>
    <t>Jabar</t>
  </si>
  <si>
    <t>Sule</t>
  </si>
  <si>
    <t>Kode Belakang Produk</t>
  </si>
  <si>
    <t>Jepang</t>
  </si>
  <si>
    <t>G</t>
  </si>
  <si>
    <t>German</t>
  </si>
  <si>
    <t>I</t>
  </si>
  <si>
    <t>Indonesia</t>
  </si>
  <si>
    <t>Italia</t>
  </si>
  <si>
    <t>Malaysia</t>
  </si>
  <si>
    <t>Korea</t>
  </si>
  <si>
    <t>Tanggal</t>
  </si>
  <si>
    <t>Denda</t>
  </si>
  <si>
    <t>Pinjam</t>
  </si>
  <si>
    <t>Pengembalian</t>
  </si>
  <si>
    <t>selisih</t>
  </si>
  <si>
    <t>Hari Denda</t>
  </si>
  <si>
    <t>Jumlah Denda (Rp)</t>
  </si>
  <si>
    <t>Hari Terlambat</t>
  </si>
  <si>
    <t>Reza</t>
  </si>
  <si>
    <t>Komputer</t>
  </si>
  <si>
    <t>Pemasaran</t>
  </si>
  <si>
    <t>&gt;5</t>
  </si>
  <si>
    <t>Syarif</t>
  </si>
  <si>
    <t>Denda dikenakan jika peminjaman lebih dari 4 hari</t>
  </si>
  <si>
    <t>Fransiskus</t>
  </si>
  <si>
    <t>Yudo</t>
  </si>
  <si>
    <t>Purwanto</t>
  </si>
  <si>
    <t>Hani</t>
  </si>
  <si>
    <t>Aziz</t>
  </si>
  <si>
    <t>Nunung</t>
  </si>
  <si>
    <t>DATA PEMINJAM BUKU PERPUSTAKAAN</t>
  </si>
  <si>
    <t>Angka</t>
  </si>
  <si>
    <t>Terbilang 1</t>
  </si>
  <si>
    <t>Terbilang 2</t>
  </si>
  <si>
    <t>Terbilang 3</t>
  </si>
  <si>
    <t>Terbilang 4</t>
  </si>
  <si>
    <t>Terbilang Lengkap</t>
  </si>
  <si>
    <t>Tabel pembanding</t>
  </si>
  <si>
    <t>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</si>
  <si>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</si>
  <si>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</si>
  <si>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</si>
  <si>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</si>
  <si>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</si>
  <si>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</si>
  <si>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</si>
  <si>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</si>
  <si>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</si>
  <si>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Value = Fungsi untuk mengubah text ke bentuk angka (masalah kompatibilitas dgn software lain)</t>
  </si>
  <si>
    <t>Text = Fungsi untuk mengubah angka ke bentuk text</t>
  </si>
  <si>
    <t xml:space="preserve">Angka </t>
  </si>
  <si>
    <t>Spelling</t>
  </si>
  <si>
    <t>MEMBUAT SPELLING ANGKA SEDERHANA</t>
  </si>
  <si>
    <t>Terbilang 1 (Digit 1)</t>
  </si>
  <si>
    <t>Terbilang 2 (Digit 2)</t>
  </si>
  <si>
    <t>Terbilang 3 (Digit 3)</t>
  </si>
  <si>
    <t>Terbilang 4 (Digit 4)</t>
  </si>
  <si>
    <t>Tujuh puluh Lima,DuaLima</t>
  </si>
  <si>
    <t>Tidak ada</t>
  </si>
  <si>
    <t>Buatlah keterangan diskon penjualan berdasarkan jumlah pembelian. Jika konsumen membeli tembakau lebih dari 200 ton, maka mendapatkan diskon 30%. Jika membeli tembakau antara 150 - 200 ton maka diskonnya 20%. Jika membeli tembakau antara 100 - 149 ton, diberi diskon 10%. Jika membeli tembakau 20 - 99 ton, maka diskonnya hanya 5%.
Jika harga jual tembakau sebesar $ 1000/ton. Berapa total penjualan seluruhnya?
Kurs Rp. 13.000/USD $</t>
  </si>
  <si>
    <t>vv</t>
  </si>
  <si>
    <t>jhgghj</t>
  </si>
  <si>
    <t>Tahun</t>
  </si>
  <si>
    <t>XAX</t>
  </si>
  <si>
    <t>CustomerID</t>
  </si>
  <si>
    <t>ContactName</t>
  </si>
  <si>
    <t>CompanyName</t>
  </si>
  <si>
    <t>Phone</t>
  </si>
  <si>
    <t>ALFKI</t>
  </si>
  <si>
    <t>Maria Anders</t>
  </si>
  <si>
    <t>Alfreds Futterkiste</t>
  </si>
  <si>
    <t>030-0074321</t>
  </si>
  <si>
    <t>ANATR</t>
  </si>
  <si>
    <t>Ana Trujillo</t>
  </si>
  <si>
    <t>Ana Trujillo Emparedados y helados</t>
  </si>
  <si>
    <t>(5) 555-4729</t>
  </si>
  <si>
    <t>ANTON</t>
  </si>
  <si>
    <t>Antonio Moreno</t>
  </si>
  <si>
    <t>Antonio Moreno Taquería</t>
  </si>
  <si>
    <t>(5) 555-3932</t>
  </si>
  <si>
    <t>AROUT</t>
  </si>
  <si>
    <t>Thomas Hardy</t>
  </si>
  <si>
    <t>Around the Horn</t>
  </si>
  <si>
    <t>(171) 555-7788</t>
  </si>
  <si>
    <t>BERGS</t>
  </si>
  <si>
    <t>Christina Berglund</t>
  </si>
  <si>
    <t>Berglunds snabbköp</t>
  </si>
  <si>
    <t>0921-12 34 65</t>
  </si>
  <si>
    <t>BLAUS</t>
  </si>
  <si>
    <t>Hanna Moos</t>
  </si>
  <si>
    <t>Blauer See Delikatessen</t>
  </si>
  <si>
    <t>0621-08460</t>
  </si>
  <si>
    <t>BLONP</t>
  </si>
  <si>
    <t>Frédérique Citeaux</t>
  </si>
  <si>
    <t>Blondel père et fils</t>
  </si>
  <si>
    <t>88.60.15.31</t>
  </si>
  <si>
    <t>BOLID</t>
  </si>
  <si>
    <t>Martín Sommer</t>
  </si>
  <si>
    <t>Bólido Comidas preparadas</t>
  </si>
  <si>
    <t>(91) 555 22 82</t>
  </si>
  <si>
    <t>BONAP</t>
  </si>
  <si>
    <t>Laurence Lebihan</t>
  </si>
  <si>
    <t>Bon app'</t>
  </si>
  <si>
    <t>91.24.45.40</t>
  </si>
  <si>
    <t>BOTTM</t>
  </si>
  <si>
    <t>Elizabeth Lincoln</t>
  </si>
  <si>
    <t>Bottom-Dollar Markets</t>
  </si>
  <si>
    <t>(604) 555-4729</t>
  </si>
  <si>
    <t>BSBEV</t>
  </si>
  <si>
    <t>Victoria Ashworth</t>
  </si>
  <si>
    <t>B's Beverages</t>
  </si>
  <si>
    <t>(171) 555-1212</t>
  </si>
  <si>
    <t>CACTU</t>
  </si>
  <si>
    <t>Patricio Simpson</t>
  </si>
  <si>
    <t>Cactus Comidas para llevar</t>
  </si>
  <si>
    <t>(1) 135-5555</t>
  </si>
  <si>
    <t>CENTC</t>
  </si>
  <si>
    <t>Francisco Chang</t>
  </si>
  <si>
    <t>Centro comercial Moctezuma</t>
  </si>
  <si>
    <t>(5) 555-3392</t>
  </si>
  <si>
    <t>CHOPS</t>
  </si>
  <si>
    <t>Yang Wang</t>
  </si>
  <si>
    <t>Chop-suey Chinese</t>
  </si>
  <si>
    <t>0452-076545</t>
  </si>
  <si>
    <t>COMMI</t>
  </si>
  <si>
    <t>Pedro Afonso</t>
  </si>
  <si>
    <t>Comércio Mineiro</t>
  </si>
  <si>
    <t>(11) 555-7647</t>
  </si>
  <si>
    <t>CONSH</t>
  </si>
  <si>
    <t>Elizabeth Brown</t>
  </si>
  <si>
    <t>Consolidated Holdings</t>
  </si>
  <si>
    <t>(171) 555-2282</t>
  </si>
  <si>
    <t>DRACD</t>
  </si>
  <si>
    <t>Sven Ottlieb</t>
  </si>
  <si>
    <t>Drachenblut Delikatessen</t>
  </si>
  <si>
    <t>0241-039123</t>
  </si>
  <si>
    <t>DUMON</t>
  </si>
  <si>
    <t>Janine Labrune</t>
  </si>
  <si>
    <t>Du monde entier</t>
  </si>
  <si>
    <t>40.67.88.88</t>
  </si>
  <si>
    <t>EASTC</t>
  </si>
  <si>
    <t>Ann Devon</t>
  </si>
  <si>
    <t>Eastern Connection</t>
  </si>
  <si>
    <t>(171) 555-0297</t>
  </si>
  <si>
    <t>ERNSH</t>
  </si>
  <si>
    <t>Roland Mendel</t>
  </si>
  <si>
    <t>Ernst Handel</t>
  </si>
  <si>
    <t>7675-3425</t>
  </si>
  <si>
    <t>FAMIA</t>
  </si>
  <si>
    <t>Aria Cruz</t>
  </si>
  <si>
    <t>Familia Arquibaldo</t>
  </si>
  <si>
    <t>(11) 555-9857</t>
  </si>
  <si>
    <t>FISSA</t>
  </si>
  <si>
    <t>Diego Roel</t>
  </si>
  <si>
    <t>FISSA Fabrica Inter. Salchichas S.A.</t>
  </si>
  <si>
    <t>(91) 555 94 44</t>
  </si>
  <si>
    <t>FOLIG</t>
  </si>
  <si>
    <t>Martine Rancé</t>
  </si>
  <si>
    <t>Folies gourmandes</t>
  </si>
  <si>
    <t>20.16.10.16</t>
  </si>
  <si>
    <t>FOLKO</t>
  </si>
  <si>
    <t>Maria Larsson</t>
  </si>
  <si>
    <t>Folk och fä HB</t>
  </si>
  <si>
    <t>0695-34 67 21</t>
  </si>
  <si>
    <t>FRANK</t>
  </si>
  <si>
    <t>Peter Franken</t>
  </si>
  <si>
    <t>Frankenversand</t>
  </si>
  <si>
    <t>089-0877310</t>
  </si>
  <si>
    <t>FRANR</t>
  </si>
  <si>
    <t>Carine Schmitt</t>
  </si>
  <si>
    <t>France restauration</t>
  </si>
  <si>
    <t>40.32.21.21</t>
  </si>
  <si>
    <t>FRANS</t>
  </si>
  <si>
    <t>Paolo Accorti</t>
  </si>
  <si>
    <t>Franchi S.p.A.</t>
  </si>
  <si>
    <t>011-4988260</t>
  </si>
  <si>
    <t>FURIB</t>
  </si>
  <si>
    <t xml:space="preserve">Lino Rodriguez </t>
  </si>
  <si>
    <t>Furia Bacalhau e Frutos do Mar</t>
  </si>
  <si>
    <t>(1) 354-2534</t>
  </si>
  <si>
    <t>GALED</t>
  </si>
  <si>
    <t>Eduardo Saavedra</t>
  </si>
  <si>
    <t>Galería del gastrónomo</t>
  </si>
  <si>
    <t>(93) 203 4560</t>
  </si>
  <si>
    <t>GODOS</t>
  </si>
  <si>
    <t>José Pedro Freyre</t>
  </si>
  <si>
    <t>Godos Cocina Típica</t>
  </si>
  <si>
    <t>(95) 555 82 82</t>
  </si>
  <si>
    <t>GOURL</t>
  </si>
  <si>
    <t>André Fonseca</t>
  </si>
  <si>
    <t>Gourmet Lanchonetes</t>
  </si>
  <si>
    <t>(11) 555-9482</t>
  </si>
  <si>
    <t>GREAL</t>
  </si>
  <si>
    <t>Howard Snyder</t>
  </si>
  <si>
    <t>Great Lakes Food Market</t>
  </si>
  <si>
    <t>(503) 555-7555</t>
  </si>
  <si>
    <t>GROSR</t>
  </si>
  <si>
    <t>Manuel Pereira</t>
  </si>
  <si>
    <t>GROSELLA-Restaurante</t>
  </si>
  <si>
    <t>(2) 283-2951</t>
  </si>
  <si>
    <t>HANAR</t>
  </si>
  <si>
    <t>Mario Pontes</t>
  </si>
  <si>
    <t>Hanari Carnes</t>
  </si>
  <si>
    <t>(21) 555-0091</t>
  </si>
  <si>
    <t>HILAA</t>
  </si>
  <si>
    <t>Carlos Hernández</t>
  </si>
  <si>
    <t>HILARIÓN-Abastos</t>
  </si>
  <si>
    <t>(5) 555-1340</t>
  </si>
  <si>
    <t>HUNGC</t>
  </si>
  <si>
    <t>Yoshi Latimer</t>
  </si>
  <si>
    <t>Hungry Coyote Import Store</t>
  </si>
  <si>
    <t>(503) 555-6874</t>
  </si>
  <si>
    <t>HUNGO</t>
  </si>
  <si>
    <t>Patricia McKenna</t>
  </si>
  <si>
    <t>Hungry Owl All-Night Grocers</t>
  </si>
  <si>
    <t>2967 542</t>
  </si>
  <si>
    <t>ISLAT</t>
  </si>
  <si>
    <t>Helen Bennett</t>
  </si>
  <si>
    <t>Island Trading</t>
  </si>
  <si>
    <t>(198) 555-8888</t>
  </si>
  <si>
    <t>KOENE</t>
  </si>
  <si>
    <t>Philip Cramer</t>
  </si>
  <si>
    <t>Königlich Essen</t>
  </si>
  <si>
    <t>0555-09876</t>
  </si>
  <si>
    <t>LACOR</t>
  </si>
  <si>
    <t>Daniel Tonini</t>
  </si>
  <si>
    <t>La corne d'abondance</t>
  </si>
  <si>
    <t>30.59.84.10</t>
  </si>
  <si>
    <t>LAMAI</t>
  </si>
  <si>
    <t>Annette Roulet</t>
  </si>
  <si>
    <t>La maison d'Asie</t>
  </si>
  <si>
    <t>61.77.61.10</t>
  </si>
  <si>
    <t>LAUGB</t>
  </si>
  <si>
    <t>Yoshi Tannamuri</t>
  </si>
  <si>
    <t>Laughing Bacchus Wine Cellars</t>
  </si>
  <si>
    <t>(604) 555-3392</t>
  </si>
  <si>
    <t>LAZYK</t>
  </si>
  <si>
    <t>John Steel</t>
  </si>
  <si>
    <t>Lazy K Kountry Store</t>
  </si>
  <si>
    <t>(509) 555-7969</t>
  </si>
  <si>
    <t>LEHMS</t>
  </si>
  <si>
    <t>Renate Messner</t>
  </si>
  <si>
    <t>Lehmanns Marktstand</t>
  </si>
  <si>
    <t>069-0245984</t>
  </si>
  <si>
    <t>LETSS</t>
  </si>
  <si>
    <t>Jaime Yorres</t>
  </si>
  <si>
    <t>Let's Stop N Shop</t>
  </si>
  <si>
    <t>(415) 555-5938</t>
  </si>
  <si>
    <t>LILAS</t>
  </si>
  <si>
    <t>Carlos González</t>
  </si>
  <si>
    <t>LILA-Supermercado</t>
  </si>
  <si>
    <t>(9) 331-6954</t>
  </si>
  <si>
    <t>LINOD</t>
  </si>
  <si>
    <t>Felipe Izquierdo</t>
  </si>
  <si>
    <t>LINO-Delicateses</t>
  </si>
  <si>
    <t>(8) 34-56-12</t>
  </si>
  <si>
    <t>LONEP</t>
  </si>
  <si>
    <t>Fran Wilson</t>
  </si>
  <si>
    <t>Lonesome Pine Restaurant</t>
  </si>
  <si>
    <t>(503) 555-9573</t>
  </si>
  <si>
    <t>MAGAA</t>
  </si>
  <si>
    <t>Giovanni Rovelli</t>
  </si>
  <si>
    <t>Magazzini Alimentari Riuniti</t>
  </si>
  <si>
    <t>035-640230</t>
  </si>
  <si>
    <t>MAISD</t>
  </si>
  <si>
    <t>Catherine Dewey</t>
  </si>
  <si>
    <t>Maison Dewey</t>
  </si>
  <si>
    <t>(02) 201 24 67</t>
  </si>
  <si>
    <t>MEREP</t>
  </si>
  <si>
    <t>Jean Fresnière</t>
  </si>
  <si>
    <t>Mère Paillarde</t>
  </si>
  <si>
    <t>(514) 555-8054</t>
  </si>
  <si>
    <t>MORGK</t>
  </si>
  <si>
    <t>Alexander Feuer</t>
  </si>
  <si>
    <t>Morgenstern Gesundkost</t>
  </si>
  <si>
    <t>0342-023176</t>
  </si>
  <si>
    <t>NORTS</t>
  </si>
  <si>
    <t>Simon Crowther</t>
  </si>
  <si>
    <t>North/South</t>
  </si>
  <si>
    <t>(171) 555-7733</t>
  </si>
  <si>
    <t>OCEAN</t>
  </si>
  <si>
    <t>Yvonne Moncada</t>
  </si>
  <si>
    <t>Océano Atlántico Ltda.</t>
  </si>
  <si>
    <t>(1) 135-5333</t>
  </si>
  <si>
    <t>OLDWO</t>
  </si>
  <si>
    <t>Rene Phillips</t>
  </si>
  <si>
    <t>Old World Delicatessen</t>
  </si>
  <si>
    <t>(907) 555-7584</t>
  </si>
  <si>
    <t>OTTIK</t>
  </si>
  <si>
    <t>Henriette Pfalzheim</t>
  </si>
  <si>
    <t>Ottilies Käseladen</t>
  </si>
  <si>
    <t>0221-0644327</t>
  </si>
  <si>
    <t>PARIS</t>
  </si>
  <si>
    <t>Marie Bertrand</t>
  </si>
  <si>
    <t>Paris spécialités</t>
  </si>
  <si>
    <t>(1) 42.34.22.66</t>
  </si>
  <si>
    <t>PERIC</t>
  </si>
  <si>
    <t>Guillermo Fernández</t>
  </si>
  <si>
    <t>Pericles Comidas clásicas</t>
  </si>
  <si>
    <t>(5) 552-3745</t>
  </si>
  <si>
    <t>PICCO</t>
  </si>
  <si>
    <t>Georg Pipps</t>
  </si>
  <si>
    <t>Piccolo und mehr</t>
  </si>
  <si>
    <t>6562-9722</t>
  </si>
  <si>
    <t>PRINI</t>
  </si>
  <si>
    <t>Isabel de Castro</t>
  </si>
  <si>
    <t>Princesa Isabel Vinhos</t>
  </si>
  <si>
    <t>(1) 356-5634</t>
  </si>
  <si>
    <t>QUEDE</t>
  </si>
  <si>
    <t>Bernardo Batista</t>
  </si>
  <si>
    <t>Que Delícia</t>
  </si>
  <si>
    <t>(21) 555-4252</t>
  </si>
  <si>
    <t>QUEEN</t>
  </si>
  <si>
    <t>Lúcia Carvalho</t>
  </si>
  <si>
    <t>Queen Cozinha</t>
  </si>
  <si>
    <t>(11) 555-1189</t>
  </si>
  <si>
    <t>QUICK</t>
  </si>
  <si>
    <t>Horst Kloss</t>
  </si>
  <si>
    <t>QUICK-Stop</t>
  </si>
  <si>
    <t>0372-035188</t>
  </si>
  <si>
    <t>RANCH</t>
  </si>
  <si>
    <t>Sergio Gutiérrez</t>
  </si>
  <si>
    <t>Rancho grande</t>
  </si>
  <si>
    <t>(1) 123-5555</t>
  </si>
  <si>
    <t>RATTC</t>
  </si>
  <si>
    <t>Paula Wilson</t>
  </si>
  <si>
    <t>Rattlesnake Canyon Grocery</t>
  </si>
  <si>
    <t>(505) 555-5939</t>
  </si>
  <si>
    <t>REGGC</t>
  </si>
  <si>
    <t>Maurizio Moroni</t>
  </si>
  <si>
    <t>Reggiani Caseifici</t>
  </si>
  <si>
    <t>0522-556721</t>
  </si>
  <si>
    <t>RICAR</t>
  </si>
  <si>
    <t>Janete Limeira</t>
  </si>
  <si>
    <t>Ricardo Adocicados</t>
  </si>
  <si>
    <t>(21) 555-3412</t>
  </si>
  <si>
    <t>RICSU</t>
  </si>
  <si>
    <t>Michael Holz</t>
  </si>
  <si>
    <t>Richter Supermarkt</t>
  </si>
  <si>
    <t>0897-034214</t>
  </si>
  <si>
    <t>ROMEY</t>
  </si>
  <si>
    <t>Alejandra Camino</t>
  </si>
  <si>
    <t>Romero y tomillo</t>
  </si>
  <si>
    <t>(91) 745 6200</t>
  </si>
  <si>
    <t>SANTG</t>
  </si>
  <si>
    <t>Jonas Bergulfsen</t>
  </si>
  <si>
    <t>Santé Gourmet</t>
  </si>
  <si>
    <t>07-98 92 35</t>
  </si>
  <si>
    <t>SAVEA</t>
  </si>
  <si>
    <t>Jose Pavarotti</t>
  </si>
  <si>
    <t>Save-a-lot Markets</t>
  </si>
  <si>
    <t>(208) 555-8097</t>
  </si>
  <si>
    <t>SEVES</t>
  </si>
  <si>
    <t>Hari Kumar</t>
  </si>
  <si>
    <t>Seven Seas Imports</t>
  </si>
  <si>
    <t>(171) 555-1717</t>
  </si>
  <si>
    <t>SIMOB</t>
  </si>
  <si>
    <t>Jytte Petersen</t>
  </si>
  <si>
    <t>Simons bistro</t>
  </si>
  <si>
    <t>31 12 34 56</t>
  </si>
  <si>
    <t>SPECD</t>
  </si>
  <si>
    <t>Dominique Perrier</t>
  </si>
  <si>
    <t>Spécialités du monde</t>
  </si>
  <si>
    <t>(1) 47.55.60.10</t>
  </si>
  <si>
    <t>SPLIR</t>
  </si>
  <si>
    <t>Art Braunschweiger</t>
  </si>
  <si>
    <t>Split Rail Beer &amp; Ale</t>
  </si>
  <si>
    <t>(307) 555-4680</t>
  </si>
  <si>
    <t>SUPRD</t>
  </si>
  <si>
    <t>Pascale Cartrain</t>
  </si>
  <si>
    <t>Suprêmes délices</t>
  </si>
  <si>
    <t>(071) 23 67 22 20</t>
  </si>
  <si>
    <t>THEBI</t>
  </si>
  <si>
    <t>Liz Nixon</t>
  </si>
  <si>
    <t>The Big Cheese</t>
  </si>
  <si>
    <t>(503) 555-3612</t>
  </si>
  <si>
    <t>THECR</t>
  </si>
  <si>
    <t>Liu Wong</t>
  </si>
  <si>
    <t>The Cracker Box</t>
  </si>
  <si>
    <t>(406) 555-5834</t>
  </si>
  <si>
    <t>TOMSP</t>
  </si>
  <si>
    <t>Karin Josephs</t>
  </si>
  <si>
    <t>Toms Spezialitäten</t>
  </si>
  <si>
    <t>0251-031259</t>
  </si>
  <si>
    <t>TORTU</t>
  </si>
  <si>
    <t>Miguel Angel Paolino</t>
  </si>
  <si>
    <t>Tortuga Restaurante</t>
  </si>
  <si>
    <t>(5) 555-2933</t>
  </si>
  <si>
    <t>TRADH</t>
  </si>
  <si>
    <t>Anabela Domingues</t>
  </si>
  <si>
    <t>Tradição Hipermercados</t>
  </si>
  <si>
    <t>(11) 555-2167</t>
  </si>
  <si>
    <t>TRAIH</t>
  </si>
  <si>
    <t>Helvetius Nagy</t>
  </si>
  <si>
    <t>Trail's Head Gourmet Provisioners</t>
  </si>
  <si>
    <t>(206) 555-8257</t>
  </si>
  <si>
    <t>VAFFE</t>
  </si>
  <si>
    <t>Palle Ibsen</t>
  </si>
  <si>
    <t>Vaffeljernet</t>
  </si>
  <si>
    <t>86 21 32 43</t>
  </si>
  <si>
    <t>VICTE</t>
  </si>
  <si>
    <t>Mary Saveley</t>
  </si>
  <si>
    <t>Victuailles en stock</t>
  </si>
  <si>
    <t>78.32.54.86</t>
  </si>
  <si>
    <t>VINET</t>
  </si>
  <si>
    <t>Paul Henriot</t>
  </si>
  <si>
    <t>Vins et alcools Chevalier</t>
  </si>
  <si>
    <t>26.47.15.10</t>
  </si>
  <si>
    <t>WANDK</t>
  </si>
  <si>
    <t>Rita Müller</t>
  </si>
  <si>
    <t>Die Wandernde Kuh</t>
  </si>
  <si>
    <t>0711-020361</t>
  </si>
  <si>
    <t>WARTH</t>
  </si>
  <si>
    <t>Pirkko Koskitalo</t>
  </si>
  <si>
    <t>Wartian Herkku</t>
  </si>
  <si>
    <t>981-443655</t>
  </si>
  <si>
    <t>WELLI</t>
  </si>
  <si>
    <t>Paula Parente</t>
  </si>
  <si>
    <t>Wellington Importadora</t>
  </si>
  <si>
    <t>(14) 555-8122</t>
  </si>
  <si>
    <t>WHITC</t>
  </si>
  <si>
    <t>Karl Jablonski</t>
  </si>
  <si>
    <t>White Clover Markets</t>
  </si>
  <si>
    <t>(206) 555-4112</t>
  </si>
  <si>
    <t>WILMK</t>
  </si>
  <si>
    <t>Matti Karttunen</t>
  </si>
  <si>
    <t>Wilman Kala</t>
  </si>
  <si>
    <t>90-224 8858</t>
  </si>
  <si>
    <t>WOLZA</t>
  </si>
  <si>
    <t>Zbyszek Piestrzeniewicz</t>
  </si>
  <si>
    <t>Wolski  Zajazd</t>
  </si>
  <si>
    <t>(26) 642-7012</t>
  </si>
  <si>
    <t>&gt; 250</t>
  </si>
  <si>
    <t>100 - 250</t>
  </si>
  <si>
    <t>BABEL</t>
  </si>
  <si>
    <r>
      <t>Soal</t>
    </r>
    <r>
      <rPr>
        <sz val="26"/>
        <color indexed="9"/>
        <rFont val="Calibri"/>
        <family val="2"/>
      </rPr>
      <t xml:space="preserve"> </t>
    </r>
    <r>
      <rPr>
        <b/>
        <sz val="26"/>
        <color indexed="9"/>
        <rFont val="Calibri"/>
        <family val="2"/>
      </rPr>
      <t>:</t>
    </r>
    <r>
      <rPr>
        <sz val="26"/>
        <color indexed="9"/>
        <rFont val="Calibri"/>
        <family val="2"/>
      </rPr>
      <t xml:space="preserve"> </t>
    </r>
    <r>
      <rPr>
        <b/>
        <sz val="26"/>
        <color indexed="9"/>
        <rFont val="Calibri"/>
        <family val="2"/>
      </rPr>
      <t>Fungsi</t>
    </r>
    <r>
      <rPr>
        <sz val="26"/>
        <color indexed="9"/>
        <rFont val="Calibri"/>
        <family val="2"/>
      </rPr>
      <t xml:space="preserve"> </t>
    </r>
    <r>
      <rPr>
        <b/>
        <sz val="26"/>
        <color indexed="9"/>
        <rFont val="Calibri"/>
        <family val="2"/>
      </rPr>
      <t>Lookup</t>
    </r>
    <r>
      <rPr>
        <sz val="26"/>
        <color indexed="9"/>
        <rFont val="Calibri"/>
        <family val="2"/>
      </rPr>
      <t xml:space="preserve"> </t>
    </r>
    <r>
      <rPr>
        <b/>
        <sz val="26"/>
        <color indexed="9"/>
        <rFont val="Calibri"/>
        <family val="2"/>
      </rPr>
      <t>Dan</t>
    </r>
    <r>
      <rPr>
        <sz val="26"/>
        <color indexed="9"/>
        <rFont val="Calibri"/>
        <family val="2"/>
      </rPr>
      <t xml:space="preserve"> </t>
    </r>
    <r>
      <rPr>
        <b/>
        <sz val="26"/>
        <color indexed="9"/>
        <rFont val="Calibri"/>
        <family val="2"/>
      </rPr>
      <t>Logika</t>
    </r>
  </si>
  <si>
    <r>
      <t>DAFTAR</t>
    </r>
    <r>
      <rPr>
        <sz val="11"/>
        <rFont val="Calibri"/>
        <family val="2"/>
      </rPr>
      <t xml:space="preserve">  </t>
    </r>
    <r>
      <rPr>
        <b/>
        <sz val="11"/>
        <color indexed="60"/>
        <rFont val="Calibri"/>
        <family val="2"/>
      </rPr>
      <t>:</t>
    </r>
    <r>
      <rPr>
        <sz val="11"/>
        <rFont val="Calibri"/>
        <family val="2"/>
      </rPr>
      <t xml:space="preserve">  </t>
    </r>
    <r>
      <rPr>
        <sz val="11"/>
        <color indexed="8"/>
        <rFont val="Calibri"/>
        <family val="2"/>
      </rPr>
      <t>Laporan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Gaji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Pegawai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PT.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Maju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Mundur</t>
    </r>
  </si>
  <si>
    <r>
      <t>Bulan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Januari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2013</t>
    </r>
  </si>
  <si>
    <t>Nomor</t>
  </si>
  <si>
    <t>Alumni</t>
  </si>
  <si>
    <t>Tunjangan</t>
  </si>
  <si>
    <r>
      <t>Keterangan</t>
    </r>
    <r>
      <rPr>
        <sz val="11"/>
        <rFont val="Calibri"/>
        <family val="2"/>
      </rPr>
      <t xml:space="preserve"> </t>
    </r>
    <r>
      <rPr>
        <b/>
        <sz val="11"/>
        <color indexed="10"/>
        <rFont val="Calibri"/>
        <family val="2"/>
      </rPr>
      <t>:</t>
    </r>
  </si>
  <si>
    <t>Pokok</t>
  </si>
  <si>
    <t>Jurusan</t>
  </si>
  <si>
    <t>Jabatan</t>
  </si>
  <si>
    <t>Penghasilan</t>
  </si>
  <si>
    <r>
      <t>-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Jika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87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maka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tahun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1987</t>
    </r>
  </si>
  <si>
    <t>Firdaus</t>
  </si>
  <si>
    <t>TA891003A</t>
  </si>
  <si>
    <r>
      <t>-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Jika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88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maka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tahun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1988</t>
    </r>
  </si>
  <si>
    <t>Rusli</t>
  </si>
  <si>
    <t>TS901013C</t>
  </si>
  <si>
    <r>
      <t>-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Jika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89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maka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tahun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1989</t>
    </r>
  </si>
  <si>
    <t>Kurdi</t>
  </si>
  <si>
    <t>HK871023D</t>
  </si>
  <si>
    <r>
      <t>-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Jika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90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maka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tahun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1990</t>
    </r>
  </si>
  <si>
    <t>Agus</t>
  </si>
  <si>
    <t>EK881033B</t>
  </si>
  <si>
    <t>Sendi</t>
  </si>
  <si>
    <t>SP881044B</t>
  </si>
  <si>
    <t>TA871054A</t>
  </si>
  <si>
    <t>Fitri</t>
  </si>
  <si>
    <t>TS881064A</t>
  </si>
  <si>
    <t>Usman</t>
  </si>
  <si>
    <t>EK901073C</t>
  </si>
  <si>
    <t>HK881083A</t>
  </si>
  <si>
    <t>Haris</t>
  </si>
  <si>
    <t>SP871094C</t>
  </si>
  <si>
    <r>
      <t>Total</t>
    </r>
    <r>
      <rPr>
        <sz val="11"/>
        <rFont val="Calibri"/>
        <family val="2"/>
      </rPr>
      <t xml:space="preserve"> </t>
    </r>
    <r>
      <rPr>
        <b/>
        <i/>
        <sz val="11"/>
        <color indexed="8"/>
        <rFont val="Calibri"/>
        <family val="2"/>
      </rPr>
      <t>Keseluruhan</t>
    </r>
  </si>
  <si>
    <r>
      <t>Keterangan</t>
    </r>
    <r>
      <rPr>
        <sz val="11"/>
        <rFont val="Calibri"/>
        <family val="2"/>
      </rPr>
      <t xml:space="preserve"> </t>
    </r>
    <r>
      <rPr>
        <b/>
        <sz val="11"/>
        <color indexed="30"/>
        <rFont val="Calibri"/>
        <family val="2"/>
      </rPr>
      <t>:</t>
    </r>
  </si>
  <si>
    <r>
      <t>Tabel</t>
    </r>
    <r>
      <rPr>
        <sz val="11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>Gaji</t>
    </r>
    <r>
      <rPr>
        <sz val="11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>Pokok</t>
    </r>
    <r>
      <rPr>
        <sz val="11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>&amp;</t>
    </r>
    <r>
      <rPr>
        <sz val="11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>Tunjangan</t>
    </r>
  </si>
  <si>
    <r>
      <t>Tabel</t>
    </r>
    <r>
      <rPr>
        <sz val="11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>Jurusan</t>
    </r>
  </si>
  <si>
    <r>
      <t>Gaji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Pokok</t>
    </r>
  </si>
  <si>
    <t>EK</t>
  </si>
  <si>
    <t>Ekonomi</t>
  </si>
  <si>
    <t>HK</t>
  </si>
  <si>
    <t>Hukum</t>
  </si>
  <si>
    <t>SP</t>
  </si>
  <si>
    <t>Sospol</t>
  </si>
  <si>
    <t>3D</t>
  </si>
  <si>
    <t>TA</t>
  </si>
  <si>
    <r>
      <t>Tek.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Arsitek</t>
    </r>
  </si>
  <si>
    <t>4A</t>
  </si>
  <si>
    <t>TS</t>
  </si>
  <si>
    <r>
      <t>Tek.</t>
    </r>
    <r>
      <rPr>
        <sz val="11"/>
        <rFont val="Calibri"/>
        <family val="2"/>
      </rPr>
      <t xml:space="preserve"> </t>
    </r>
    <r>
      <rPr>
        <sz val="11"/>
        <color indexed="8"/>
        <rFont val="Calibri"/>
        <family val="2"/>
      </rPr>
      <t>Sipil</t>
    </r>
  </si>
  <si>
    <t>4B</t>
  </si>
  <si>
    <t>4C</t>
  </si>
  <si>
    <t>Warna</t>
  </si>
  <si>
    <t>Kode Digit Ketiga</t>
  </si>
  <si>
    <t>Merah</t>
  </si>
  <si>
    <t>Biru</t>
  </si>
  <si>
    <t>Putih</t>
  </si>
  <si>
    <t xml:space="preserve">Voter </t>
  </si>
  <si>
    <t>Code Party</t>
  </si>
  <si>
    <t>Political Party</t>
  </si>
  <si>
    <t>PARTY CODE</t>
  </si>
  <si>
    <t>NAME</t>
  </si>
  <si>
    <t>Smith</t>
  </si>
  <si>
    <t>Green</t>
  </si>
  <si>
    <t>Robbins</t>
  </si>
  <si>
    <t>Reform</t>
  </si>
  <si>
    <t>O'Neill</t>
  </si>
  <si>
    <t>Whig</t>
  </si>
  <si>
    <t>Parker</t>
  </si>
  <si>
    <t>Islamic Political Party of America</t>
  </si>
  <si>
    <t>Perkins</t>
  </si>
  <si>
    <t>Rock &amp; Roll</t>
  </si>
  <si>
    <t>Talbot</t>
  </si>
  <si>
    <t>Natural Law</t>
  </si>
  <si>
    <t>Fred</t>
  </si>
  <si>
    <t>Middle Class Pty</t>
  </si>
  <si>
    <t>Terry</t>
  </si>
  <si>
    <t>Humanist</t>
  </si>
  <si>
    <t>Pragmatic</t>
  </si>
  <si>
    <t>Scott</t>
  </si>
  <si>
    <t>Conscious American African Party</t>
  </si>
  <si>
    <t>Ralph</t>
  </si>
  <si>
    <t>Parliament Party</t>
  </si>
  <si>
    <t>Angie</t>
  </si>
  <si>
    <t>United Conscious Builders of the Dream Party</t>
  </si>
  <si>
    <t>The Egalitarian Party</t>
  </si>
  <si>
    <t>The Humanitarian Party</t>
  </si>
  <si>
    <t>Scientifically Evolving University Party</t>
  </si>
  <si>
    <t>God, Truth &amp; Love Party</t>
  </si>
  <si>
    <t>Superhappy Party</t>
  </si>
  <si>
    <t>Working Families  Party</t>
  </si>
  <si>
    <t>Democratic</t>
  </si>
  <si>
    <t>Republican</t>
  </si>
  <si>
    <t>Decline to State</t>
  </si>
  <si>
    <t>American Independent</t>
  </si>
  <si>
    <t>Citizen Party</t>
  </si>
  <si>
    <t>Communist</t>
  </si>
  <si>
    <t>Conservative</t>
  </si>
  <si>
    <t>Environmentalist</t>
  </si>
  <si>
    <t>Ind. Progressive</t>
  </si>
  <si>
    <t>Liberal</t>
  </si>
  <si>
    <t>Peace &amp; Freedom</t>
  </si>
  <si>
    <t>Prohibition</t>
  </si>
  <si>
    <t>New Economy</t>
  </si>
  <si>
    <t>Socialist</t>
  </si>
  <si>
    <t>Socialist Labor</t>
  </si>
  <si>
    <t>P</t>
  </si>
  <si>
    <t>Pot Party</t>
  </si>
  <si>
    <t>Q</t>
  </si>
  <si>
    <t>Libertarian</t>
  </si>
  <si>
    <t>R</t>
  </si>
  <si>
    <t>Amer. Natl. Socialist</t>
  </si>
  <si>
    <t>Poor People’s Party</t>
  </si>
  <si>
    <t>Free</t>
  </si>
  <si>
    <t>U</t>
  </si>
  <si>
    <t>National</t>
  </si>
  <si>
    <t>V</t>
  </si>
  <si>
    <t>Constitution Party</t>
  </si>
  <si>
    <t>Vision</t>
  </si>
  <si>
    <t>X</t>
  </si>
  <si>
    <t>Puritan</t>
  </si>
  <si>
    <t>Federal</t>
  </si>
  <si>
    <t>Misc.</t>
  </si>
  <si>
    <t>Kode HP</t>
  </si>
  <si>
    <t>SMS</t>
  </si>
  <si>
    <t>NK</t>
  </si>
  <si>
    <t>BB</t>
  </si>
  <si>
    <t>SN</t>
  </si>
  <si>
    <t>NOKIA</t>
  </si>
  <si>
    <t>SAMSUNG</t>
  </si>
  <si>
    <t>SONY</t>
  </si>
  <si>
    <t>Ubahlah singkatan Merek HP berikut menjadi keterangan yang sebenarnya, yaitu</t>
  </si>
  <si>
    <t>MT</t>
  </si>
  <si>
    <t>Mito</t>
  </si>
  <si>
    <t>AD</t>
  </si>
  <si>
    <t>ADVAN</t>
  </si>
  <si>
    <t>BLACKBERRY</t>
  </si>
  <si>
    <t>LV</t>
  </si>
  <si>
    <t>LENOVO</t>
  </si>
  <si>
    <t>LG</t>
  </si>
  <si>
    <t>AC</t>
  </si>
  <si>
    <t>ACER</t>
  </si>
  <si>
    <t>Merek HP</t>
  </si>
  <si>
    <t>Kurs Rupiah</t>
  </si>
  <si>
    <t>Kode produk</t>
  </si>
  <si>
    <t>A - C</t>
  </si>
  <si>
    <t>Ket. Produk</t>
  </si>
  <si>
    <t>Susu</t>
  </si>
  <si>
    <t>D - E</t>
  </si>
  <si>
    <t>Snack</t>
  </si>
  <si>
    <t>F - H</t>
  </si>
  <si>
    <t>Indomie</t>
  </si>
  <si>
    <t>&gt; H</t>
  </si>
  <si>
    <t>Telor</t>
  </si>
  <si>
    <t>Tgl Sales</t>
  </si>
  <si>
    <t>FD</t>
  </si>
  <si>
    <t>D1</t>
  </si>
  <si>
    <t>AE</t>
  </si>
  <si>
    <t>Produk Makanan</t>
  </si>
  <si>
    <t>&gt;80</t>
  </si>
  <si>
    <t>50-80</t>
  </si>
  <si>
    <t>0 - 3</t>
  </si>
  <si>
    <t>25 - 49</t>
  </si>
  <si>
    <t>50 - 99</t>
  </si>
  <si>
    <t>4 - 24</t>
  </si>
  <si>
    <t>Jika merek HP dan Acer, harganya 450 US $</t>
  </si>
  <si>
    <t>Hp</t>
  </si>
  <si>
    <t xml:space="preserve"> </t>
  </si>
  <si>
    <t>MENIKAH</t>
  </si>
  <si>
    <t>JOMBLO</t>
  </si>
  <si>
    <t>JANDA</t>
  </si>
  <si>
    <t>DUDA</t>
  </si>
  <si>
    <t>keterangan</t>
  </si>
  <si>
    <t>TINGGI</t>
  </si>
  <si>
    <t>SEDANG</t>
  </si>
  <si>
    <t>RENDAH</t>
  </si>
  <si>
    <t>3 -5</t>
  </si>
  <si>
    <t>&gt; 10</t>
  </si>
  <si>
    <t>6 -10</t>
  </si>
  <si>
    <t>&lt;3</t>
  </si>
  <si>
    <t>kode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</si>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</sst>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&quot;$&quot;#,##0.00"/>
    <numFmt numFmtId="167" formatCode="mmmm"/>
    <numFmt numFmtId="168" formatCode="#,##0\ &quot;hari&quot;"/>
    <numFmt numFmtId="169" formatCode="#,##0\ &quot;HARI&quot;"/>
    <numFmt numFmtId="170" formatCode="[$-409]m/d/yy\ h:mm\ AM/PM;@"/>
    <numFmt numFmtId="171" formatCode="m/d/yyyy;@"/>
    <numFmt numFmtId="172" formatCode="_([$Rp-421]* #,##0_);_([$Rp-421]* \(#,##0\);_([$Rp-421]* &quot;-&quot;_);_(@_)"/>
    <numFmt numFmtId="173" formatCode="m/d/yy;@"/>
    <numFmt numFmtId="174" formatCode="[$-409]h:mm\ AM/PM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Trebuchet MS"/>
      <family val="2"/>
    </font>
    <font>
      <i/>
      <sz val="10"/>
      <name val="Trebuchet MS"/>
      <family val="2"/>
    </font>
    <font>
      <sz val="10"/>
      <color indexed="10"/>
      <name val="Trebuchet MS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11"/>
      <color rgb="FF373737"/>
      <name val="Arial"/>
      <family val="2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indexed="9"/>
      <name val="Calibri"/>
      <family val="2"/>
    </font>
    <font>
      <b/>
      <sz val="26"/>
      <color indexed="9"/>
      <name val="Calibri"/>
      <family val="2"/>
    </font>
    <font>
      <sz val="10"/>
      <color indexed="8"/>
      <name val="Calibri"/>
      <family val="2"/>
      <scheme val="minor"/>
    </font>
    <font>
      <b/>
      <sz val="11"/>
      <color indexed="60"/>
      <name val="Calibri"/>
      <family val="2"/>
      <scheme val="minor"/>
    </font>
    <font>
      <sz val="11"/>
      <name val="Calibri"/>
      <family val="2"/>
    </font>
    <font>
      <b/>
      <sz val="11"/>
      <color indexed="6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indexed="10"/>
      <name val="Calibri"/>
      <family val="2"/>
    </font>
    <font>
      <b/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</font>
    <font>
      <b/>
      <sz val="11"/>
      <color indexed="30"/>
      <name val="Calibri"/>
      <family val="2"/>
      <scheme val="minor"/>
    </font>
    <font>
      <b/>
      <sz val="11"/>
      <color indexed="30"/>
      <name val="Calibri"/>
      <family val="2"/>
    </font>
    <font>
      <b/>
      <sz val="11"/>
      <color indexed="54"/>
      <name val="Calibri"/>
      <family val="2"/>
      <scheme val="minor"/>
    </font>
    <font>
      <b/>
      <sz val="11"/>
      <color indexed="54"/>
      <name val="Calibri"/>
      <family val="2"/>
    </font>
    <font>
      <b/>
      <sz val="10"/>
      <color theme="0"/>
      <name val="Arial"/>
      <family val="2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0.39997558519241921"/>
        <bgColor theme="0" tint="-0.34998626667073579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0" tint="-0.34998626667073579"/>
        <bgColor theme="8" tint="-0.249977111117893"/>
      </patternFill>
    </fill>
    <fill>
      <patternFill patternType="solid">
        <fgColor theme="0" tint="-0.34998626667073579"/>
        <bgColor theme="8"/>
      </patternFill>
    </fill>
    <fill>
      <patternFill patternType="solid">
        <fgColor rgb="FFFFFF00"/>
        <bgColor theme="1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  <fill>
      <patternFill patternType="solid">
        <fgColor rgb="FF00B050"/>
        <bgColor theme="8"/>
      </patternFill>
    </fill>
    <fill>
      <patternFill patternType="solid">
        <fgColor rgb="FFFF0000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FFFF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</cellStyleXfs>
  <cellXfs count="404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8" fillId="3" borderId="0" xfId="0" applyFont="1" applyFill="1"/>
    <xf numFmtId="0" fontId="4" fillId="3" borderId="0" xfId="0" applyFont="1" applyFill="1"/>
    <xf numFmtId="0" fontId="4" fillId="3" borderId="1" xfId="0" applyFont="1" applyFill="1" applyBorder="1"/>
    <xf numFmtId="0" fontId="0" fillId="5" borderId="0" xfId="0" applyFill="1"/>
    <xf numFmtId="0" fontId="5" fillId="5" borderId="0" xfId="0" quotePrefix="1" applyFont="1" applyFill="1" applyAlignment="1">
      <alignment horizontal="left"/>
    </xf>
    <xf numFmtId="0" fontId="5" fillId="5" borderId="0" xfId="0" applyFont="1" applyFill="1"/>
    <xf numFmtId="0" fontId="0" fillId="5" borderId="1" xfId="0" applyFill="1" applyBorder="1"/>
    <xf numFmtId="0" fontId="0" fillId="5" borderId="1" xfId="0" quotePrefix="1" applyFill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1" applyNumberFormat="1" applyFont="1" applyFill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166" fontId="0" fillId="5" borderId="0" xfId="1" applyNumberFormat="1" applyFont="1" applyFill="1"/>
    <xf numFmtId="0" fontId="0" fillId="5" borderId="0" xfId="0" quotePrefix="1" applyFill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6" fontId="0" fillId="5" borderId="2" xfId="1" applyNumberFormat="1" applyFont="1" applyFill="1" applyBorder="1"/>
    <xf numFmtId="166" fontId="0" fillId="5" borderId="2" xfId="0" applyNumberFormat="1" applyFill="1" applyBorder="1"/>
    <xf numFmtId="0" fontId="0" fillId="6" borderId="0" xfId="0" applyFill="1"/>
    <xf numFmtId="0" fontId="0" fillId="7" borderId="0" xfId="0" applyFill="1"/>
    <xf numFmtId="0" fontId="0" fillId="9" borderId="0" xfId="0" applyFill="1"/>
    <xf numFmtId="0" fontId="2" fillId="10" borderId="4" xfId="0" applyFont="1" applyFill="1" applyBorder="1" applyAlignment="1">
      <alignment horizontal="center"/>
    </xf>
    <xf numFmtId="0" fontId="2" fillId="10" borderId="4" xfId="0" applyFont="1" applyFill="1" applyBorder="1"/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3" fillId="15" borderId="2" xfId="0" applyFont="1" applyFill="1" applyBorder="1"/>
    <xf numFmtId="0" fontId="0" fillId="16" borderId="2" xfId="0" applyFill="1" applyBorder="1" applyAlignment="1">
      <alignment horizontal="center"/>
    </xf>
    <xf numFmtId="0" fontId="0" fillId="15" borderId="2" xfId="0" applyFill="1" applyBorder="1"/>
    <xf numFmtId="0" fontId="0" fillId="17" borderId="2" xfId="0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6" fillId="18" borderId="0" xfId="0" applyFont="1" applyFill="1" applyAlignment="1">
      <alignment horizontal="center"/>
    </xf>
    <xf numFmtId="0" fontId="6" fillId="18" borderId="0" xfId="0" applyFont="1" applyFill="1"/>
    <xf numFmtId="0" fontId="3" fillId="2" borderId="0" xfId="0" applyFont="1" applyFill="1"/>
    <xf numFmtId="0" fontId="10" fillId="19" borderId="0" xfId="0" applyFont="1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quotePrefix="1" applyFill="1"/>
    <xf numFmtId="0" fontId="0" fillId="19" borderId="0" xfId="0" applyFill="1" applyAlignment="1">
      <alignment horizontal="left" indent="1"/>
    </xf>
    <xf numFmtId="0" fontId="11" fillId="19" borderId="0" xfId="0" applyFont="1" applyFill="1"/>
    <xf numFmtId="0" fontId="12" fillId="19" borderId="0" xfId="0" applyFont="1" applyFill="1"/>
    <xf numFmtId="0" fontId="12" fillId="19" borderId="0" xfId="0" applyFont="1" applyFill="1" applyAlignment="1">
      <alignment horizontal="center"/>
    </xf>
    <xf numFmtId="0" fontId="0" fillId="19" borderId="1" xfId="0" applyFill="1" applyBorder="1"/>
    <xf numFmtId="0" fontId="12" fillId="19" borderId="1" xfId="0" applyFont="1" applyFill="1" applyBorder="1"/>
    <xf numFmtId="0" fontId="12" fillId="19" borderId="1" xfId="0" applyFont="1" applyFill="1" applyBorder="1" applyAlignment="1">
      <alignment horizontal="center"/>
    </xf>
    <xf numFmtId="0" fontId="5" fillId="6" borderId="0" xfId="0" applyFont="1" applyFill="1"/>
    <xf numFmtId="166" fontId="0" fillId="6" borderId="0" xfId="0" applyNumberFormat="1" applyFill="1"/>
    <xf numFmtId="9" fontId="0" fillId="6" borderId="0" xfId="2" applyFont="1" applyFill="1"/>
    <xf numFmtId="9" fontId="0" fillId="6" borderId="0" xfId="0" applyNumberFormat="1" applyFill="1"/>
    <xf numFmtId="0" fontId="4" fillId="0" borderId="0" xfId="0" applyFont="1"/>
    <xf numFmtId="0" fontId="5" fillId="0" borderId="0" xfId="0" applyFont="1"/>
    <xf numFmtId="0" fontId="14" fillId="9" borderId="0" xfId="3" applyFont="1" applyFill="1"/>
    <xf numFmtId="0" fontId="15" fillId="9" borderId="0" xfId="3" applyFont="1" applyFill="1"/>
    <xf numFmtId="0" fontId="14" fillId="9" borderId="2" xfId="3" applyFont="1" applyFill="1" applyBorder="1" applyAlignment="1">
      <alignment horizontal="center"/>
    </xf>
    <xf numFmtId="0" fontId="14" fillId="9" borderId="2" xfId="3" applyFont="1" applyFill="1" applyBorder="1"/>
    <xf numFmtId="165" fontId="15" fillId="9" borderId="2" xfId="4" applyNumberFormat="1" applyFont="1" applyFill="1" applyBorder="1" applyAlignment="1">
      <alignment horizontal="right"/>
    </xf>
    <xf numFmtId="167" fontId="15" fillId="9" borderId="2" xfId="3" applyNumberFormat="1" applyFont="1" applyFill="1" applyBorder="1"/>
    <xf numFmtId="0" fontId="8" fillId="3" borderId="2" xfId="3" applyFont="1" applyFill="1" applyBorder="1" applyAlignment="1">
      <alignment horizontal="center"/>
    </xf>
    <xf numFmtId="0" fontId="8" fillId="3" borderId="2" xfId="3" applyFont="1" applyFill="1" applyBorder="1"/>
    <xf numFmtId="165" fontId="15" fillId="2" borderId="2" xfId="4" applyNumberFormat="1" applyFont="1" applyFill="1" applyBorder="1"/>
    <xf numFmtId="165" fontId="6" fillId="2" borderId="2" xfId="4" applyNumberFormat="1" applyFont="1" applyFill="1" applyBorder="1"/>
    <xf numFmtId="165" fontId="6" fillId="2" borderId="2" xfId="4" applyNumberFormat="1" applyFont="1" applyFill="1" applyBorder="1" applyAlignment="1">
      <alignment horizontal="right"/>
    </xf>
    <xf numFmtId="0" fontId="3" fillId="7" borderId="0" xfId="0" applyFont="1" applyFill="1"/>
    <xf numFmtId="0" fontId="0" fillId="6" borderId="0" xfId="0" quotePrefix="1" applyFill="1" applyAlignment="1">
      <alignment horizontal="left"/>
    </xf>
    <xf numFmtId="0" fontId="9" fillId="21" borderId="0" xfId="0" applyFont="1" applyFill="1"/>
    <xf numFmtId="0" fontId="0" fillId="21" borderId="0" xfId="0" applyFill="1"/>
    <xf numFmtId="0" fontId="5" fillId="8" borderId="0" xfId="0" applyFont="1" applyFill="1"/>
    <xf numFmtId="0" fontId="6" fillId="21" borderId="0" xfId="0" applyFont="1" applyFill="1"/>
    <xf numFmtId="0" fontId="8" fillId="3" borderId="0" xfId="0" applyFont="1" applyFill="1" applyAlignment="1">
      <alignment horizontal="center"/>
    </xf>
    <xf numFmtId="0" fontId="5" fillId="20" borderId="0" xfId="0" applyFont="1" applyFill="1"/>
    <xf numFmtId="0" fontId="5" fillId="20" borderId="0" xfId="0" applyFont="1" applyFill="1" applyAlignment="1">
      <alignment horizontal="center"/>
    </xf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3" fillId="21" borderId="0" xfId="0" applyFont="1" applyFill="1"/>
    <xf numFmtId="0" fontId="6" fillId="20" borderId="0" xfId="0" applyFont="1" applyFill="1" applyAlignment="1">
      <alignment horizontal="left"/>
    </xf>
    <xf numFmtId="0" fontId="5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9" borderId="1" xfId="0" applyFill="1" applyBorder="1"/>
    <xf numFmtId="0" fontId="5" fillId="9" borderId="0" xfId="0" applyFont="1" applyFill="1"/>
    <xf numFmtId="0" fontId="0" fillId="9" borderId="0" xfId="0" quotePrefix="1" applyFill="1" applyAlignment="1">
      <alignment horizontal="left"/>
    </xf>
    <xf numFmtId="0" fontId="17" fillId="4" borderId="5" xfId="0" applyFont="1" applyFill="1" applyBorder="1"/>
    <xf numFmtId="0" fontId="17" fillId="4" borderId="5" xfId="0" quotePrefix="1" applyFont="1" applyFill="1" applyBorder="1" applyAlignment="1">
      <alignment horizontal="left"/>
    </xf>
    <xf numFmtId="0" fontId="18" fillId="22" borderId="5" xfId="0" applyFont="1" applyFill="1" applyBorder="1"/>
    <xf numFmtId="0" fontId="0" fillId="23" borderId="0" xfId="0" applyFill="1"/>
    <xf numFmtId="0" fontId="3" fillId="23" borderId="0" xfId="0" applyFont="1" applyFill="1"/>
    <xf numFmtId="0" fontId="3" fillId="23" borderId="1" xfId="0" applyFont="1" applyFill="1" applyBorder="1"/>
    <xf numFmtId="0" fontId="0" fillId="23" borderId="0" xfId="0" applyFill="1" applyAlignment="1">
      <alignment horizontal="center"/>
    </xf>
    <xf numFmtId="0" fontId="0" fillId="5" borderId="5" xfId="0" quotePrefix="1" applyFill="1" applyBorder="1" applyAlignment="1">
      <alignment horizontal="left"/>
    </xf>
    <xf numFmtId="0" fontId="20" fillId="5" borderId="0" xfId="0" applyFont="1" applyFill="1"/>
    <xf numFmtId="0" fontId="21" fillId="5" borderId="0" xfId="0" applyFont="1" applyFill="1"/>
    <xf numFmtId="0" fontId="4" fillId="3" borderId="1" xfId="0" applyFont="1" applyFill="1" applyBorder="1" applyAlignment="1">
      <alignment horizontal="left"/>
    </xf>
    <xf numFmtId="166" fontId="4" fillId="3" borderId="0" xfId="0" applyNumberFormat="1" applyFont="1" applyFill="1"/>
    <xf numFmtId="9" fontId="4" fillId="3" borderId="0" xfId="2" applyFont="1" applyFill="1"/>
    <xf numFmtId="0" fontId="0" fillId="6" borderId="0" xfId="0" applyFill="1" applyAlignment="1">
      <alignment vertical="top" wrapText="1"/>
    </xf>
    <xf numFmtId="9" fontId="0" fillId="6" borderId="0" xfId="0" applyNumberFormat="1" applyFill="1" applyAlignment="1">
      <alignment vertical="top" wrapText="1"/>
    </xf>
    <xf numFmtId="0" fontId="8" fillId="10" borderId="4" xfId="0" applyFont="1" applyFill="1" applyBorder="1" applyAlignment="1">
      <alignment horizontal="center"/>
    </xf>
    <xf numFmtId="0" fontId="8" fillId="10" borderId="4" xfId="0" applyFont="1" applyFill="1" applyBorder="1"/>
    <xf numFmtId="0" fontId="8" fillId="10" borderId="9" xfId="0" applyFont="1" applyFill="1" applyBorder="1"/>
    <xf numFmtId="0" fontId="6" fillId="6" borderId="0" xfId="0" applyFont="1" applyFill="1"/>
    <xf numFmtId="9" fontId="3" fillId="6" borderId="0" xfId="0" applyNumberFormat="1" applyFont="1" applyFill="1"/>
    <xf numFmtId="0" fontId="18" fillId="22" borderId="5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8" fillId="2" borderId="5" xfId="0" applyFont="1" applyFill="1" applyBorder="1"/>
    <xf numFmtId="0" fontId="5" fillId="2" borderId="0" xfId="0" applyFont="1" applyFill="1" applyAlignment="1">
      <alignment horizontal="center"/>
    </xf>
    <xf numFmtId="0" fontId="22" fillId="0" borderId="0" xfId="0" applyFont="1"/>
    <xf numFmtId="0" fontId="0" fillId="18" borderId="0" xfId="0" applyFill="1"/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3" fontId="0" fillId="5" borderId="5" xfId="0" applyNumberFormat="1" applyFill="1" applyBorder="1" applyAlignment="1">
      <alignment horizontal="center"/>
    </xf>
    <xf numFmtId="168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68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168" fontId="0" fillId="28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  <xf numFmtId="0" fontId="4" fillId="3" borderId="0" xfId="0" quotePrefix="1" applyFont="1" applyFill="1"/>
    <xf numFmtId="0" fontId="0" fillId="0" borderId="5" xfId="0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168" fontId="3" fillId="0" borderId="5" xfId="0" applyNumberFormat="1" applyFont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/>
    </xf>
    <xf numFmtId="169" fontId="0" fillId="2" borderId="5" xfId="0" applyNumberFormat="1" applyFill="1" applyBorder="1" applyAlignment="1">
      <alignment horizontal="center"/>
    </xf>
    <xf numFmtId="0" fontId="24" fillId="3" borderId="0" xfId="0" applyFont="1" applyFill="1" applyAlignment="1">
      <alignment horizontal="left" vertical="top" wrapText="1"/>
    </xf>
    <xf numFmtId="0" fontId="0" fillId="29" borderId="0" xfId="0" applyFill="1"/>
    <xf numFmtId="0" fontId="0" fillId="3" borderId="0" xfId="0" applyFill="1" applyAlignment="1">
      <alignment horizontal="center"/>
    </xf>
    <xf numFmtId="0" fontId="5" fillId="30" borderId="10" xfId="0" applyFont="1" applyFill="1" applyBorder="1" applyAlignment="1">
      <alignment horizontal="center"/>
    </xf>
    <xf numFmtId="0" fontId="5" fillId="30" borderId="11" xfId="0" applyFont="1" applyFill="1" applyBorder="1"/>
    <xf numFmtId="0" fontId="5" fillId="30" borderId="11" xfId="0" applyFont="1" applyFill="1" applyBorder="1" applyAlignment="1">
      <alignment horizontal="center"/>
    </xf>
    <xf numFmtId="0" fontId="5" fillId="30" borderId="12" xfId="0" applyFont="1" applyFill="1" applyBorder="1"/>
    <xf numFmtId="0" fontId="5" fillId="30" borderId="13" xfId="0" applyFont="1" applyFill="1" applyBorder="1"/>
    <xf numFmtId="0" fontId="16" fillId="3" borderId="0" xfId="0" applyFont="1" applyFill="1"/>
    <xf numFmtId="0" fontId="8" fillId="3" borderId="14" xfId="0" applyFont="1" applyFill="1" applyBorder="1"/>
    <xf numFmtId="0" fontId="8" fillId="3" borderId="15" xfId="0" applyFont="1" applyFill="1" applyBorder="1"/>
    <xf numFmtId="0" fontId="6" fillId="3" borderId="0" xfId="0" applyFont="1" applyFill="1"/>
    <xf numFmtId="0" fontId="5" fillId="2" borderId="5" xfId="0" applyFont="1" applyFill="1" applyBorder="1" applyAlignment="1">
      <alignment horizontal="center"/>
    </xf>
    <xf numFmtId="0" fontId="6" fillId="29" borderId="0" xfId="0" applyFont="1" applyFill="1"/>
    <xf numFmtId="0" fontId="6" fillId="0" borderId="0" xfId="0" applyFont="1"/>
    <xf numFmtId="0" fontId="6" fillId="31" borderId="0" xfId="0" applyFont="1" applyFill="1" applyAlignment="1">
      <alignment horizontal="center"/>
    </xf>
    <xf numFmtId="0" fontId="6" fillId="31" borderId="0" xfId="0" applyFont="1" applyFill="1" applyAlignment="1">
      <alignment horizontal="left" indent="1"/>
    </xf>
    <xf numFmtId="0" fontId="6" fillId="31" borderId="0" xfId="0" applyFont="1" applyFill="1"/>
    <xf numFmtId="0" fontId="8" fillId="3" borderId="16" xfId="0" applyFont="1" applyFill="1" applyBorder="1"/>
    <xf numFmtId="0" fontId="8" fillId="3" borderId="17" xfId="0" applyFont="1" applyFill="1" applyBorder="1" applyAlignment="1">
      <alignment horizontal="center"/>
    </xf>
    <xf numFmtId="0" fontId="6" fillId="32" borderId="0" xfId="0" applyFont="1" applyFill="1" applyAlignment="1">
      <alignment horizontal="center"/>
    </xf>
    <xf numFmtId="0" fontId="6" fillId="32" borderId="0" xfId="0" applyFont="1" applyFill="1" applyAlignment="1">
      <alignment horizontal="left" indent="1"/>
    </xf>
    <xf numFmtId="0" fontId="6" fillId="32" borderId="0" xfId="0" applyFont="1" applyFill="1"/>
    <xf numFmtId="0" fontId="8" fillId="3" borderId="18" xfId="0" applyFont="1" applyFill="1" applyBorder="1"/>
    <xf numFmtId="0" fontId="8" fillId="3" borderId="19" xfId="0" applyFont="1" applyFill="1" applyBorder="1" applyAlignment="1">
      <alignment horizontal="center"/>
    </xf>
    <xf numFmtId="0" fontId="8" fillId="3" borderId="20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5" fillId="33" borderId="5" xfId="0" applyFont="1" applyFill="1" applyBorder="1" applyAlignment="1">
      <alignment horizontal="center"/>
    </xf>
    <xf numFmtId="0" fontId="16" fillId="3" borderId="23" xfId="0" applyFont="1" applyFill="1" applyBorder="1"/>
    <xf numFmtId="0" fontId="6" fillId="3" borderId="24" xfId="0" applyFont="1" applyFill="1" applyBorder="1"/>
    <xf numFmtId="0" fontId="16" fillId="3" borderId="25" xfId="0" applyFont="1" applyFill="1" applyBorder="1"/>
    <xf numFmtId="0" fontId="6" fillId="3" borderId="26" xfId="0" applyFont="1" applyFill="1" applyBorder="1"/>
    <xf numFmtId="0" fontId="6" fillId="3" borderId="27" xfId="0" applyFont="1" applyFill="1" applyBorder="1"/>
    <xf numFmtId="0" fontId="25" fillId="3" borderId="23" xfId="0" applyFont="1" applyFill="1" applyBorder="1"/>
    <xf numFmtId="0" fontId="25" fillId="3" borderId="0" xfId="0" applyFont="1" applyFill="1"/>
    <xf numFmtId="0" fontId="16" fillId="3" borderId="24" xfId="0" applyFont="1" applyFill="1" applyBorder="1"/>
    <xf numFmtId="0" fontId="25" fillId="3" borderId="0" xfId="0" applyFont="1" applyFill="1" applyAlignment="1">
      <alignment horizontal="left" indent="2"/>
    </xf>
    <xf numFmtId="0" fontId="25" fillId="3" borderId="25" xfId="0" applyFont="1" applyFill="1" applyBorder="1"/>
    <xf numFmtId="0" fontId="25" fillId="3" borderId="26" xfId="0" applyFont="1" applyFill="1" applyBorder="1"/>
    <xf numFmtId="0" fontId="16" fillId="3" borderId="27" xfId="0" applyFont="1" applyFill="1" applyBorder="1"/>
    <xf numFmtId="0" fontId="16" fillId="3" borderId="28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2" fontId="16" fillId="3" borderId="28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70" fontId="6" fillId="0" borderId="0" xfId="0" applyNumberFormat="1" applyFont="1"/>
    <xf numFmtId="20" fontId="6" fillId="0" borderId="0" xfId="0" applyNumberFormat="1" applyFont="1"/>
    <xf numFmtId="2" fontId="6" fillId="0" borderId="0" xfId="1" applyNumberFormat="1" applyFont="1" applyFill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2" borderId="5" xfId="0" applyFill="1" applyBorder="1" applyAlignment="1">
      <alignment horizontal="center" vertical="center"/>
    </xf>
    <xf numFmtId="14" fontId="0" fillId="0" borderId="5" xfId="0" applyNumberFormat="1" applyBorder="1"/>
    <xf numFmtId="171" fontId="0" fillId="0" borderId="5" xfId="0" applyNumberFormat="1" applyBorder="1" applyAlignment="1">
      <alignment vertical="center"/>
    </xf>
    <xf numFmtId="9" fontId="0" fillId="2" borderId="5" xfId="2" applyFont="1" applyFill="1" applyBorder="1" applyAlignment="1">
      <alignment horizontal="center"/>
    </xf>
    <xf numFmtId="43" fontId="0" fillId="0" borderId="0" xfId="0" applyNumberFormat="1"/>
    <xf numFmtId="43" fontId="0" fillId="0" borderId="0" xfId="0" applyNumberFormat="1" applyAlignment="1">
      <alignment horizontal="center"/>
    </xf>
    <xf numFmtId="43" fontId="3" fillId="0" borderId="0" xfId="0" applyNumberFormat="1" applyFont="1" applyAlignment="1">
      <alignment horizontal="center"/>
    </xf>
    <xf numFmtId="9" fontId="0" fillId="0" borderId="0" xfId="0" applyNumberFormat="1"/>
    <xf numFmtId="43" fontId="0" fillId="0" borderId="0" xfId="1" applyFont="1" applyFill="1" applyBorder="1"/>
    <xf numFmtId="0" fontId="3" fillId="21" borderId="0" xfId="0" applyFont="1" applyFill="1" applyAlignment="1">
      <alignment horizontal="center"/>
    </xf>
    <xf numFmtId="43" fontId="0" fillId="0" borderId="0" xfId="1" applyFont="1" applyFill="1" applyBorder="1" applyAlignment="1">
      <alignment horizontal="center"/>
    </xf>
    <xf numFmtId="172" fontId="0" fillId="21" borderId="0" xfId="1" applyNumberFormat="1" applyFont="1" applyFill="1" applyAlignment="1">
      <alignment horizontal="center"/>
    </xf>
    <xf numFmtId="164" fontId="0" fillId="21" borderId="0" xfId="1" applyNumberFormat="1" applyFont="1" applyFill="1" applyAlignment="1">
      <alignment horizontal="center"/>
    </xf>
    <xf numFmtId="0" fontId="0" fillId="21" borderId="0" xfId="0" applyFill="1" applyAlignment="1">
      <alignment horizontal="left"/>
    </xf>
    <xf numFmtId="164" fontId="0" fillId="21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0" fontId="2" fillId="34" borderId="5" xfId="0" applyFont="1" applyFill="1" applyBorder="1" applyAlignment="1">
      <alignment horizontal="center" vertical="center" wrapText="1"/>
    </xf>
    <xf numFmtId="0" fontId="2" fillId="35" borderId="5" xfId="0" applyFont="1" applyFill="1" applyBorder="1" applyAlignment="1">
      <alignment horizontal="center" vertical="center" wrapText="1"/>
    </xf>
    <xf numFmtId="0" fontId="2" fillId="36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7" borderId="5" xfId="0" applyFont="1" applyFill="1" applyBorder="1" applyAlignment="1">
      <alignment vertical="center"/>
    </xf>
    <xf numFmtId="0" fontId="0" fillId="14" borderId="5" xfId="0" applyFill="1" applyBorder="1"/>
    <xf numFmtId="0" fontId="0" fillId="13" borderId="5" xfId="0" applyFill="1" applyBorder="1"/>
    <xf numFmtId="0" fontId="0" fillId="38" borderId="5" xfId="0" applyFill="1" applyBorder="1"/>
    <xf numFmtId="0" fontId="0" fillId="2" borderId="5" xfId="0" applyFill="1" applyBorder="1"/>
    <xf numFmtId="0" fontId="0" fillId="21" borderId="0" xfId="0" applyFill="1" applyAlignment="1">
      <alignment horizontal="center" wrapText="1"/>
    </xf>
    <xf numFmtId="0" fontId="0" fillId="21" borderId="0" xfId="0" applyFill="1" applyAlignment="1">
      <alignment wrapText="1"/>
    </xf>
    <xf numFmtId="0" fontId="3" fillId="0" borderId="0" xfId="0" applyFont="1"/>
    <xf numFmtId="0" fontId="3" fillId="9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2" fillId="10" borderId="9" xfId="0" applyFont="1" applyFill="1" applyBorder="1"/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0" fontId="0" fillId="11" borderId="29" xfId="0" applyFill="1" applyBorder="1" applyAlignment="1">
      <alignment horizontal="center"/>
    </xf>
    <xf numFmtId="0" fontId="4" fillId="7" borderId="0" xfId="0" applyFont="1" applyFill="1"/>
    <xf numFmtId="0" fontId="2" fillId="7" borderId="0" xfId="0" applyFont="1" applyFill="1"/>
    <xf numFmtId="0" fontId="2" fillId="3" borderId="5" xfId="0" applyFont="1" applyFill="1" applyBorder="1" applyAlignment="1">
      <alignment horizontal="center"/>
    </xf>
    <xf numFmtId="0" fontId="2" fillId="7" borderId="5" xfId="0" applyFont="1" applyFill="1" applyBorder="1"/>
    <xf numFmtId="0" fontId="0" fillId="21" borderId="5" xfId="0" applyFill="1" applyBorder="1"/>
    <xf numFmtId="172" fontId="0" fillId="21" borderId="5" xfId="0" applyNumberFormat="1" applyFill="1" applyBorder="1"/>
    <xf numFmtId="0" fontId="0" fillId="21" borderId="5" xfId="0" applyFill="1" applyBorder="1" applyAlignment="1">
      <alignment horizontal="center"/>
    </xf>
    <xf numFmtId="0" fontId="4" fillId="3" borderId="5" xfId="0" applyFont="1" applyFill="1" applyBorder="1"/>
    <xf numFmtId="172" fontId="0" fillId="2" borderId="5" xfId="0" applyNumberFormat="1" applyFill="1" applyBorder="1"/>
    <xf numFmtId="0" fontId="0" fillId="4" borderId="0" xfId="0" applyFill="1"/>
    <xf numFmtId="0" fontId="2" fillId="10" borderId="5" xfId="0" applyFont="1" applyFill="1" applyBorder="1"/>
    <xf numFmtId="0" fontId="2" fillId="10" borderId="5" xfId="0" applyFont="1" applyFill="1" applyBorder="1" applyAlignment="1">
      <alignment horizontal="center"/>
    </xf>
    <xf numFmtId="0" fontId="23" fillId="24" borderId="0" xfId="0" applyFont="1" applyFill="1" applyAlignment="1">
      <alignment horizontal="center"/>
    </xf>
    <xf numFmtId="0" fontId="4" fillId="39" borderId="5" xfId="0" applyFont="1" applyFill="1" applyBorder="1"/>
    <xf numFmtId="172" fontId="4" fillId="40" borderId="5" xfId="0" applyNumberFormat="1" applyFont="1" applyFill="1" applyBorder="1"/>
    <xf numFmtId="0" fontId="0" fillId="24" borderId="0" xfId="0" applyFill="1" applyAlignment="1">
      <alignment horizontal="center"/>
    </xf>
    <xf numFmtId="172" fontId="0" fillId="24" borderId="0" xfId="0" applyNumberFormat="1" applyFill="1"/>
    <xf numFmtId="0" fontId="4" fillId="41" borderId="5" xfId="0" applyFont="1" applyFill="1" applyBorder="1"/>
    <xf numFmtId="0" fontId="19" fillId="4" borderId="0" xfId="0" applyFont="1" applyFill="1"/>
    <xf numFmtId="172" fontId="0" fillId="4" borderId="0" xfId="0" applyNumberFormat="1" applyFill="1"/>
    <xf numFmtId="0" fontId="0" fillId="6" borderId="5" xfId="0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2" borderId="0" xfId="0" applyFill="1"/>
    <xf numFmtId="0" fontId="0" fillId="40" borderId="0" xfId="0" applyFill="1"/>
    <xf numFmtId="164" fontId="0" fillId="9" borderId="0" xfId="1" applyNumberFormat="1" applyFont="1" applyFill="1"/>
    <xf numFmtId="164" fontId="0" fillId="40" borderId="0" xfId="1" applyNumberFormat="1" applyFont="1" applyFill="1"/>
    <xf numFmtId="0" fontId="3" fillId="40" borderId="0" xfId="0" applyFont="1" applyFill="1"/>
    <xf numFmtId="0" fontId="3" fillId="42" borderId="0" xfId="0" applyFont="1" applyFill="1"/>
    <xf numFmtId="164" fontId="3" fillId="42" borderId="0" xfId="1" applyNumberFormat="1" applyFont="1" applyFill="1"/>
    <xf numFmtId="0" fontId="3" fillId="9" borderId="0" xfId="0" applyFont="1" applyFill="1"/>
    <xf numFmtId="164" fontId="0" fillId="42" borderId="0" xfId="1" applyNumberFormat="1" applyFont="1" applyFill="1"/>
    <xf numFmtId="0" fontId="3" fillId="29" borderId="0" xfId="0" applyFont="1" applyFill="1"/>
    <xf numFmtId="0" fontId="0" fillId="40" borderId="0" xfId="0" applyFill="1" applyAlignment="1">
      <alignment horizontal="center"/>
    </xf>
    <xf numFmtId="164" fontId="0" fillId="0" borderId="0" xfId="1" applyNumberFormat="1" applyFont="1" applyFill="1"/>
    <xf numFmtId="0" fontId="3" fillId="29" borderId="5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3" fontId="0" fillId="0" borderId="0" xfId="0" applyNumberFormat="1"/>
    <xf numFmtId="168" fontId="0" fillId="2" borderId="0" xfId="0" applyNumberFormat="1" applyFill="1"/>
    <xf numFmtId="0" fontId="0" fillId="29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3" fillId="7" borderId="5" xfId="0" applyFont="1" applyFill="1" applyBorder="1" applyAlignment="1">
      <alignment horizontal="center"/>
    </xf>
    <xf numFmtId="174" fontId="0" fillId="0" borderId="0" xfId="0" applyNumberFormat="1"/>
    <xf numFmtId="0" fontId="29" fillId="0" borderId="0" xfId="0" applyFont="1"/>
    <xf numFmtId="0" fontId="28" fillId="0" borderId="0" xfId="0" applyFont="1"/>
    <xf numFmtId="0" fontId="3" fillId="18" borderId="5" xfId="0" applyFont="1" applyFill="1" applyBorder="1"/>
    <xf numFmtId="0" fontId="0" fillId="18" borderId="5" xfId="0" applyFill="1" applyBorder="1"/>
    <xf numFmtId="6" fontId="0" fillId="18" borderId="0" xfId="0" applyNumberFormat="1" applyFill="1"/>
    <xf numFmtId="0" fontId="3" fillId="18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3" fontId="0" fillId="6" borderId="0" xfId="0" applyNumberFormat="1" applyFill="1" applyAlignment="1">
      <alignment horizontal="center"/>
    </xf>
    <xf numFmtId="0" fontId="6" fillId="27" borderId="0" xfId="0" applyFont="1" applyFill="1"/>
    <xf numFmtId="9" fontId="1" fillId="2" borderId="0" xfId="2" applyFont="1" applyFill="1"/>
    <xf numFmtId="166" fontId="1" fillId="2" borderId="0" xfId="0" applyNumberFormat="1" applyFont="1" applyFill="1"/>
    <xf numFmtId="164" fontId="0" fillId="7" borderId="0" xfId="1" applyNumberFormat="1" applyFont="1" applyFill="1"/>
    <xf numFmtId="0" fontId="0" fillId="43" borderId="0" xfId="0" applyFill="1"/>
    <xf numFmtId="0" fontId="0" fillId="43" borderId="0" xfId="0" applyFill="1" applyAlignment="1">
      <alignment horizontal="center"/>
    </xf>
    <xf numFmtId="0" fontId="0" fillId="6" borderId="5" xfId="0" quotePrefix="1" applyFill="1" applyBorder="1" applyAlignment="1">
      <alignment horizontal="center"/>
    </xf>
    <xf numFmtId="0" fontId="2" fillId="35" borderId="29" xfId="0" applyFont="1" applyFill="1" applyBorder="1" applyAlignment="1">
      <alignment horizontal="center" vertical="center"/>
    </xf>
    <xf numFmtId="0" fontId="0" fillId="0" borderId="29" xfId="0" applyBorder="1"/>
    <xf numFmtId="0" fontId="2" fillId="37" borderId="30" xfId="0" applyFont="1" applyFill="1" applyBorder="1" applyAlignment="1">
      <alignment vertical="center"/>
    </xf>
    <xf numFmtId="0" fontId="0" fillId="0" borderId="30" xfId="0" quotePrefix="1" applyBorder="1"/>
    <xf numFmtId="0" fontId="2" fillId="0" borderId="0" xfId="0" applyFont="1" applyAlignment="1">
      <alignment horizontal="center" vertical="center"/>
    </xf>
    <xf numFmtId="0" fontId="0" fillId="0" borderId="0" xfId="0" quotePrefix="1"/>
    <xf numFmtId="164" fontId="1" fillId="2" borderId="0" xfId="1" applyNumberFormat="1" applyFont="1" applyFill="1"/>
    <xf numFmtId="166" fontId="1" fillId="2" borderId="0" xfId="1" applyNumberFormat="1" applyFont="1" applyFill="1"/>
    <xf numFmtId="0" fontId="0" fillId="44" borderId="0" xfId="0" applyFill="1" applyAlignment="1">
      <alignment horizontal="center"/>
    </xf>
    <xf numFmtId="0" fontId="0" fillId="44" borderId="0" xfId="0" applyFill="1"/>
    <xf numFmtId="0" fontId="3" fillId="44" borderId="0" xfId="0" applyFont="1" applyFill="1"/>
    <xf numFmtId="0" fontId="3" fillId="2" borderId="0" xfId="0" applyFont="1" applyFill="1" applyAlignment="1">
      <alignment horizontal="center"/>
    </xf>
    <xf numFmtId="0" fontId="6" fillId="25" borderId="8" xfId="0" applyFont="1" applyFill="1" applyBorder="1" applyAlignment="1">
      <alignment horizontal="center"/>
    </xf>
    <xf numFmtId="0" fontId="6" fillId="25" borderId="8" xfId="0" applyFont="1" applyFill="1" applyBorder="1"/>
    <xf numFmtId="0" fontId="6" fillId="26" borderId="0" xfId="0" applyFont="1" applyFill="1" applyAlignment="1">
      <alignment horizontal="center"/>
    </xf>
    <xf numFmtId="0" fontId="6" fillId="26" borderId="0" xfId="0" applyFont="1" applyFill="1"/>
    <xf numFmtId="0" fontId="6" fillId="25" borderId="0" xfId="0" applyFont="1" applyFill="1" applyAlignment="1">
      <alignment horizontal="center"/>
    </xf>
    <xf numFmtId="0" fontId="6" fillId="25" borderId="0" xfId="0" applyFont="1" applyFill="1" applyAlignment="1">
      <alignment horizontal="left"/>
    </xf>
    <xf numFmtId="0" fontId="6" fillId="26" borderId="0" xfId="0" applyFont="1" applyFill="1" applyAlignment="1">
      <alignment horizontal="left"/>
    </xf>
    <xf numFmtId="0" fontId="6" fillId="25" borderId="0" xfId="0" applyFont="1" applyFill="1"/>
    <xf numFmtId="0" fontId="4" fillId="0" borderId="0" xfId="0" applyFont="1" applyAlignment="1">
      <alignment horizontal="left"/>
    </xf>
    <xf numFmtId="0" fontId="4" fillId="3" borderId="33" xfId="0" applyFont="1" applyFill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0" xfId="0" applyFont="1" applyFill="1" applyBorder="1"/>
    <xf numFmtId="9" fontId="4" fillId="3" borderId="33" xfId="0" applyNumberFormat="1" applyFont="1" applyFill="1" applyBorder="1" applyAlignment="1">
      <alignment horizontal="center"/>
    </xf>
    <xf numFmtId="9" fontId="4" fillId="3" borderId="34" xfId="0" applyNumberFormat="1" applyFont="1" applyFill="1" applyBorder="1" applyAlignment="1">
      <alignment horizontal="center"/>
    </xf>
    <xf numFmtId="9" fontId="4" fillId="3" borderId="35" xfId="0" applyNumberFormat="1" applyFont="1" applyFill="1" applyBorder="1" applyAlignment="1">
      <alignment horizontal="center"/>
    </xf>
    <xf numFmtId="0" fontId="6" fillId="27" borderId="3" xfId="0" applyFont="1" applyFill="1" applyBorder="1"/>
    <xf numFmtId="0" fontId="0" fillId="45" borderId="0" xfId="0" applyFill="1" applyAlignment="1">
      <alignment horizontal="center"/>
    </xf>
    <xf numFmtId="0" fontId="17" fillId="45" borderId="5" xfId="0" applyFont="1" applyFill="1" applyBorder="1" applyAlignment="1">
      <alignment horizontal="left"/>
    </xf>
    <xf numFmtId="0" fontId="0" fillId="45" borderId="0" xfId="0" applyFill="1" applyAlignment="1">
      <alignment horizontal="left"/>
    </xf>
    <xf numFmtId="0" fontId="0" fillId="45" borderId="0" xfId="0" applyFill="1"/>
    <xf numFmtId="0" fontId="0" fillId="45" borderId="5" xfId="0" applyFill="1" applyBorder="1" applyAlignment="1">
      <alignment horizontal="center"/>
    </xf>
    <xf numFmtId="0" fontId="0" fillId="45" borderId="5" xfId="0" applyFill="1" applyBorder="1" applyAlignment="1">
      <alignment horizontal="left"/>
    </xf>
    <xf numFmtId="0" fontId="30" fillId="3" borderId="5" xfId="0" applyFont="1" applyFill="1" applyBorder="1" applyAlignment="1">
      <alignment horizontal="center"/>
    </xf>
    <xf numFmtId="0" fontId="17" fillId="45" borderId="29" xfId="0" applyFont="1" applyFill="1" applyBorder="1" applyAlignment="1">
      <alignment horizontal="left"/>
    </xf>
    <xf numFmtId="0" fontId="0" fillId="2" borderId="36" xfId="0" applyFill="1" applyBorder="1" applyAlignment="1">
      <alignment horizontal="center"/>
    </xf>
    <xf numFmtId="0" fontId="34" fillId="0" borderId="0" xfId="0" applyFont="1" applyAlignment="1">
      <alignment horizontal="left" vertical="top"/>
    </xf>
    <xf numFmtId="0" fontId="35" fillId="4" borderId="0" xfId="0" applyFont="1" applyFill="1" applyAlignment="1">
      <alignment horizontal="left" vertical="top"/>
    </xf>
    <xf numFmtId="0" fontId="34" fillId="4" borderId="0" xfId="0" applyFont="1" applyFill="1" applyAlignment="1">
      <alignment horizontal="left" vertical="top"/>
    </xf>
    <xf numFmtId="0" fontId="39" fillId="4" borderId="0" xfId="0" applyFont="1" applyFill="1" applyAlignment="1">
      <alignment horizontal="left" vertical="top"/>
    </xf>
    <xf numFmtId="0" fontId="40" fillId="9" borderId="9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left" vertical="top"/>
    </xf>
    <xf numFmtId="0" fontId="39" fillId="9" borderId="37" xfId="0" applyFont="1" applyFill="1" applyBorder="1" applyAlignment="1">
      <alignment horizontal="center" vertical="center"/>
    </xf>
    <xf numFmtId="0" fontId="39" fillId="22" borderId="37" xfId="0" applyFont="1" applyFill="1" applyBorder="1" applyAlignment="1">
      <alignment horizontal="left" vertical="top"/>
    </xf>
    <xf numFmtId="0" fontId="34" fillId="2" borderId="37" xfId="0" applyFont="1" applyFill="1" applyBorder="1" applyAlignment="1">
      <alignment horizontal="left" vertical="top"/>
    </xf>
    <xf numFmtId="0" fontId="39" fillId="22" borderId="5" xfId="0" applyFont="1" applyFill="1" applyBorder="1" applyAlignment="1">
      <alignment horizontal="left" vertical="top"/>
    </xf>
    <xf numFmtId="0" fontId="43" fillId="4" borderId="0" xfId="0" applyFont="1" applyFill="1" applyAlignment="1">
      <alignment horizontal="left" vertical="top"/>
    </xf>
    <xf numFmtId="37" fontId="40" fillId="4" borderId="0" xfId="0" applyNumberFormat="1" applyFont="1" applyFill="1" applyAlignment="1">
      <alignment horizontal="right" vertical="top"/>
    </xf>
    <xf numFmtId="0" fontId="45" fillId="4" borderId="0" xfId="0" applyFont="1" applyFill="1" applyAlignment="1">
      <alignment horizontal="left" vertical="top"/>
    </xf>
    <xf numFmtId="0" fontId="47" fillId="4" borderId="0" xfId="0" applyFont="1" applyFill="1" applyAlignment="1">
      <alignment horizontal="left" vertical="top"/>
    </xf>
    <xf numFmtId="37" fontId="39" fillId="4" borderId="0" xfId="0" applyNumberFormat="1" applyFont="1" applyFill="1" applyAlignment="1">
      <alignment horizontal="right" vertical="top"/>
    </xf>
    <xf numFmtId="9" fontId="39" fillId="4" borderId="0" xfId="0" applyNumberFormat="1" applyFont="1" applyFill="1" applyAlignment="1">
      <alignment horizontal="left" vertical="top"/>
    </xf>
    <xf numFmtId="0" fontId="3" fillId="18" borderId="5" xfId="0" applyFont="1" applyFill="1" applyBorder="1" applyAlignment="1">
      <alignment horizontal="center"/>
    </xf>
    <xf numFmtId="0" fontId="0" fillId="24" borderId="31" xfId="0" applyFill="1" applyBorder="1" applyAlignment="1">
      <alignment horizontal="center"/>
    </xf>
    <xf numFmtId="0" fontId="0" fillId="24" borderId="9" xfId="0" applyFill="1" applyBorder="1"/>
    <xf numFmtId="0" fontId="0" fillId="24" borderId="0" xfId="0" applyFill="1"/>
    <xf numFmtId="0" fontId="0" fillId="2" borderId="9" xfId="0" applyFill="1" applyBorder="1"/>
    <xf numFmtId="0" fontId="0" fillId="24" borderId="38" xfId="0" applyFill="1" applyBorder="1"/>
    <xf numFmtId="0" fontId="0" fillId="2" borderId="38" xfId="0" applyFill="1" applyBorder="1"/>
    <xf numFmtId="0" fontId="0" fillId="24" borderId="32" xfId="0" applyFill="1" applyBorder="1" applyAlignment="1">
      <alignment horizontal="center"/>
    </xf>
    <xf numFmtId="0" fontId="0" fillId="24" borderId="37" xfId="0" applyFill="1" applyBorder="1"/>
    <xf numFmtId="0" fontId="0" fillId="24" borderId="6" xfId="0" applyFill="1" applyBorder="1"/>
    <xf numFmtId="0" fontId="0" fillId="4" borderId="5" xfId="0" applyFill="1" applyBorder="1" applyAlignment="1">
      <alignment horizontal="center"/>
    </xf>
    <xf numFmtId="0" fontId="49" fillId="7" borderId="5" xfId="0" applyFont="1" applyFill="1" applyBorder="1"/>
    <xf numFmtId="0" fontId="50" fillId="7" borderId="5" xfId="0" applyFont="1" applyFill="1" applyBorder="1" applyAlignment="1">
      <alignment horizontal="center" vertical="top" wrapText="1"/>
    </xf>
    <xf numFmtId="0" fontId="51" fillId="0" borderId="5" xfId="0" applyFont="1" applyBorder="1" applyAlignment="1">
      <alignment horizontal="center" vertical="top" wrapText="1"/>
    </xf>
    <xf numFmtId="0" fontId="51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center"/>
    </xf>
    <xf numFmtId="0" fontId="52" fillId="7" borderId="5" xfId="0" applyFont="1" applyFill="1" applyBorder="1"/>
    <xf numFmtId="0" fontId="52" fillId="7" borderId="5" xfId="0" applyFont="1" applyFill="1" applyBorder="1" applyAlignment="1">
      <alignment vertical="center" wrapText="1"/>
    </xf>
    <xf numFmtId="0" fontId="52" fillId="2" borderId="5" xfId="0" applyFont="1" applyFill="1" applyBorder="1"/>
    <xf numFmtId="0" fontId="6" fillId="2" borderId="0" xfId="0" applyFont="1" applyFill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quotePrefix="1" applyFont="1" applyFill="1" applyBorder="1" applyAlignment="1">
      <alignment horizontal="left"/>
    </xf>
    <xf numFmtId="0" fontId="0" fillId="6" borderId="0" xfId="0" applyFill="1" applyAlignment="1">
      <alignment horizontal="center"/>
    </xf>
    <xf numFmtId="0" fontId="30" fillId="3" borderId="0" xfId="0" applyFont="1" applyFill="1"/>
    <xf numFmtId="0" fontId="30" fillId="3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15" borderId="5" xfId="0" applyFill="1" applyBorder="1" applyAlignment="1">
      <alignment horizontal="center"/>
    </xf>
    <xf numFmtId="49" fontId="4" fillId="3" borderId="20" xfId="0" applyNumberFormat="1" applyFont="1" applyFill="1" applyBorder="1" applyAlignment="1">
      <alignment horizontal="center"/>
    </xf>
    <xf numFmtId="10" fontId="6" fillId="27" borderId="0" xfId="0" applyNumberFormat="1" applyFont="1" applyFill="1"/>
    <xf numFmtId="0" fontId="53" fillId="2" borderId="0" xfId="0" applyFont="1" applyFill="1"/>
    <xf numFmtId="0" fontId="0" fillId="0" borderId="5" xfId="0" applyBorder="1" applyAlignment="1">
      <alignment horizontal="center" vertical="center"/>
    </xf>
    <xf numFmtId="0" fontId="0" fillId="9" borderId="5" xfId="0" applyFill="1" applyBorder="1"/>
    <xf numFmtId="164" fontId="0" fillId="42" borderId="5" xfId="1" applyNumberFormat="1" applyFont="1" applyFill="1" applyBorder="1"/>
    <xf numFmtId="164" fontId="0" fillId="42" borderId="5" xfId="1" applyNumberFormat="1" applyFont="1" applyFill="1" applyBorder="1" applyAlignment="1">
      <alignment horizontal="center" vertical="center"/>
    </xf>
    <xf numFmtId="0" fontId="0" fillId="42" borderId="5" xfId="0" applyFill="1" applyBorder="1" applyAlignment="1">
      <alignment horizontal="center" vertical="center"/>
    </xf>
    <xf numFmtId="0" fontId="0" fillId="40" borderId="5" xfId="0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10" fillId="19" borderId="0" xfId="0" applyFont="1" applyFill="1" applyAlignment="1">
      <alignment horizontal="center"/>
    </xf>
    <xf numFmtId="0" fontId="5" fillId="0" borderId="7" xfId="0" applyFont="1" applyBorder="1" applyAlignment="1">
      <alignment horizontal="center" vertical="center" textRotation="180"/>
    </xf>
    <xf numFmtId="0" fontId="3" fillId="7" borderId="0" xfId="0" applyFont="1" applyFill="1" applyAlignment="1">
      <alignment horizontal="center"/>
    </xf>
    <xf numFmtId="0" fontId="3" fillId="21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6" fillId="2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3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/>
    </xf>
    <xf numFmtId="0" fontId="28" fillId="9" borderId="0" xfId="0" applyFont="1" applyFill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7" fillId="21" borderId="0" xfId="0" applyFont="1" applyFill="1" applyAlignment="1">
      <alignment horizontal="center"/>
    </xf>
    <xf numFmtId="0" fontId="3" fillId="21" borderId="0" xfId="0" applyFont="1" applyFill="1" applyAlignment="1">
      <alignment horizontal="left" wrapText="1"/>
    </xf>
    <xf numFmtId="0" fontId="31" fillId="3" borderId="0" xfId="0" applyFont="1" applyFill="1" applyAlignment="1">
      <alignment horizontal="center" vertical="top"/>
    </xf>
    <xf numFmtId="14" fontId="0" fillId="0" borderId="0" xfId="0" applyNumberFormat="1"/>
    <xf numFmtId="0" fontId="0" fillId="2" borderId="5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/>
    </xf>
    <xf numFmtId="49" fontId="0" fillId="2" borderId="5" xfId="0" applyNumberFormat="1" applyFill="1" applyBorder="1"/>
    <xf numFmtId="9" fontId="0" fillId="21" borderId="5" xfId="0" applyNumberFormat="1" applyFill="1" applyBorder="1"/>
    <xf numFmtId="10" fontId="0" fillId="2" borderId="5" xfId="2" applyNumberFormat="1" applyFont="1" applyFill="1" applyBorder="1" applyAlignment="1">
      <alignment horizontal="center"/>
    </xf>
    <xf numFmtId="10" fontId="34" fillId="2" borderId="37" xfId="0" applyNumberFormat="1" applyFont="1" applyFill="1" applyBorder="1" applyAlignment="1">
      <alignment horizontal="left" vertical="top"/>
    </xf>
  </cellXfs>
  <cellStyles count="5">
    <cellStyle name="Comma" xfId="1" builtinId="3"/>
    <cellStyle name="Currency 2" xfId="4" xr:uid="{00000000-0005-0000-0000-000001000000}"/>
    <cellStyle name="Normal" xfId="0" builtinId="0"/>
    <cellStyle name="Normal 2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2686050</xdr:colOff>
      <xdr:row>2</xdr:row>
      <xdr:rowOff>209550</xdr:rowOff>
    </xdr:from>
    <xdr:to>
      <xdr:col>9</xdr:col>
      <xdr:colOff>342900</xdr:colOff>
      <xdr:row>4</xdr:row>
      <xdr:rowOff>114300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6981825" y="733425"/>
          <a:ext cx="16383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100" b="1">
              <a:solidFill>
                <a:sysClr val="windowText" lastClr="000000"/>
              </a:solidFill>
            </a:rPr>
            <a:t>Contoh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topLeftCell="A2" zoomScale="125" zoomScaleNormal="130" workbookViewId="0">
      <selection activeCell="AE31" sqref="AE31"/>
    </sheetView>
  </sheetViews>
  <sheetFormatPr defaultRowHeight="15" x14ac:dyDescent="0.25"/>
  <cols>
    <col min="1" max="1" width="7.7109375" customWidth="1"/>
    <col min="2" max="3" width="14.42578125" customWidth="1"/>
    <col min="4" max="4" width="13.5703125" customWidth="1"/>
    <col min="5" max="5" width="3.85546875" customWidth="1"/>
    <col min="6" max="6" width="10.85546875" customWidth="1"/>
    <col min="7" max="7" width="14.42578125" customWidth="1"/>
    <col min="10" max="10" width="9.140625" style="19"/>
    <col min="11" max="11" width="17.28515625" customWidth="1"/>
    <col min="14" max="14" width="11.140625" bestFit="1" customWidth="1"/>
    <col min="15" max="15" width="10.28515625" bestFit="1" customWidth="1"/>
    <col min="18" max="18" width="9.28515625" customWidth="1"/>
    <col min="19" max="19" width="11.28515625" customWidth="1"/>
    <col min="21" max="21" width="18" customWidth="1"/>
    <col min="22" max="23" width="6" customWidth="1"/>
    <col min="24" max="24" width="11.28515625" customWidth="1"/>
    <col min="25" max="26" width="14.85546875" customWidth="1"/>
    <col min="27" max="27" width="13.85546875" customWidth="1"/>
    <col min="31" max="31" width="9.5703125" bestFit="1" customWidth="1"/>
    <col min="32" max="34" width="9.28515625" bestFit="1" customWidth="1"/>
    <col min="35" max="35" width="9.5703125" bestFit="1" customWidth="1"/>
  </cols>
  <sheetData>
    <row r="1" spans="1:14" ht="18.75" x14ac:dyDescent="0.3">
      <c r="A1" s="50"/>
      <c r="B1" s="50"/>
      <c r="C1" s="382" t="s">
        <v>105</v>
      </c>
      <c r="D1" s="382"/>
      <c r="E1" s="382"/>
      <c r="F1" s="382"/>
      <c r="G1" s="382"/>
      <c r="H1" s="382"/>
      <c r="I1" s="382"/>
      <c r="J1" s="382"/>
      <c r="K1" s="382"/>
      <c r="L1" s="49"/>
      <c r="M1" s="50"/>
      <c r="N1" s="50"/>
    </row>
    <row r="2" spans="1:14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0"/>
      <c r="N2" s="50"/>
    </row>
    <row r="3" spans="1:14" x14ac:dyDescent="0.25">
      <c r="A3" s="50"/>
      <c r="B3" s="50"/>
      <c r="C3" s="50" t="s">
        <v>106</v>
      </c>
      <c r="D3" s="50"/>
      <c r="E3" s="50"/>
      <c r="F3" s="50"/>
      <c r="G3" s="50"/>
      <c r="H3" s="50"/>
      <c r="I3" s="50"/>
      <c r="J3" s="50"/>
      <c r="K3" s="51"/>
      <c r="L3" s="51"/>
      <c r="M3" s="50"/>
      <c r="N3" s="50"/>
    </row>
    <row r="4" spans="1:14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1"/>
      <c r="L4" s="51"/>
      <c r="M4" s="50"/>
      <c r="N4" s="50"/>
    </row>
    <row r="5" spans="1:14" x14ac:dyDescent="0.25">
      <c r="A5" s="50"/>
      <c r="B5" s="50"/>
      <c r="C5" s="50" t="s">
        <v>92</v>
      </c>
      <c r="D5" s="50"/>
      <c r="E5" s="50"/>
      <c r="F5" s="50"/>
      <c r="G5" s="50"/>
      <c r="H5" s="50"/>
      <c r="I5" s="50"/>
      <c r="J5" s="50"/>
      <c r="K5" s="51"/>
      <c r="L5" s="51"/>
      <c r="M5" s="50"/>
      <c r="N5" s="50"/>
    </row>
    <row r="6" spans="1:14" x14ac:dyDescent="0.25">
      <c r="A6" s="50"/>
      <c r="B6" s="50"/>
      <c r="C6" s="50"/>
      <c r="D6" s="52" t="s">
        <v>93</v>
      </c>
      <c r="E6" s="50"/>
      <c r="F6" s="50"/>
      <c r="G6" s="50"/>
      <c r="H6" s="50"/>
      <c r="I6" s="50"/>
      <c r="J6" s="50"/>
      <c r="K6" s="51"/>
      <c r="L6" s="51"/>
      <c r="M6" s="50"/>
      <c r="N6" s="50"/>
    </row>
    <row r="7" spans="1:14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1"/>
      <c r="L7" s="51"/>
      <c r="M7" s="50"/>
      <c r="N7" s="50"/>
    </row>
    <row r="8" spans="1:14" ht="15.75" x14ac:dyDescent="0.3">
      <c r="A8" s="53"/>
      <c r="B8" s="53"/>
      <c r="C8" s="53" t="s">
        <v>94</v>
      </c>
      <c r="D8" s="54" t="s">
        <v>95</v>
      </c>
      <c r="E8" s="50" t="s">
        <v>96</v>
      </c>
      <c r="F8" s="50"/>
      <c r="G8" s="50"/>
      <c r="H8" s="50"/>
      <c r="I8" s="50"/>
      <c r="J8" s="50"/>
      <c r="K8" s="51"/>
      <c r="L8" s="51"/>
      <c r="M8" s="50"/>
      <c r="N8" s="50"/>
    </row>
    <row r="9" spans="1:14" ht="15.75" x14ac:dyDescent="0.3">
      <c r="A9" s="50"/>
      <c r="B9" s="50"/>
      <c r="C9" s="50"/>
      <c r="D9" s="54"/>
      <c r="E9" s="50"/>
      <c r="F9" s="50"/>
      <c r="G9" s="50"/>
      <c r="H9" s="50"/>
      <c r="I9" s="50"/>
      <c r="J9" s="50"/>
      <c r="K9" s="51"/>
      <c r="L9" s="51"/>
      <c r="M9" s="50"/>
      <c r="N9" s="50"/>
    </row>
    <row r="10" spans="1:14" ht="15.75" x14ac:dyDescent="0.3">
      <c r="A10" s="50"/>
      <c r="B10" s="50"/>
      <c r="C10" s="50"/>
      <c r="D10" s="54" t="s">
        <v>97</v>
      </c>
      <c r="E10" s="50" t="s">
        <v>98</v>
      </c>
      <c r="F10" s="50"/>
      <c r="G10" s="50"/>
      <c r="H10" s="50"/>
      <c r="I10" s="50"/>
      <c r="J10" s="50"/>
      <c r="K10" s="51"/>
      <c r="L10" s="51"/>
      <c r="M10" s="50"/>
      <c r="N10" s="50"/>
    </row>
    <row r="11" spans="1:14" ht="15.75" x14ac:dyDescent="0.3">
      <c r="A11" s="50"/>
      <c r="B11" s="50"/>
      <c r="C11" s="50"/>
      <c r="D11" s="54"/>
      <c r="E11" s="50"/>
      <c r="F11" s="50"/>
      <c r="G11" s="50"/>
      <c r="H11" s="50"/>
      <c r="I11" s="50"/>
      <c r="J11" s="50"/>
      <c r="K11" s="51"/>
      <c r="L11" s="51"/>
      <c r="M11" s="50"/>
      <c r="N11" s="50"/>
    </row>
    <row r="12" spans="1:14" ht="15.75" x14ac:dyDescent="0.3">
      <c r="A12" s="50"/>
      <c r="B12" s="50"/>
      <c r="C12" s="50"/>
      <c r="D12" s="54" t="s">
        <v>99</v>
      </c>
      <c r="E12" s="50" t="s">
        <v>100</v>
      </c>
      <c r="F12" s="50"/>
      <c r="G12" s="50"/>
      <c r="H12" s="50"/>
      <c r="I12" s="50"/>
      <c r="J12" s="50"/>
      <c r="K12" s="51"/>
      <c r="L12" s="51"/>
      <c r="M12" s="50"/>
      <c r="N12" s="50"/>
    </row>
    <row r="13" spans="1:14" ht="15.75" x14ac:dyDescent="0.3">
      <c r="A13" s="50"/>
      <c r="B13" s="50"/>
      <c r="C13" s="50"/>
      <c r="D13" s="54"/>
      <c r="E13" s="50"/>
      <c r="F13" s="50"/>
      <c r="G13" s="50"/>
      <c r="H13" s="50"/>
      <c r="I13" s="50"/>
      <c r="J13" s="50"/>
      <c r="K13" s="51"/>
      <c r="L13" s="51"/>
      <c r="M13" s="50"/>
      <c r="N13" s="50"/>
    </row>
    <row r="14" spans="1:14" ht="15.75" x14ac:dyDescent="0.3">
      <c r="A14" s="50"/>
      <c r="B14" s="50"/>
      <c r="C14" s="50"/>
      <c r="D14" s="54" t="s">
        <v>101</v>
      </c>
      <c r="E14" s="50" t="s">
        <v>102</v>
      </c>
      <c r="F14" s="50"/>
      <c r="G14" s="50"/>
      <c r="H14" s="50"/>
      <c r="I14" s="50"/>
      <c r="J14" s="50"/>
      <c r="K14" s="51"/>
      <c r="L14" s="51"/>
      <c r="M14" s="50"/>
      <c r="N14" s="50"/>
    </row>
    <row r="15" spans="1:14" ht="15.75" x14ac:dyDescent="0.3">
      <c r="A15" s="50"/>
      <c r="B15" s="50"/>
      <c r="C15" s="50"/>
      <c r="D15" s="50"/>
      <c r="E15" s="50" t="s">
        <v>103</v>
      </c>
      <c r="F15" s="50"/>
      <c r="G15" s="50"/>
      <c r="H15" s="50"/>
      <c r="I15" s="50"/>
      <c r="J15" s="50"/>
      <c r="K15" s="51"/>
      <c r="L15" s="51"/>
      <c r="M15" s="50"/>
      <c r="N15" s="50"/>
    </row>
    <row r="16" spans="1:14" ht="15.75" x14ac:dyDescent="0.3">
      <c r="A16" s="50"/>
      <c r="B16" s="50"/>
      <c r="C16" s="50"/>
      <c r="D16" s="50"/>
      <c r="E16" s="50" t="s">
        <v>104</v>
      </c>
      <c r="F16" s="50"/>
      <c r="G16" s="50"/>
      <c r="H16" s="50"/>
      <c r="I16" s="55"/>
      <c r="J16" s="55"/>
      <c r="K16" s="56"/>
      <c r="L16" s="56"/>
      <c r="M16" s="50"/>
      <c r="N16" s="50"/>
    </row>
    <row r="17" spans="1:36" ht="16.5" thickBot="1" x14ac:dyDescent="0.35">
      <c r="A17" s="57"/>
      <c r="B17" s="57"/>
      <c r="C17" s="57"/>
      <c r="D17" s="57"/>
      <c r="E17" s="57"/>
      <c r="F17" s="57"/>
      <c r="G17" s="57"/>
      <c r="H17" s="57"/>
      <c r="I17" s="58"/>
      <c r="J17" s="58"/>
      <c r="K17" s="59"/>
      <c r="L17" s="56"/>
      <c r="M17" s="50"/>
      <c r="N17" s="50"/>
    </row>
    <row r="18" spans="1:36" x14ac:dyDescent="0.25">
      <c r="A18" s="384" t="s">
        <v>145</v>
      </c>
      <c r="B18" s="384"/>
      <c r="I18" s="25" t="s">
        <v>23</v>
      </c>
      <c r="R18" s="25" t="s">
        <v>24</v>
      </c>
      <c r="AD18" s="25" t="s">
        <v>134</v>
      </c>
    </row>
    <row r="19" spans="1:36" x14ac:dyDescent="0.25">
      <c r="A19" s="381" t="s">
        <v>1149</v>
      </c>
      <c r="B19" s="381"/>
      <c r="C19" s="381"/>
      <c r="D19" s="381"/>
      <c r="E19" s="381"/>
      <c r="F19" s="5"/>
      <c r="G19" s="5"/>
      <c r="I19" s="9" t="s">
        <v>12</v>
      </c>
      <c r="J19" s="20"/>
      <c r="K19" s="8"/>
      <c r="L19" s="8"/>
      <c r="M19" s="8"/>
      <c r="N19" s="8"/>
      <c r="O19" s="8"/>
      <c r="P19" s="8"/>
      <c r="R19" s="27" t="s">
        <v>25</v>
      </c>
      <c r="S19" s="27" t="s">
        <v>26</v>
      </c>
      <c r="T19" s="27" t="s">
        <v>27</v>
      </c>
      <c r="U19" s="27" t="s">
        <v>61</v>
      </c>
      <c r="V19" s="26"/>
      <c r="W19" s="33" t="s">
        <v>25</v>
      </c>
      <c r="X19" s="33" t="s">
        <v>62</v>
      </c>
      <c r="Y19" s="33" t="s">
        <v>60</v>
      </c>
      <c r="Z19" s="33" t="s">
        <v>67</v>
      </c>
      <c r="AA19" s="33" t="s">
        <v>61</v>
      </c>
      <c r="AB19" s="26"/>
      <c r="AD19" s="66" t="s">
        <v>121</v>
      </c>
      <c r="AE19" s="67"/>
      <c r="AF19" s="67"/>
      <c r="AG19" s="67"/>
      <c r="AH19" s="67"/>
      <c r="AI19" s="67"/>
      <c r="AJ19" s="26"/>
    </row>
    <row r="20" spans="1:36" x14ac:dyDescent="0.25">
      <c r="A20" s="5"/>
      <c r="B20" s="5"/>
      <c r="C20" s="5"/>
      <c r="D20" s="5"/>
      <c r="E20" s="5"/>
      <c r="F20" s="5"/>
      <c r="G20" s="5"/>
      <c r="I20" s="8"/>
      <c r="J20" s="20"/>
      <c r="K20" s="8"/>
      <c r="L20" s="8"/>
      <c r="M20" s="10" t="s">
        <v>0</v>
      </c>
      <c r="N20" s="8"/>
      <c r="O20" s="8"/>
      <c r="P20" s="8"/>
      <c r="R20" s="29">
        <v>1</v>
      </c>
      <c r="S20" s="29" t="s">
        <v>29</v>
      </c>
      <c r="T20" s="29" t="s">
        <v>5</v>
      </c>
      <c r="U20" s="30" cm="1">
        <f t="array" ref="U20:U61">VLOOKUP($T$20:$T$61,$Y$20:$AA$25,3,FALSE)</f>
        <v>9500</v>
      </c>
      <c r="V20" s="26"/>
      <c r="W20" s="34">
        <v>1</v>
      </c>
      <c r="X20" s="34" t="s">
        <v>63</v>
      </c>
      <c r="Y20" s="34" t="s">
        <v>31</v>
      </c>
      <c r="Z20" s="34" t="s">
        <v>68</v>
      </c>
      <c r="AA20" s="35">
        <v>8500</v>
      </c>
      <c r="AB20" s="26"/>
      <c r="AD20" s="67"/>
      <c r="AE20" s="67"/>
      <c r="AF20" s="67"/>
      <c r="AG20" s="67"/>
      <c r="AH20" s="67"/>
      <c r="AI20" s="67"/>
      <c r="AJ20" s="26"/>
    </row>
    <row r="21" spans="1:36" ht="15.75" thickBot="1" x14ac:dyDescent="0.3">
      <c r="A21" s="45" t="s">
        <v>83</v>
      </c>
      <c r="B21" s="45" t="s">
        <v>84</v>
      </c>
      <c r="C21" s="44" t="s">
        <v>1141</v>
      </c>
      <c r="D21" s="44" t="s">
        <v>1160</v>
      </c>
      <c r="E21" s="6"/>
      <c r="F21" s="362" t="s">
        <v>1141</v>
      </c>
      <c r="G21" s="362" t="s">
        <v>78</v>
      </c>
      <c r="I21" s="364" t="s">
        <v>13</v>
      </c>
      <c r="J21" s="365" t="s">
        <v>14</v>
      </c>
      <c r="K21" s="366" t="s">
        <v>16</v>
      </c>
      <c r="L21" s="11"/>
      <c r="M21" s="16" t="s">
        <v>14</v>
      </c>
      <c r="N21" s="15" t="s">
        <v>16</v>
      </c>
      <c r="O21" s="15" t="s">
        <v>17</v>
      </c>
      <c r="P21" s="8"/>
      <c r="R21" s="31">
        <v>2</v>
      </c>
      <c r="S21" s="31" t="s">
        <v>30</v>
      </c>
      <c r="T21" s="31" t="s">
        <v>31</v>
      </c>
      <c r="U21" s="32">
        <v>8500</v>
      </c>
      <c r="V21" s="26"/>
      <c r="W21" s="34">
        <v>2</v>
      </c>
      <c r="X21" s="34" t="s">
        <v>63</v>
      </c>
      <c r="Y21" s="34" t="s">
        <v>34</v>
      </c>
      <c r="Z21" s="34" t="s">
        <v>68</v>
      </c>
      <c r="AA21" s="35">
        <v>15000</v>
      </c>
      <c r="AB21" s="26"/>
      <c r="AD21" s="68" t="s">
        <v>122</v>
      </c>
      <c r="AE21" s="68" t="s">
        <v>123</v>
      </c>
      <c r="AF21" s="68" t="s">
        <v>124</v>
      </c>
      <c r="AG21" s="68" t="s">
        <v>125</v>
      </c>
      <c r="AH21" s="68" t="s">
        <v>126</v>
      </c>
      <c r="AI21" s="72" t="s">
        <v>11</v>
      </c>
      <c r="AJ21" s="383" t="s">
        <v>0</v>
      </c>
    </row>
    <row r="22" spans="1:36" x14ac:dyDescent="0.25">
      <c r="A22" s="47">
        <v>1</v>
      </c>
      <c r="B22" s="47" t="s">
        <v>30</v>
      </c>
      <c r="C22" s="46" t="s">
        <v>1142</v>
      </c>
      <c r="D22" s="300" t="str" cm="1">
        <f t="array" ref="D22:D35">VLOOKUP($C$22:$C$35,F22:G30,2,FALSE)</f>
        <v>SAMSUNG</v>
      </c>
      <c r="E22" s="6"/>
      <c r="F22" s="361" t="s">
        <v>1143</v>
      </c>
      <c r="G22" s="361" t="s">
        <v>1146</v>
      </c>
      <c r="I22" s="13" t="s">
        <v>18</v>
      </c>
      <c r="J22" s="20">
        <v>1</v>
      </c>
      <c r="K22" s="296" cm="1">
        <f t="array" ref="K22:K26">VLOOKUP($J$22:$J$26,$M$22:$O$25,2,FALSE)</f>
        <v>10000</v>
      </c>
      <c r="L22" s="8"/>
      <c r="M22" s="16">
        <v>1</v>
      </c>
      <c r="N22" s="22">
        <v>10000</v>
      </c>
      <c r="O22" s="23">
        <v>5000</v>
      </c>
      <c r="P22" s="8"/>
      <c r="R22" s="29">
        <v>3</v>
      </c>
      <c r="S22" s="29" t="s">
        <v>32</v>
      </c>
      <c r="T22" s="29" t="s">
        <v>31</v>
      </c>
      <c r="U22" s="30">
        <v>8500</v>
      </c>
      <c r="V22" s="26"/>
      <c r="W22" s="36">
        <v>3</v>
      </c>
      <c r="X22" s="36" t="s">
        <v>65</v>
      </c>
      <c r="Y22" s="36" t="s">
        <v>5</v>
      </c>
      <c r="Z22" s="34" t="s">
        <v>69</v>
      </c>
      <c r="AA22" s="35">
        <v>9500</v>
      </c>
      <c r="AB22" s="26"/>
      <c r="AD22" s="69" t="s">
        <v>127</v>
      </c>
      <c r="AE22" s="70">
        <v>5000</v>
      </c>
      <c r="AF22" s="70">
        <v>14000</v>
      </c>
      <c r="AG22" s="70">
        <v>14000</v>
      </c>
      <c r="AH22" s="70">
        <v>14000</v>
      </c>
      <c r="AI22" s="76">
        <f>SUM(AE22:AH22)</f>
        <v>47000</v>
      </c>
      <c r="AJ22" s="383"/>
    </row>
    <row r="23" spans="1:36" x14ac:dyDescent="0.25">
      <c r="A23" s="47">
        <v>2</v>
      </c>
      <c r="B23" s="47" t="s">
        <v>46</v>
      </c>
      <c r="C23" s="46" t="s">
        <v>1143</v>
      </c>
      <c r="D23" s="300" t="str">
        <v>NOKIA</v>
      </c>
      <c r="E23" s="6"/>
      <c r="F23" s="361" t="s">
        <v>1142</v>
      </c>
      <c r="G23" s="361" t="s">
        <v>1147</v>
      </c>
      <c r="I23" s="13" t="s">
        <v>19</v>
      </c>
      <c r="J23" s="20">
        <v>3</v>
      </c>
      <c r="K23" s="296">
        <v>5000</v>
      </c>
      <c r="L23" s="8"/>
      <c r="M23" s="16">
        <v>2</v>
      </c>
      <c r="N23" s="22">
        <v>7000</v>
      </c>
      <c r="O23" s="23">
        <v>3000</v>
      </c>
      <c r="P23" s="8"/>
      <c r="R23" s="31">
        <v>4</v>
      </c>
      <c r="S23" s="31" t="s">
        <v>33</v>
      </c>
      <c r="T23" s="31" t="s">
        <v>34</v>
      </c>
      <c r="U23" s="32">
        <v>15000</v>
      </c>
      <c r="V23" s="26"/>
      <c r="W23" s="36">
        <v>4</v>
      </c>
      <c r="X23" s="36" t="s">
        <v>64</v>
      </c>
      <c r="Y23" s="36" t="s">
        <v>7</v>
      </c>
      <c r="Z23" s="34" t="s">
        <v>70</v>
      </c>
      <c r="AA23" s="35">
        <v>13000</v>
      </c>
      <c r="AB23" s="26"/>
      <c r="AD23" s="69" t="s">
        <v>128</v>
      </c>
      <c r="AE23" s="70">
        <v>10500</v>
      </c>
      <c r="AF23" s="70">
        <v>6300</v>
      </c>
      <c r="AG23" s="70">
        <v>6300</v>
      </c>
      <c r="AH23" s="70">
        <v>6300</v>
      </c>
      <c r="AI23" s="76">
        <f t="shared" ref="AI23:AI27" si="0">SUM(AE23:AH23)</f>
        <v>29400</v>
      </c>
      <c r="AJ23" s="383"/>
    </row>
    <row r="24" spans="1:36" x14ac:dyDescent="0.25">
      <c r="A24" s="47">
        <v>3</v>
      </c>
      <c r="B24" s="47" t="s">
        <v>85</v>
      </c>
      <c r="C24" s="46" t="s">
        <v>1142</v>
      </c>
      <c r="D24" s="300" t="str">
        <v>SAMSUNG</v>
      </c>
      <c r="E24" s="6"/>
      <c r="F24" s="360" t="s">
        <v>1145</v>
      </c>
      <c r="G24" s="360" t="s">
        <v>1148</v>
      </c>
      <c r="I24" s="13" t="s">
        <v>20</v>
      </c>
      <c r="J24" s="20">
        <v>2</v>
      </c>
      <c r="K24" s="296">
        <v>7000</v>
      </c>
      <c r="L24" s="8"/>
      <c r="M24" s="16">
        <v>3</v>
      </c>
      <c r="N24" s="22">
        <v>5000</v>
      </c>
      <c r="O24" s="23">
        <v>2000</v>
      </c>
      <c r="P24" s="8"/>
      <c r="R24" s="29">
        <v>5</v>
      </c>
      <c r="S24" s="29" t="s">
        <v>35</v>
      </c>
      <c r="T24" s="29" t="s">
        <v>5</v>
      </c>
      <c r="U24" s="30">
        <v>9500</v>
      </c>
      <c r="V24" s="26"/>
      <c r="W24" s="34">
        <v>5</v>
      </c>
      <c r="X24" s="34" t="s">
        <v>63</v>
      </c>
      <c r="Y24" s="34" t="s">
        <v>4</v>
      </c>
      <c r="Z24" s="34" t="s">
        <v>68</v>
      </c>
      <c r="AA24" s="35">
        <v>16500</v>
      </c>
      <c r="AB24" s="26"/>
      <c r="AD24" s="69" t="s">
        <v>129</v>
      </c>
      <c r="AE24" s="70">
        <v>6500</v>
      </c>
      <c r="AF24" s="70">
        <v>3900</v>
      </c>
      <c r="AG24" s="70">
        <v>3900</v>
      </c>
      <c r="AH24" s="70">
        <v>3900</v>
      </c>
      <c r="AI24" s="76">
        <f t="shared" si="0"/>
        <v>18200</v>
      </c>
      <c r="AJ24" s="383"/>
    </row>
    <row r="25" spans="1:36" x14ac:dyDescent="0.25">
      <c r="A25" s="47">
        <v>4</v>
      </c>
      <c r="B25" s="47" t="s">
        <v>86</v>
      </c>
      <c r="C25" s="46" t="s">
        <v>1143</v>
      </c>
      <c r="D25" s="300" t="str">
        <v>NOKIA</v>
      </c>
      <c r="E25" s="6"/>
      <c r="F25" s="360" t="s">
        <v>1144</v>
      </c>
      <c r="G25" s="360" t="s">
        <v>1154</v>
      </c>
      <c r="I25" s="13" t="s">
        <v>21</v>
      </c>
      <c r="J25" s="20">
        <v>1</v>
      </c>
      <c r="K25" s="296">
        <v>10000</v>
      </c>
      <c r="L25" s="8"/>
      <c r="M25" s="16">
        <v>4</v>
      </c>
      <c r="N25" s="22">
        <v>3000</v>
      </c>
      <c r="O25" s="23">
        <v>1500</v>
      </c>
      <c r="P25" s="8"/>
      <c r="R25" s="31">
        <v>6</v>
      </c>
      <c r="S25" s="31" t="s">
        <v>32</v>
      </c>
      <c r="T25" s="31" t="s">
        <v>34</v>
      </c>
      <c r="U25" s="32">
        <v>15000</v>
      </c>
      <c r="V25" s="26"/>
      <c r="W25" s="34">
        <v>6</v>
      </c>
      <c r="X25" s="34" t="s">
        <v>64</v>
      </c>
      <c r="Y25" s="34" t="s">
        <v>6</v>
      </c>
      <c r="Z25" s="34" t="s">
        <v>70</v>
      </c>
      <c r="AA25" s="35">
        <v>12000</v>
      </c>
      <c r="AB25" s="26"/>
      <c r="AD25" s="69" t="s">
        <v>130</v>
      </c>
      <c r="AE25" s="70">
        <v>81000</v>
      </c>
      <c r="AF25" s="70">
        <v>48500</v>
      </c>
      <c r="AG25" s="70">
        <v>48500</v>
      </c>
      <c r="AH25" s="70">
        <v>48500</v>
      </c>
      <c r="AI25" s="76">
        <f t="shared" si="0"/>
        <v>226500</v>
      </c>
      <c r="AJ25" s="383"/>
    </row>
    <row r="26" spans="1:36" x14ac:dyDescent="0.25">
      <c r="A26" s="47">
        <v>5</v>
      </c>
      <c r="B26" s="47" t="s">
        <v>87</v>
      </c>
      <c r="C26" s="46" t="s">
        <v>1144</v>
      </c>
      <c r="D26" s="300" t="str">
        <v>BLACKBERRY</v>
      </c>
      <c r="E26" s="6"/>
      <c r="F26" s="360" t="s">
        <v>1150</v>
      </c>
      <c r="G26" s="360" t="s">
        <v>1151</v>
      </c>
      <c r="I26" s="13" t="s">
        <v>22</v>
      </c>
      <c r="J26" s="20">
        <v>2</v>
      </c>
      <c r="K26" s="296">
        <v>7000</v>
      </c>
      <c r="L26" s="8"/>
      <c r="M26" s="8"/>
      <c r="N26" s="17"/>
      <c r="O26" s="8"/>
      <c r="P26" s="8"/>
      <c r="R26" s="29">
        <v>7</v>
      </c>
      <c r="S26" s="29" t="s">
        <v>36</v>
      </c>
      <c r="T26" s="29" t="s">
        <v>7</v>
      </c>
      <c r="U26" s="30">
        <v>13000</v>
      </c>
      <c r="V26" s="26"/>
      <c r="W26" s="26"/>
      <c r="X26" s="26"/>
      <c r="Y26" s="26"/>
      <c r="Z26" s="26"/>
      <c r="AA26" s="26"/>
      <c r="AB26" s="26"/>
      <c r="AD26" s="69" t="s">
        <v>131</v>
      </c>
      <c r="AE26" s="70">
        <v>2900</v>
      </c>
      <c r="AF26" s="70">
        <v>1700</v>
      </c>
      <c r="AG26" s="70">
        <v>1700</v>
      </c>
      <c r="AH26" s="70">
        <v>1700</v>
      </c>
      <c r="AI26" s="76">
        <f t="shared" si="0"/>
        <v>8000</v>
      </c>
      <c r="AJ26" s="383"/>
    </row>
    <row r="27" spans="1:36" x14ac:dyDescent="0.25">
      <c r="A27" s="47">
        <v>6</v>
      </c>
      <c r="B27" s="47" t="s">
        <v>88</v>
      </c>
      <c r="C27" s="46" t="s">
        <v>1143</v>
      </c>
      <c r="D27" s="300" t="str">
        <v>NOKIA</v>
      </c>
      <c r="E27" s="6"/>
      <c r="F27" s="360" t="s">
        <v>1152</v>
      </c>
      <c r="G27" s="360" t="s">
        <v>1153</v>
      </c>
      <c r="I27" s="13"/>
      <c r="J27" s="20"/>
      <c r="K27" s="14"/>
      <c r="L27" s="8"/>
      <c r="M27" s="18"/>
      <c r="N27" s="14"/>
      <c r="O27" s="8"/>
      <c r="P27" s="8"/>
      <c r="R27" s="31">
        <v>8</v>
      </c>
      <c r="S27" s="31" t="s">
        <v>37</v>
      </c>
      <c r="T27" s="31" t="s">
        <v>5</v>
      </c>
      <c r="U27" s="32">
        <v>9500</v>
      </c>
      <c r="V27" s="26"/>
      <c r="W27" s="26"/>
      <c r="X27" s="26"/>
      <c r="Y27" s="26"/>
      <c r="Z27" s="26"/>
      <c r="AA27" s="26"/>
      <c r="AB27" s="26"/>
      <c r="AD27" s="73" t="s">
        <v>11</v>
      </c>
      <c r="AE27" s="75">
        <f>SUM(AE22:AE26)</f>
        <v>105900</v>
      </c>
      <c r="AF27" s="75">
        <f t="shared" ref="AF27:AH27" si="1">SUM(AF22:AF26)</f>
        <v>74400</v>
      </c>
      <c r="AG27" s="75">
        <f t="shared" si="1"/>
        <v>74400</v>
      </c>
      <c r="AH27" s="75">
        <f t="shared" si="1"/>
        <v>74400</v>
      </c>
      <c r="AI27" s="76">
        <f t="shared" si="0"/>
        <v>329100</v>
      </c>
      <c r="AJ27" s="383"/>
    </row>
    <row r="28" spans="1:36" x14ac:dyDescent="0.25">
      <c r="A28" s="47">
        <v>7</v>
      </c>
      <c r="B28" s="47" t="s">
        <v>89</v>
      </c>
      <c r="C28" s="46" t="s">
        <v>1145</v>
      </c>
      <c r="D28" s="300" t="str">
        <v>SONY</v>
      </c>
      <c r="E28" s="6"/>
      <c r="F28" s="360" t="s">
        <v>1155</v>
      </c>
      <c r="G28" s="360" t="s">
        <v>1156</v>
      </c>
      <c r="I28" s="8"/>
      <c r="J28" s="20"/>
      <c r="K28" s="8"/>
      <c r="L28" s="8"/>
      <c r="M28" s="8"/>
      <c r="N28" s="8"/>
      <c r="O28" s="8"/>
      <c r="P28" s="8"/>
      <c r="R28" s="29">
        <v>9</v>
      </c>
      <c r="S28" s="29" t="s">
        <v>38</v>
      </c>
      <c r="T28" s="29" t="s">
        <v>34</v>
      </c>
      <c r="U28" s="30">
        <v>15000</v>
      </c>
      <c r="V28" s="26"/>
      <c r="W28" s="26"/>
      <c r="X28" s="26"/>
      <c r="Y28" s="26"/>
      <c r="Z28" s="26"/>
      <c r="AA28" s="26"/>
      <c r="AB28" s="26"/>
      <c r="AD28" s="67"/>
      <c r="AE28" s="67"/>
      <c r="AF28" s="67"/>
      <c r="AG28" s="67"/>
      <c r="AH28" s="67"/>
      <c r="AI28" s="67"/>
      <c r="AJ28" s="67"/>
    </row>
    <row r="29" spans="1:36" x14ac:dyDescent="0.25">
      <c r="A29" s="47">
        <v>8</v>
      </c>
      <c r="B29" s="47" t="s">
        <v>49</v>
      </c>
      <c r="C29" s="46" t="s">
        <v>1145</v>
      </c>
      <c r="D29" s="300" t="str">
        <v>SONY</v>
      </c>
      <c r="E29" s="6"/>
      <c r="F29" s="360" t="s">
        <v>1157</v>
      </c>
      <c r="G29" s="360" t="s">
        <v>1157</v>
      </c>
      <c r="I29" s="8"/>
      <c r="J29" s="20"/>
      <c r="K29" s="8"/>
      <c r="L29" s="8"/>
      <c r="M29" s="8"/>
      <c r="N29" s="8"/>
      <c r="O29" s="8"/>
      <c r="P29" s="8"/>
      <c r="R29" s="31">
        <v>10</v>
      </c>
      <c r="S29" s="31" t="s">
        <v>39</v>
      </c>
      <c r="T29" s="31" t="s">
        <v>4</v>
      </c>
      <c r="U29" s="32">
        <v>16500</v>
      </c>
      <c r="V29" s="26"/>
      <c r="W29" s="26"/>
      <c r="X29" s="26"/>
      <c r="Y29" s="26"/>
      <c r="Z29" s="26"/>
      <c r="AA29" s="26"/>
      <c r="AB29" s="26"/>
      <c r="AD29" s="69" t="s">
        <v>122</v>
      </c>
      <c r="AE29" s="71" t="s">
        <v>127</v>
      </c>
      <c r="AF29" s="67"/>
      <c r="AG29" s="67"/>
      <c r="AH29" s="67"/>
      <c r="AI29" s="67"/>
      <c r="AJ29" s="26"/>
    </row>
    <row r="30" spans="1:36" ht="15" customHeight="1" x14ac:dyDescent="0.25">
      <c r="A30" s="47">
        <v>9</v>
      </c>
      <c r="B30" s="47" t="s">
        <v>37</v>
      </c>
      <c r="C30" s="46" t="s">
        <v>1143</v>
      </c>
      <c r="D30" s="300" t="str">
        <v>NOKIA</v>
      </c>
      <c r="E30" s="6"/>
      <c r="F30" s="360" t="s">
        <v>1158</v>
      </c>
      <c r="G30" s="360" t="s">
        <v>1159</v>
      </c>
      <c r="I30" s="8"/>
      <c r="J30" s="20"/>
      <c r="K30" s="8"/>
      <c r="L30" s="8"/>
      <c r="M30" s="8"/>
      <c r="N30" s="8"/>
      <c r="O30" s="8"/>
      <c r="P30" s="8"/>
      <c r="R30" s="29">
        <v>11</v>
      </c>
      <c r="S30" s="29" t="s">
        <v>40</v>
      </c>
      <c r="T30" s="29" t="s">
        <v>7</v>
      </c>
      <c r="U30" s="30">
        <v>13000</v>
      </c>
      <c r="V30" s="26"/>
      <c r="W30" s="26"/>
      <c r="X30" s="26"/>
      <c r="Y30" s="26"/>
      <c r="Z30" s="26"/>
      <c r="AA30" s="26"/>
      <c r="AB30" s="26"/>
      <c r="AD30" s="69" t="s">
        <v>133</v>
      </c>
      <c r="AE30" s="74">
        <f>VLOOKUP(AD22,$AD$22:$AI$26,6,FALSE)</f>
        <v>47000</v>
      </c>
      <c r="AF30" s="67"/>
      <c r="AG30" s="67"/>
      <c r="AH30" s="67"/>
      <c r="AI30" s="67"/>
      <c r="AJ30" s="26"/>
    </row>
    <row r="31" spans="1:36" x14ac:dyDescent="0.25">
      <c r="A31" s="47">
        <v>10</v>
      </c>
      <c r="B31" s="47" t="s">
        <v>29</v>
      </c>
      <c r="C31" s="46" t="s">
        <v>1145</v>
      </c>
      <c r="D31" s="300" t="str">
        <v>SONY</v>
      </c>
      <c r="E31" s="6"/>
      <c r="F31" s="6"/>
      <c r="G31" s="6"/>
      <c r="R31" s="31">
        <v>12</v>
      </c>
      <c r="S31" s="31" t="s">
        <v>41</v>
      </c>
      <c r="T31" s="31" t="s">
        <v>34</v>
      </c>
      <c r="U31" s="32">
        <v>15000</v>
      </c>
      <c r="V31" s="26"/>
      <c r="W31" s="26"/>
      <c r="X31" s="26"/>
      <c r="Y31" s="26"/>
      <c r="Z31" s="26"/>
      <c r="AA31" s="26"/>
      <c r="AB31" s="26"/>
    </row>
    <row r="32" spans="1:36" x14ac:dyDescent="0.25">
      <c r="A32" s="47">
        <v>11</v>
      </c>
      <c r="B32" s="47" t="s">
        <v>35</v>
      </c>
      <c r="C32" s="46" t="s">
        <v>1144</v>
      </c>
      <c r="D32" s="300" t="str">
        <v>BLACKBERRY</v>
      </c>
      <c r="E32" s="6"/>
      <c r="F32" s="6"/>
      <c r="G32" s="6"/>
      <c r="R32" s="29">
        <v>13</v>
      </c>
      <c r="S32" s="29" t="s">
        <v>41</v>
      </c>
      <c r="T32" s="29" t="s">
        <v>31</v>
      </c>
      <c r="U32" s="30">
        <v>8500</v>
      </c>
      <c r="V32" s="26"/>
      <c r="W32" s="26"/>
      <c r="X32" s="26"/>
      <c r="Y32" s="26"/>
      <c r="Z32" s="26"/>
      <c r="AA32" s="26"/>
      <c r="AB32" s="26"/>
    </row>
    <row r="33" spans="1:28" x14ac:dyDescent="0.25">
      <c r="A33" s="47">
        <v>12</v>
      </c>
      <c r="B33" s="47" t="s">
        <v>53</v>
      </c>
      <c r="C33" s="46" t="s">
        <v>1142</v>
      </c>
      <c r="D33" s="300" t="str">
        <v>SAMSUNG</v>
      </c>
      <c r="E33" s="6"/>
      <c r="F33" s="6"/>
      <c r="G33" s="6"/>
      <c r="R33" s="31">
        <v>14</v>
      </c>
      <c r="S33" s="31" t="s">
        <v>39</v>
      </c>
      <c r="T33" s="31" t="s">
        <v>5</v>
      </c>
      <c r="U33" s="32">
        <v>9500</v>
      </c>
      <c r="V33" s="26"/>
      <c r="W33" s="26"/>
      <c r="X33" s="26"/>
      <c r="Y33" s="26"/>
      <c r="Z33" s="26"/>
      <c r="AA33" s="26"/>
      <c r="AB33" s="26"/>
    </row>
    <row r="34" spans="1:28" ht="17.25" customHeight="1" x14ac:dyDescent="0.25">
      <c r="A34" s="47">
        <v>13</v>
      </c>
      <c r="B34" s="47" t="s">
        <v>39</v>
      </c>
      <c r="C34" s="46" t="s">
        <v>1143</v>
      </c>
      <c r="D34" s="300" t="str">
        <v>NOKIA</v>
      </c>
      <c r="E34" s="4"/>
      <c r="F34" s="4"/>
      <c r="G34" s="4"/>
      <c r="R34" s="29">
        <v>15</v>
      </c>
      <c r="S34" s="29" t="s">
        <v>42</v>
      </c>
      <c r="T34" s="29" t="s">
        <v>5</v>
      </c>
      <c r="U34" s="30">
        <v>9500</v>
      </c>
    </row>
    <row r="35" spans="1:28" x14ac:dyDescent="0.25">
      <c r="A35" s="47">
        <v>14</v>
      </c>
      <c r="B35" s="47" t="s">
        <v>42</v>
      </c>
      <c r="C35" s="46" t="s">
        <v>1144</v>
      </c>
      <c r="D35" s="363" t="str">
        <v>BLACKBERRY</v>
      </c>
      <c r="E35" s="4"/>
      <c r="F35" s="4"/>
      <c r="G35" s="4"/>
      <c r="R35" s="31">
        <v>16</v>
      </c>
      <c r="S35" s="31" t="s">
        <v>43</v>
      </c>
      <c r="T35" s="31" t="s">
        <v>31</v>
      </c>
      <c r="U35" s="32">
        <v>8500</v>
      </c>
    </row>
    <row r="36" spans="1:28" x14ac:dyDescent="0.25">
      <c r="A36" s="4"/>
      <c r="B36" s="4"/>
      <c r="C36" s="4"/>
      <c r="D36" s="4"/>
      <c r="E36" s="4"/>
      <c r="F36" s="4"/>
      <c r="G36" s="4"/>
      <c r="R36" s="29">
        <v>17</v>
      </c>
      <c r="S36" s="29" t="s">
        <v>44</v>
      </c>
      <c r="T36" s="29" t="s">
        <v>7</v>
      </c>
      <c r="U36" s="30">
        <v>13000</v>
      </c>
    </row>
    <row r="37" spans="1:28" x14ac:dyDescent="0.25">
      <c r="A37" s="4"/>
      <c r="B37" s="4"/>
      <c r="C37" s="4"/>
      <c r="D37" s="4"/>
      <c r="E37" s="4"/>
      <c r="F37" s="4"/>
      <c r="G37" s="4"/>
      <c r="R37" s="31">
        <v>18</v>
      </c>
      <c r="S37" s="31" t="s">
        <v>45</v>
      </c>
      <c r="T37" s="31" t="s">
        <v>34</v>
      </c>
      <c r="U37" s="32">
        <v>15000</v>
      </c>
    </row>
    <row r="38" spans="1:28" x14ac:dyDescent="0.25">
      <c r="R38" s="29">
        <v>19</v>
      </c>
      <c r="S38" s="29" t="s">
        <v>46</v>
      </c>
      <c r="T38" s="29" t="s">
        <v>31</v>
      </c>
      <c r="U38" s="30">
        <v>8500</v>
      </c>
    </row>
    <row r="39" spans="1:28" x14ac:dyDescent="0.25">
      <c r="R39" s="31">
        <v>20</v>
      </c>
      <c r="S39" s="31" t="s">
        <v>47</v>
      </c>
      <c r="T39" s="31" t="s">
        <v>4</v>
      </c>
      <c r="U39" s="32">
        <v>16500</v>
      </c>
    </row>
    <row r="40" spans="1:28" x14ac:dyDescent="0.25">
      <c r="R40" s="29">
        <v>21</v>
      </c>
      <c r="S40" s="29" t="s">
        <v>47</v>
      </c>
      <c r="T40" s="29" t="s">
        <v>31</v>
      </c>
      <c r="U40" s="30">
        <v>8500</v>
      </c>
    </row>
    <row r="41" spans="1:28" x14ac:dyDescent="0.25">
      <c r="R41" s="31">
        <v>22</v>
      </c>
      <c r="S41" s="31" t="s">
        <v>48</v>
      </c>
      <c r="T41" s="31" t="s">
        <v>6</v>
      </c>
      <c r="U41" s="32">
        <v>12000</v>
      </c>
    </row>
    <row r="42" spans="1:28" x14ac:dyDescent="0.25">
      <c r="R42" s="29">
        <v>23</v>
      </c>
      <c r="S42" s="29" t="s">
        <v>49</v>
      </c>
      <c r="T42" s="29" t="s">
        <v>4</v>
      </c>
      <c r="U42" s="30">
        <v>16500</v>
      </c>
    </row>
    <row r="43" spans="1:28" x14ac:dyDescent="0.25">
      <c r="R43" s="31">
        <v>24</v>
      </c>
      <c r="S43" s="31" t="s">
        <v>50</v>
      </c>
      <c r="T43" s="31" t="s">
        <v>34</v>
      </c>
      <c r="U43" s="32">
        <v>15000</v>
      </c>
    </row>
    <row r="44" spans="1:28" x14ac:dyDescent="0.25">
      <c r="R44" s="29">
        <v>25</v>
      </c>
      <c r="S44" s="29" t="s">
        <v>51</v>
      </c>
      <c r="T44" s="29" t="s">
        <v>7</v>
      </c>
      <c r="U44" s="30">
        <v>13000</v>
      </c>
    </row>
    <row r="45" spans="1:28" x14ac:dyDescent="0.25">
      <c r="R45" s="31">
        <v>26</v>
      </c>
      <c r="S45" s="31" t="s">
        <v>52</v>
      </c>
      <c r="T45" s="31" t="s">
        <v>4</v>
      </c>
      <c r="U45" s="32">
        <v>16500</v>
      </c>
    </row>
    <row r="46" spans="1:28" x14ac:dyDescent="0.25">
      <c r="R46" s="29">
        <v>27</v>
      </c>
      <c r="S46" s="29" t="s">
        <v>53</v>
      </c>
      <c r="T46" s="29" t="s">
        <v>4</v>
      </c>
      <c r="U46" s="30">
        <v>16500</v>
      </c>
    </row>
    <row r="47" spans="1:28" x14ac:dyDescent="0.25">
      <c r="A47" s="4"/>
      <c r="B47" s="4"/>
      <c r="C47" s="4"/>
      <c r="D47" s="4"/>
      <c r="E47" s="4"/>
      <c r="F47" s="4"/>
      <c r="G47" s="4"/>
      <c r="R47" s="31">
        <v>28</v>
      </c>
      <c r="S47" s="31" t="s">
        <v>54</v>
      </c>
      <c r="T47" s="31" t="s">
        <v>7</v>
      </c>
      <c r="U47" s="32">
        <v>13000</v>
      </c>
    </row>
    <row r="48" spans="1:28" x14ac:dyDescent="0.25">
      <c r="A48" s="4"/>
      <c r="B48" s="4"/>
      <c r="C48" s="4"/>
      <c r="D48" s="4"/>
      <c r="E48" s="4"/>
      <c r="F48" s="4"/>
      <c r="G48" s="4"/>
      <c r="R48" s="29">
        <v>29</v>
      </c>
      <c r="S48" s="29" t="s">
        <v>33</v>
      </c>
      <c r="T48" s="29" t="s">
        <v>5</v>
      </c>
      <c r="U48" s="30">
        <v>9500</v>
      </c>
    </row>
    <row r="49" spans="1:21" x14ac:dyDescent="0.25">
      <c r="A49" s="4"/>
      <c r="B49" s="4"/>
      <c r="C49" s="4"/>
      <c r="D49" s="4"/>
      <c r="E49" s="4"/>
      <c r="F49" s="4"/>
      <c r="G49" s="4"/>
      <c r="R49" s="31">
        <v>30</v>
      </c>
      <c r="S49" s="31" t="s">
        <v>48</v>
      </c>
      <c r="T49" s="31" t="s">
        <v>5</v>
      </c>
      <c r="U49" s="32">
        <v>9500</v>
      </c>
    </row>
    <row r="50" spans="1:21" x14ac:dyDescent="0.25">
      <c r="R50" s="29">
        <v>31</v>
      </c>
      <c r="S50" s="29" t="s">
        <v>55</v>
      </c>
      <c r="T50" s="29" t="s">
        <v>31</v>
      </c>
      <c r="U50" s="30">
        <v>8500</v>
      </c>
    </row>
    <row r="51" spans="1:21" x14ac:dyDescent="0.25">
      <c r="R51" s="31">
        <v>32</v>
      </c>
      <c r="S51" s="31" t="s">
        <v>32</v>
      </c>
      <c r="T51" s="31" t="s">
        <v>4</v>
      </c>
      <c r="U51" s="32">
        <v>16500</v>
      </c>
    </row>
    <row r="52" spans="1:21" x14ac:dyDescent="0.25">
      <c r="R52" s="29">
        <v>33</v>
      </c>
      <c r="S52" s="29" t="s">
        <v>56</v>
      </c>
      <c r="T52" s="29" t="s">
        <v>31</v>
      </c>
      <c r="U52" s="30">
        <v>8500</v>
      </c>
    </row>
    <row r="53" spans="1:21" x14ac:dyDescent="0.25">
      <c r="R53" s="31">
        <v>34</v>
      </c>
      <c r="S53" s="31" t="s">
        <v>57</v>
      </c>
      <c r="T53" s="31" t="s">
        <v>34</v>
      </c>
      <c r="U53" s="32">
        <v>15000</v>
      </c>
    </row>
    <row r="54" spans="1:21" x14ac:dyDescent="0.25">
      <c r="R54" s="29">
        <v>35</v>
      </c>
      <c r="S54" s="29" t="s">
        <v>45</v>
      </c>
      <c r="T54" s="29" t="s">
        <v>31</v>
      </c>
      <c r="U54" s="30">
        <v>8500</v>
      </c>
    </row>
    <row r="55" spans="1:21" x14ac:dyDescent="0.25">
      <c r="R55" s="31">
        <v>36</v>
      </c>
      <c r="S55" s="31" t="s">
        <v>58</v>
      </c>
      <c r="T55" s="31" t="s">
        <v>34</v>
      </c>
      <c r="U55" s="32">
        <v>15000</v>
      </c>
    </row>
    <row r="56" spans="1:21" x14ac:dyDescent="0.25">
      <c r="R56" s="29">
        <v>37</v>
      </c>
      <c r="S56" s="29" t="s">
        <v>52</v>
      </c>
      <c r="T56" s="29" t="s">
        <v>31</v>
      </c>
      <c r="U56" s="30">
        <v>8500</v>
      </c>
    </row>
    <row r="57" spans="1:21" x14ac:dyDescent="0.25">
      <c r="R57" s="31">
        <v>38</v>
      </c>
      <c r="S57" s="31" t="s">
        <v>50</v>
      </c>
      <c r="T57" s="31" t="s">
        <v>31</v>
      </c>
      <c r="U57" s="32">
        <v>8500</v>
      </c>
    </row>
    <row r="58" spans="1:21" x14ac:dyDescent="0.25">
      <c r="R58" s="29">
        <v>39</v>
      </c>
      <c r="S58" s="29" t="s">
        <v>45</v>
      </c>
      <c r="T58" s="29" t="s">
        <v>6</v>
      </c>
      <c r="U58" s="30">
        <v>12000</v>
      </c>
    </row>
    <row r="59" spans="1:21" x14ac:dyDescent="0.25">
      <c r="R59" s="31">
        <v>40</v>
      </c>
      <c r="S59" s="31" t="s">
        <v>59</v>
      </c>
      <c r="T59" s="31" t="s">
        <v>7</v>
      </c>
      <c r="U59" s="32">
        <v>13000</v>
      </c>
    </row>
    <row r="60" spans="1:21" x14ac:dyDescent="0.25">
      <c r="R60" s="29">
        <v>41</v>
      </c>
      <c r="S60" s="29" t="s">
        <v>41</v>
      </c>
      <c r="T60" s="29" t="s">
        <v>6</v>
      </c>
      <c r="U60" s="30">
        <v>12000</v>
      </c>
    </row>
    <row r="61" spans="1:21" x14ac:dyDescent="0.25">
      <c r="R61" s="31">
        <v>42</v>
      </c>
      <c r="S61" s="31" t="s">
        <v>29</v>
      </c>
      <c r="T61" s="31" t="s">
        <v>4</v>
      </c>
      <c r="U61" s="32">
        <v>16500</v>
      </c>
    </row>
  </sheetData>
  <mergeCells count="4">
    <mergeCell ref="A19:E19"/>
    <mergeCell ref="C1:K1"/>
    <mergeCell ref="AJ21:AJ27"/>
    <mergeCell ref="A18:B18"/>
  </mergeCells>
  <dataValidations count="1">
    <dataValidation type="list" allowBlank="1" showInputMessage="1" showErrorMessage="1" sqref="AE29" xr:uid="{00000000-0002-0000-0000-000000000000}">
      <formula1>$AD$22:$AD$26</formula1>
    </dataValidation>
  </dataValidation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topLeftCell="A20" zoomScale="101" zoomScaleNormal="100" workbookViewId="0">
      <selection activeCell="M39" sqref="M39"/>
    </sheetView>
  </sheetViews>
  <sheetFormatPr defaultRowHeight="15" x14ac:dyDescent="0.25"/>
  <cols>
    <col min="1" max="1" width="11.5703125" customWidth="1"/>
    <col min="4" max="4" width="14.7109375" customWidth="1"/>
    <col min="5" max="5" width="13.42578125" customWidth="1"/>
    <col min="7" max="7" width="11.5703125" customWidth="1"/>
    <col min="8" max="8" width="13" customWidth="1"/>
    <col min="9" max="9" width="10.140625" bestFit="1" customWidth="1"/>
    <col min="10" max="10" width="12.28515625" customWidth="1"/>
    <col min="11" max="11" width="11.140625" customWidth="1"/>
    <col min="16" max="16" width="10.42578125" customWidth="1"/>
    <col min="17" max="17" width="11.7109375" customWidth="1"/>
    <col min="21" max="21" width="10.140625" bestFit="1" customWidth="1"/>
  </cols>
  <sheetData>
    <row r="1" spans="1:14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8.75" x14ac:dyDescent="0.3">
      <c r="A2" s="50"/>
      <c r="B2" s="50"/>
      <c r="C2" s="382" t="s">
        <v>90</v>
      </c>
      <c r="D2" s="382"/>
      <c r="E2" s="382"/>
      <c r="F2" s="382"/>
      <c r="G2" s="382"/>
      <c r="H2" s="382"/>
      <c r="I2" s="382"/>
      <c r="J2" s="382"/>
      <c r="K2" s="382"/>
      <c r="L2" s="49"/>
      <c r="M2" s="50"/>
      <c r="N2" s="50"/>
    </row>
    <row r="3" spans="1:14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1"/>
      <c r="L3" s="51"/>
      <c r="M3" s="50"/>
      <c r="N3" s="50"/>
    </row>
    <row r="4" spans="1:14" x14ac:dyDescent="0.25">
      <c r="A4" s="50"/>
      <c r="B4" s="50"/>
      <c r="C4" s="50" t="s">
        <v>91</v>
      </c>
      <c r="D4" s="50"/>
      <c r="E4" s="50"/>
      <c r="F4" s="50"/>
      <c r="G4" s="50"/>
      <c r="H4" s="50"/>
      <c r="I4" s="50"/>
      <c r="J4" s="50"/>
      <c r="K4" s="51"/>
      <c r="L4" s="51"/>
      <c r="M4" s="50"/>
      <c r="N4" s="50"/>
    </row>
    <row r="5" spans="1:14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1"/>
      <c r="L5" s="51"/>
      <c r="M5" s="50"/>
      <c r="N5" s="50"/>
    </row>
    <row r="6" spans="1:14" x14ac:dyDescent="0.25">
      <c r="A6" s="50"/>
      <c r="B6" s="50"/>
      <c r="C6" s="50" t="s">
        <v>92</v>
      </c>
      <c r="D6" s="50"/>
      <c r="E6" s="50"/>
      <c r="F6" s="50"/>
      <c r="G6" s="50"/>
      <c r="H6" s="50"/>
      <c r="I6" s="50"/>
      <c r="J6" s="50"/>
      <c r="K6" s="51"/>
      <c r="L6" s="51"/>
      <c r="M6" s="50"/>
      <c r="N6" s="50"/>
    </row>
    <row r="7" spans="1:14" x14ac:dyDescent="0.25">
      <c r="A7" s="50"/>
      <c r="B7" s="50"/>
      <c r="C7" s="50"/>
      <c r="D7" s="52" t="s">
        <v>93</v>
      </c>
      <c r="E7" s="50"/>
      <c r="F7" s="50"/>
      <c r="G7" s="50"/>
      <c r="H7" s="50"/>
      <c r="I7" s="50"/>
      <c r="J7" s="50"/>
      <c r="K7" s="51"/>
      <c r="L7" s="51"/>
      <c r="M7" s="50"/>
      <c r="N7" s="50"/>
    </row>
    <row r="8" spans="1:14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1"/>
      <c r="L8" s="51"/>
      <c r="M8" s="50"/>
      <c r="N8" s="50"/>
    </row>
    <row r="9" spans="1:14" ht="15.75" x14ac:dyDescent="0.3">
      <c r="A9" s="50"/>
      <c r="B9" s="50"/>
      <c r="C9" s="53" t="s">
        <v>94</v>
      </c>
      <c r="D9" s="54" t="s">
        <v>95</v>
      </c>
      <c r="E9" s="50" t="s">
        <v>96</v>
      </c>
      <c r="F9" s="50"/>
      <c r="G9" s="50"/>
      <c r="H9" s="50"/>
      <c r="I9" s="50"/>
      <c r="J9" s="50"/>
      <c r="K9" s="51"/>
      <c r="L9" s="51"/>
      <c r="M9" s="50"/>
      <c r="N9" s="50"/>
    </row>
    <row r="10" spans="1:14" ht="15.75" x14ac:dyDescent="0.3">
      <c r="A10" s="50"/>
      <c r="B10" s="50"/>
      <c r="C10" s="50"/>
      <c r="D10" s="54"/>
      <c r="E10" s="50"/>
      <c r="F10" s="50"/>
      <c r="G10" s="50"/>
      <c r="H10" s="50"/>
      <c r="I10" s="50"/>
      <c r="J10" s="50"/>
      <c r="K10" s="51"/>
      <c r="L10" s="51"/>
      <c r="M10" s="50"/>
      <c r="N10" s="50"/>
    </row>
    <row r="11" spans="1:14" ht="15.75" x14ac:dyDescent="0.3">
      <c r="A11" s="50"/>
      <c r="B11" s="50"/>
      <c r="C11" s="50"/>
      <c r="D11" s="54" t="s">
        <v>97</v>
      </c>
      <c r="E11" s="50" t="s">
        <v>98</v>
      </c>
      <c r="F11" s="50"/>
      <c r="G11" s="50"/>
      <c r="H11" s="50"/>
      <c r="I11" s="50"/>
      <c r="J11" s="50"/>
      <c r="K11" s="51"/>
      <c r="L11" s="51"/>
      <c r="M11" s="50"/>
      <c r="N11" s="50"/>
    </row>
    <row r="12" spans="1:14" ht="15.75" x14ac:dyDescent="0.3">
      <c r="A12" s="50"/>
      <c r="B12" s="50"/>
      <c r="C12" s="50"/>
      <c r="D12" s="54"/>
      <c r="E12" s="50"/>
      <c r="F12" s="50"/>
      <c r="G12" s="50"/>
      <c r="H12" s="50"/>
      <c r="I12" s="50"/>
      <c r="J12" s="50"/>
      <c r="K12" s="51"/>
      <c r="L12" s="51"/>
      <c r="M12" s="50"/>
      <c r="N12" s="50"/>
    </row>
    <row r="13" spans="1:14" ht="15.75" x14ac:dyDescent="0.3">
      <c r="A13" s="50"/>
      <c r="B13" s="50"/>
      <c r="C13" s="50"/>
      <c r="D13" s="54" t="s">
        <v>99</v>
      </c>
      <c r="E13" s="50" t="s">
        <v>100</v>
      </c>
      <c r="F13" s="50"/>
      <c r="G13" s="50"/>
      <c r="H13" s="50"/>
      <c r="I13" s="50"/>
      <c r="J13" s="50"/>
      <c r="K13" s="51"/>
      <c r="L13" s="51"/>
      <c r="M13" s="50"/>
      <c r="N13" s="50"/>
    </row>
    <row r="14" spans="1:14" ht="15.75" x14ac:dyDescent="0.3">
      <c r="A14" s="50"/>
      <c r="B14" s="50"/>
      <c r="C14" s="50"/>
      <c r="D14" s="54"/>
      <c r="E14" s="50"/>
      <c r="F14" s="50"/>
      <c r="G14" s="50"/>
      <c r="H14" s="50"/>
      <c r="I14" s="50"/>
      <c r="J14" s="50"/>
      <c r="K14" s="51"/>
      <c r="L14" s="51"/>
      <c r="M14" s="50"/>
      <c r="N14" s="50"/>
    </row>
    <row r="15" spans="1:14" ht="15.75" x14ac:dyDescent="0.3">
      <c r="A15" s="50"/>
      <c r="B15" s="50"/>
      <c r="C15" s="50"/>
      <c r="D15" s="54" t="s">
        <v>101</v>
      </c>
      <c r="E15" s="50" t="s">
        <v>102</v>
      </c>
      <c r="F15" s="50"/>
      <c r="G15" s="50"/>
      <c r="H15" s="50"/>
      <c r="I15" s="50"/>
      <c r="J15" s="50"/>
      <c r="K15" s="51"/>
      <c r="L15" s="51"/>
      <c r="M15" s="50"/>
      <c r="N15" s="50"/>
    </row>
    <row r="16" spans="1:14" ht="15.75" x14ac:dyDescent="0.3">
      <c r="A16" s="50"/>
      <c r="B16" s="50"/>
      <c r="C16" s="50"/>
      <c r="D16" s="50"/>
      <c r="E16" s="50" t="s">
        <v>103</v>
      </c>
      <c r="F16" s="50"/>
      <c r="G16" s="50"/>
      <c r="H16" s="50"/>
      <c r="I16" s="50"/>
      <c r="J16" s="50"/>
      <c r="K16" s="51"/>
      <c r="L16" s="51"/>
      <c r="M16" s="50"/>
      <c r="N16" s="50"/>
    </row>
    <row r="17" spans="1:24" ht="15.75" x14ac:dyDescent="0.3">
      <c r="A17" s="50"/>
      <c r="B17" s="50"/>
      <c r="C17" s="50"/>
      <c r="D17" s="50"/>
      <c r="E17" s="50" t="s">
        <v>104</v>
      </c>
      <c r="F17" s="50"/>
      <c r="G17" s="50"/>
      <c r="H17" s="50"/>
      <c r="I17" s="55"/>
      <c r="J17" s="55"/>
      <c r="K17" s="56"/>
      <c r="L17" s="56"/>
      <c r="M17" s="50"/>
      <c r="N17" s="50"/>
    </row>
    <row r="18" spans="1:24" ht="16.5" thickBot="1" x14ac:dyDescent="0.35">
      <c r="A18" s="50"/>
      <c r="B18" s="50"/>
      <c r="C18" s="57"/>
      <c r="D18" s="57"/>
      <c r="E18" s="57"/>
      <c r="F18" s="57"/>
      <c r="G18" s="57"/>
      <c r="H18" s="57"/>
      <c r="I18" s="58"/>
      <c r="J18" s="58"/>
      <c r="K18" s="59"/>
      <c r="L18" s="56"/>
      <c r="M18" s="50"/>
      <c r="N18" s="50"/>
    </row>
    <row r="21" spans="1:24" ht="18.75" x14ac:dyDescent="0.3">
      <c r="A21" s="37" t="s">
        <v>71</v>
      </c>
      <c r="B21" s="2"/>
      <c r="C21" s="2"/>
      <c r="D21" s="2"/>
      <c r="E21" s="2"/>
      <c r="G21" s="25" t="s">
        <v>107</v>
      </c>
      <c r="P21" s="25" t="s">
        <v>120</v>
      </c>
    </row>
    <row r="22" spans="1:24" x14ac:dyDescent="0.25">
      <c r="A22" s="381" t="s">
        <v>72</v>
      </c>
      <c r="B22" s="381"/>
      <c r="C22" s="381"/>
      <c r="D22" s="381"/>
      <c r="E22" s="381"/>
      <c r="G22" s="9" t="s">
        <v>12</v>
      </c>
      <c r="H22" s="20"/>
      <c r="I22" s="8"/>
      <c r="J22" s="8"/>
      <c r="K22" s="8"/>
      <c r="L22" s="8"/>
      <c r="M22" s="8"/>
      <c r="N22" s="24"/>
      <c r="P22" s="66" t="s">
        <v>121</v>
      </c>
      <c r="Q22" s="67"/>
      <c r="R22" s="67"/>
      <c r="S22" s="67"/>
      <c r="T22" s="67"/>
      <c r="U22" s="67"/>
      <c r="V22" s="26"/>
      <c r="W22" s="26"/>
      <c r="X22" s="26"/>
    </row>
    <row r="23" spans="1:24" x14ac:dyDescent="0.25">
      <c r="A23" s="38"/>
      <c r="B23" s="38"/>
      <c r="C23" s="39"/>
      <c r="D23" s="39"/>
      <c r="E23" s="39"/>
      <c r="G23" s="8"/>
      <c r="H23" s="20"/>
      <c r="I23" s="8"/>
      <c r="J23" s="8"/>
      <c r="K23" s="8"/>
      <c r="L23" s="8"/>
      <c r="M23" s="8"/>
      <c r="N23" s="24"/>
      <c r="P23" s="67"/>
      <c r="Q23" s="67"/>
      <c r="R23" s="67"/>
      <c r="S23" s="67"/>
      <c r="T23" s="67"/>
      <c r="U23" s="67"/>
      <c r="V23" s="26"/>
      <c r="W23" s="26"/>
      <c r="X23" s="26"/>
    </row>
    <row r="24" spans="1:24" ht="19.5" customHeight="1" thickBot="1" x14ac:dyDescent="0.3">
      <c r="A24" s="40" t="s">
        <v>73</v>
      </c>
      <c r="B24" s="41" t="s">
        <v>74</v>
      </c>
      <c r="C24" s="41" t="s">
        <v>75</v>
      </c>
      <c r="D24" s="42" t="s">
        <v>76</v>
      </c>
      <c r="E24" s="42" t="s">
        <v>77</v>
      </c>
      <c r="G24" s="11" t="s">
        <v>13</v>
      </c>
      <c r="H24" s="21" t="s">
        <v>14</v>
      </c>
      <c r="I24" s="12" t="s">
        <v>15</v>
      </c>
      <c r="J24" s="11"/>
      <c r="K24" s="8"/>
      <c r="L24" s="8"/>
      <c r="M24" s="8"/>
      <c r="N24" s="24"/>
      <c r="P24" s="68" t="s">
        <v>122</v>
      </c>
      <c r="Q24" s="68" t="s">
        <v>123</v>
      </c>
      <c r="R24" s="68" t="s">
        <v>124</v>
      </c>
      <c r="S24" s="68" t="s">
        <v>125</v>
      </c>
      <c r="T24" s="68" t="s">
        <v>126</v>
      </c>
      <c r="U24" s="72" t="s">
        <v>11</v>
      </c>
      <c r="V24" s="383" t="s">
        <v>0</v>
      </c>
      <c r="W24" s="26"/>
      <c r="X24" s="26"/>
    </row>
    <row r="25" spans="1:24" ht="18" customHeight="1" x14ac:dyDescent="0.25">
      <c r="A25" s="40" t="s">
        <v>78</v>
      </c>
      <c r="B25" s="41" t="s">
        <v>79</v>
      </c>
      <c r="C25" s="41" t="s">
        <v>80</v>
      </c>
      <c r="D25" s="42" t="s">
        <v>81</v>
      </c>
      <c r="E25" s="42" t="s">
        <v>82</v>
      </c>
      <c r="G25" s="13" t="s">
        <v>18</v>
      </c>
      <c r="H25" s="20">
        <v>1</v>
      </c>
      <c r="I25" s="296" cm="1">
        <f t="array" ref="I25:I29">HLOOKUP($H$25:$H$29,$H$33:$K$35,2,FALSE)</f>
        <v>10000</v>
      </c>
      <c r="J25" s="8"/>
      <c r="K25" s="8"/>
      <c r="L25" s="8"/>
      <c r="M25" s="8"/>
      <c r="N25" s="24"/>
      <c r="P25" s="69" t="s">
        <v>127</v>
      </c>
      <c r="Q25" s="70">
        <v>23400</v>
      </c>
      <c r="R25" s="70">
        <v>14000</v>
      </c>
      <c r="S25" s="70">
        <v>14000</v>
      </c>
      <c r="T25" s="70">
        <v>14000</v>
      </c>
      <c r="U25" s="76">
        <f>SUM(Q25:T25)</f>
        <v>65400</v>
      </c>
      <c r="V25" s="383"/>
      <c r="W25" s="26"/>
      <c r="X25" s="26"/>
    </row>
    <row r="26" spans="1:24" x14ac:dyDescent="0.25">
      <c r="A26" s="297"/>
      <c r="B26" s="298"/>
      <c r="C26" s="298"/>
      <c r="D26" s="298"/>
      <c r="E26" s="298"/>
      <c r="G26" s="13" t="s">
        <v>19</v>
      </c>
      <c r="H26" s="20">
        <v>3</v>
      </c>
      <c r="I26" s="296">
        <v>5000</v>
      </c>
      <c r="J26" s="8"/>
      <c r="K26" s="8"/>
      <c r="L26" s="8"/>
      <c r="M26" s="8"/>
      <c r="N26" s="24"/>
      <c r="P26" s="69" t="s">
        <v>128</v>
      </c>
      <c r="Q26" s="70">
        <v>10500</v>
      </c>
      <c r="R26" s="70">
        <v>6300</v>
      </c>
      <c r="S26" s="70">
        <v>6300</v>
      </c>
      <c r="T26" s="70">
        <v>6300</v>
      </c>
      <c r="U26" s="76">
        <f t="shared" ref="U26:U30" si="0">SUM(Q26:T26)</f>
        <v>29400</v>
      </c>
      <c r="V26" s="383"/>
      <c r="W26" s="26"/>
      <c r="X26" s="26"/>
    </row>
    <row r="27" spans="1:24" x14ac:dyDescent="0.25">
      <c r="A27" s="44" t="s">
        <v>83</v>
      </c>
      <c r="B27" s="45" t="s">
        <v>84</v>
      </c>
      <c r="C27" s="44" t="s">
        <v>73</v>
      </c>
      <c r="D27" s="44" t="s">
        <v>78</v>
      </c>
      <c r="E27" s="298"/>
      <c r="G27" s="13" t="s">
        <v>20</v>
      </c>
      <c r="H27" s="20">
        <v>2</v>
      </c>
      <c r="I27" s="296">
        <v>7000</v>
      </c>
      <c r="J27" s="8"/>
      <c r="K27" s="8"/>
      <c r="L27" s="8"/>
      <c r="M27" s="8"/>
      <c r="N27" s="24"/>
      <c r="P27" s="69" t="s">
        <v>129</v>
      </c>
      <c r="Q27" s="70">
        <v>6500</v>
      </c>
      <c r="R27" s="70">
        <v>3900</v>
      </c>
      <c r="S27" s="70">
        <v>3900</v>
      </c>
      <c r="T27" s="70">
        <v>3900</v>
      </c>
      <c r="U27" s="76">
        <f t="shared" si="0"/>
        <v>18200</v>
      </c>
      <c r="V27" s="383"/>
      <c r="W27" s="26"/>
      <c r="X27" s="26"/>
    </row>
    <row r="28" spans="1:24" x14ac:dyDescent="0.25">
      <c r="A28" s="46">
        <v>1</v>
      </c>
      <c r="B28" s="47" t="s">
        <v>30</v>
      </c>
      <c r="C28" s="46" t="s">
        <v>77</v>
      </c>
      <c r="D28" s="300" t="str" cm="1">
        <f t="array" ref="D28:D41">HLOOKUP($C$28:$C$41,$B$24:$E$25,2,FALSE)</f>
        <v>Menikah</v>
      </c>
      <c r="E28" s="299"/>
      <c r="G28" s="13" t="s">
        <v>21</v>
      </c>
      <c r="H28" s="20">
        <v>1</v>
      </c>
      <c r="I28" s="296">
        <v>10000</v>
      </c>
      <c r="J28" s="8"/>
      <c r="K28" s="8"/>
      <c r="L28" s="8"/>
      <c r="M28" s="8"/>
      <c r="N28" s="24"/>
      <c r="P28" s="69" t="s">
        <v>130</v>
      </c>
      <c r="Q28" s="70">
        <v>81000</v>
      </c>
      <c r="R28" s="70">
        <v>48500</v>
      </c>
      <c r="S28" s="70">
        <v>48500</v>
      </c>
      <c r="T28" s="70">
        <v>48500</v>
      </c>
      <c r="U28" s="76">
        <f>SUM(Q28:T28)</f>
        <v>226500</v>
      </c>
      <c r="V28" s="383"/>
      <c r="W28" s="26"/>
      <c r="X28" s="26"/>
    </row>
    <row r="29" spans="1:24" x14ac:dyDescent="0.25">
      <c r="A29" s="46">
        <v>2</v>
      </c>
      <c r="B29" s="47" t="s">
        <v>46</v>
      </c>
      <c r="C29" s="46" t="s">
        <v>77</v>
      </c>
      <c r="D29" s="300" t="str">
        <v>Menikah</v>
      </c>
      <c r="E29" s="298"/>
      <c r="G29" s="13" t="s">
        <v>22</v>
      </c>
      <c r="H29" s="20">
        <v>2</v>
      </c>
      <c r="I29" s="296">
        <v>7000</v>
      </c>
      <c r="J29" s="8"/>
      <c r="K29" s="8"/>
      <c r="L29" s="8"/>
      <c r="M29" s="8"/>
      <c r="N29" s="24"/>
      <c r="P29" s="69" t="s">
        <v>131</v>
      </c>
      <c r="Q29" s="70">
        <v>2900</v>
      </c>
      <c r="R29" s="70">
        <v>1700</v>
      </c>
      <c r="S29" s="70">
        <v>1700</v>
      </c>
      <c r="T29" s="70">
        <v>1700</v>
      </c>
      <c r="U29" s="76">
        <f t="shared" si="0"/>
        <v>8000</v>
      </c>
      <c r="V29" s="383"/>
      <c r="W29" s="26"/>
      <c r="X29" s="26"/>
    </row>
    <row r="30" spans="1:24" x14ac:dyDescent="0.25">
      <c r="A30" s="46">
        <v>3</v>
      </c>
      <c r="B30" s="47" t="s">
        <v>85</v>
      </c>
      <c r="C30" s="46" t="s">
        <v>77</v>
      </c>
      <c r="D30" s="300" t="str">
        <v>Menikah</v>
      </c>
      <c r="E30" s="298"/>
      <c r="G30" s="13"/>
      <c r="H30" s="20"/>
      <c r="I30" s="295"/>
      <c r="J30" s="8"/>
      <c r="K30" s="18"/>
      <c r="L30" s="14"/>
      <c r="M30" s="8"/>
      <c r="N30" s="24"/>
      <c r="P30" s="73" t="s">
        <v>11</v>
      </c>
      <c r="Q30" s="75">
        <f>SUM(Q25:Q29)</f>
        <v>124300</v>
      </c>
      <c r="R30" s="75">
        <f t="shared" ref="R30:T30" si="1">SUM(R25:R29)</f>
        <v>74400</v>
      </c>
      <c r="S30" s="75">
        <f t="shared" si="1"/>
        <v>74400</v>
      </c>
      <c r="T30" s="75">
        <f t="shared" si="1"/>
        <v>74400</v>
      </c>
      <c r="U30" s="76">
        <f t="shared" si="0"/>
        <v>347500</v>
      </c>
      <c r="V30" s="383"/>
      <c r="W30" s="26"/>
      <c r="X30" s="26"/>
    </row>
    <row r="31" spans="1:24" x14ac:dyDescent="0.25">
      <c r="A31" s="46">
        <v>4</v>
      </c>
      <c r="B31" s="47" t="s">
        <v>86</v>
      </c>
      <c r="C31" s="46" t="s">
        <v>75</v>
      </c>
      <c r="D31" s="300" t="str">
        <v>Duda</v>
      </c>
      <c r="E31" s="298"/>
      <c r="G31" s="24"/>
      <c r="H31" s="24"/>
      <c r="I31" s="61"/>
      <c r="J31" s="62"/>
      <c r="K31" s="61"/>
      <c r="L31" s="61"/>
      <c r="M31" s="24"/>
      <c r="N31" s="24"/>
      <c r="P31" s="67"/>
      <c r="Q31" s="67"/>
      <c r="R31" s="67"/>
      <c r="S31" s="67"/>
      <c r="T31" s="67"/>
      <c r="U31" s="67"/>
      <c r="V31" s="67"/>
      <c r="W31" s="26"/>
      <c r="X31" s="26"/>
    </row>
    <row r="32" spans="1:24" x14ac:dyDescent="0.25">
      <c r="A32" s="46">
        <v>5</v>
      </c>
      <c r="B32" s="47" t="s">
        <v>87</v>
      </c>
      <c r="C32" s="46" t="s">
        <v>75</v>
      </c>
      <c r="D32" s="300" t="str">
        <v>Duda</v>
      </c>
      <c r="E32" s="298"/>
      <c r="G32" s="65" t="s">
        <v>0</v>
      </c>
      <c r="L32" s="61"/>
      <c r="M32" s="24"/>
      <c r="N32" s="24"/>
      <c r="P32" s="69" t="s">
        <v>132</v>
      </c>
      <c r="Q32" s="71" t="s">
        <v>126</v>
      </c>
      <c r="R32" s="67"/>
      <c r="S32" s="67"/>
      <c r="T32" s="67"/>
      <c r="U32" s="67"/>
      <c r="V32" s="26"/>
      <c r="W32" s="26"/>
      <c r="X32" s="26"/>
    </row>
    <row r="33" spans="1:24" x14ac:dyDescent="0.25">
      <c r="A33" s="46">
        <v>6</v>
      </c>
      <c r="B33" s="47" t="s">
        <v>88</v>
      </c>
      <c r="C33" s="46" t="s">
        <v>74</v>
      </c>
      <c r="D33" s="300" t="str">
        <v>Janda</v>
      </c>
      <c r="E33" s="298"/>
      <c r="G33" s="16" t="s">
        <v>14</v>
      </c>
      <c r="H33" s="16">
        <v>1</v>
      </c>
      <c r="I33" s="16">
        <v>2</v>
      </c>
      <c r="J33" s="16">
        <v>3</v>
      </c>
      <c r="K33" s="16">
        <v>4</v>
      </c>
      <c r="L33" s="61"/>
      <c r="M33" s="24"/>
      <c r="N33" s="24"/>
      <c r="P33" s="69" t="s">
        <v>133</v>
      </c>
      <c r="Q33" s="74">
        <f>HLOOKUP(T24,$Q$24:$T$30,7,FALSE)</f>
        <v>74400</v>
      </c>
      <c r="R33" s="67"/>
      <c r="S33" s="67"/>
      <c r="T33" s="67"/>
      <c r="U33" s="67"/>
      <c r="V33" s="26"/>
      <c r="W33" s="26"/>
      <c r="X33" s="26"/>
    </row>
    <row r="34" spans="1:24" x14ac:dyDescent="0.25">
      <c r="A34" s="46">
        <v>7</v>
      </c>
      <c r="B34" s="47" t="s">
        <v>89</v>
      </c>
      <c r="C34" s="46" t="s">
        <v>75</v>
      </c>
      <c r="D34" s="300" t="str">
        <v>Duda</v>
      </c>
      <c r="E34" s="298"/>
      <c r="G34" s="15" t="s">
        <v>16</v>
      </c>
      <c r="H34" s="22">
        <v>10000</v>
      </c>
      <c r="I34" s="22">
        <v>7000</v>
      </c>
      <c r="J34" s="22">
        <v>5000</v>
      </c>
      <c r="K34" s="22">
        <v>3000</v>
      </c>
      <c r="L34" s="24"/>
      <c r="M34" s="24"/>
      <c r="N34" s="24"/>
      <c r="P34" s="26"/>
      <c r="Q34" s="26"/>
      <c r="R34" s="26"/>
      <c r="S34" s="26"/>
      <c r="T34" s="26"/>
      <c r="U34" s="26"/>
      <c r="V34" s="26"/>
      <c r="W34" s="26"/>
      <c r="X34" s="26"/>
    </row>
    <row r="35" spans="1:24" x14ac:dyDescent="0.25">
      <c r="A35" s="46">
        <v>8</v>
      </c>
      <c r="B35" s="47" t="s">
        <v>49</v>
      </c>
      <c r="C35" s="46" t="s">
        <v>77</v>
      </c>
      <c r="D35" s="300" t="str">
        <v>Menikah</v>
      </c>
      <c r="E35" s="298"/>
      <c r="G35" s="15" t="s">
        <v>17</v>
      </c>
      <c r="H35" s="23">
        <v>5000</v>
      </c>
      <c r="I35" s="23">
        <v>3000</v>
      </c>
      <c r="J35" s="23">
        <v>2000</v>
      </c>
      <c r="K35" s="23">
        <v>1500</v>
      </c>
      <c r="L35" s="24"/>
      <c r="M35" s="24"/>
      <c r="N35" s="24"/>
    </row>
    <row r="36" spans="1:24" x14ac:dyDescent="0.25">
      <c r="A36" s="46">
        <v>9</v>
      </c>
      <c r="B36" s="47" t="s">
        <v>37</v>
      </c>
      <c r="C36" s="46" t="s">
        <v>75</v>
      </c>
      <c r="D36" s="300" t="str">
        <v>Duda</v>
      </c>
      <c r="E36" s="298"/>
      <c r="G36" s="24"/>
      <c r="H36" s="63"/>
      <c r="I36" s="63"/>
      <c r="J36" s="63"/>
      <c r="K36" s="63"/>
      <c r="L36" s="63"/>
      <c r="M36" s="63"/>
      <c r="N36" s="24"/>
    </row>
    <row r="37" spans="1:24" x14ac:dyDescent="0.25">
      <c r="A37" s="46">
        <v>10</v>
      </c>
      <c r="B37" s="47" t="s">
        <v>29</v>
      </c>
      <c r="C37" s="46" t="s">
        <v>77</v>
      </c>
      <c r="D37" s="300" t="str">
        <v>Menikah</v>
      </c>
      <c r="E37" s="298"/>
      <c r="G37" s="24"/>
      <c r="H37" s="24"/>
      <c r="I37" s="24"/>
      <c r="J37" s="24"/>
      <c r="K37" s="24"/>
      <c r="L37" s="24"/>
      <c r="M37" s="24"/>
      <c r="N37" s="24"/>
    </row>
    <row r="38" spans="1:24" x14ac:dyDescent="0.25">
      <c r="A38" s="46">
        <v>11</v>
      </c>
      <c r="B38" s="47" t="s">
        <v>35</v>
      </c>
      <c r="C38" s="46" t="s">
        <v>76</v>
      </c>
      <c r="D38" s="300" t="str">
        <v>Single</v>
      </c>
      <c r="E38" s="298"/>
    </row>
    <row r="39" spans="1:24" x14ac:dyDescent="0.25">
      <c r="A39" s="46">
        <v>12</v>
      </c>
      <c r="B39" s="47" t="s">
        <v>53</v>
      </c>
      <c r="C39" s="46" t="s">
        <v>77</v>
      </c>
      <c r="D39" s="300" t="str">
        <v>Menikah</v>
      </c>
      <c r="E39" s="298"/>
    </row>
    <row r="40" spans="1:24" x14ac:dyDescent="0.25">
      <c r="A40" s="46">
        <v>13</v>
      </c>
      <c r="B40" s="47" t="s">
        <v>39</v>
      </c>
      <c r="C40" s="46" t="s">
        <v>74</v>
      </c>
      <c r="D40" s="300" t="str">
        <v>Janda</v>
      </c>
      <c r="E40" s="298"/>
    </row>
    <row r="41" spans="1:24" x14ac:dyDescent="0.25">
      <c r="A41" s="46">
        <v>14</v>
      </c>
      <c r="B41" s="47" t="s">
        <v>42</v>
      </c>
      <c r="C41" s="46" t="s">
        <v>76</v>
      </c>
      <c r="D41" s="300" t="str">
        <v>Single</v>
      </c>
      <c r="E41" s="298"/>
    </row>
  </sheetData>
  <mergeCells count="3">
    <mergeCell ref="A22:E22"/>
    <mergeCell ref="C2:K2"/>
    <mergeCell ref="V24:V30"/>
  </mergeCells>
  <dataValidations count="1">
    <dataValidation type="list" allowBlank="1" showInputMessage="1" showErrorMessage="1" sqref="Q32" xr:uid="{00000000-0002-0000-0100-000000000000}">
      <formula1>$Q$24:$T$24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7"/>
  <sheetViews>
    <sheetView topLeftCell="AI2" zoomScale="114" workbookViewId="0">
      <selection activeCell="AQ18" sqref="AQ18"/>
    </sheetView>
  </sheetViews>
  <sheetFormatPr defaultRowHeight="15" x14ac:dyDescent="0.25"/>
  <cols>
    <col min="1" max="1" width="17.5703125" customWidth="1"/>
    <col min="2" max="2" width="13.7109375" customWidth="1"/>
    <col min="3" max="3" width="12.28515625" customWidth="1"/>
    <col min="4" max="4" width="20.140625" customWidth="1"/>
    <col min="5" max="5" width="11.5703125" customWidth="1"/>
    <col min="6" max="6" width="13.140625" customWidth="1"/>
    <col min="8" max="8" width="10.7109375" customWidth="1"/>
    <col min="9" max="9" width="12.140625" customWidth="1"/>
    <col min="10" max="10" width="20.42578125" customWidth="1"/>
    <col min="12" max="12" width="12.5703125" customWidth="1"/>
    <col min="13" max="13" width="13.42578125" customWidth="1"/>
    <col min="15" max="15" width="4.42578125" customWidth="1"/>
    <col min="16" max="16" width="16.28515625" customWidth="1"/>
    <col min="17" max="17" width="16.85546875" style="19" customWidth="1"/>
    <col min="18" max="18" width="17.7109375" customWidth="1"/>
    <col min="19" max="19" width="7.7109375" customWidth="1"/>
    <col min="20" max="20" width="13.42578125" customWidth="1"/>
    <col min="21" max="21" width="12.42578125" customWidth="1"/>
    <col min="23" max="25" width="0" hidden="1" customWidth="1"/>
    <col min="29" max="29" width="13.28515625" customWidth="1"/>
    <col min="31" max="31" width="12.140625" customWidth="1"/>
    <col min="32" max="32" width="11.85546875" customWidth="1"/>
    <col min="37" max="37" width="11.85546875" bestFit="1" customWidth="1"/>
    <col min="38" max="38" width="22" bestFit="1" customWidth="1"/>
    <col min="39" max="39" width="14.85546875" customWidth="1"/>
    <col min="40" max="40" width="20.85546875" bestFit="1" customWidth="1"/>
    <col min="41" max="41" width="17.42578125" bestFit="1" customWidth="1"/>
  </cols>
  <sheetData>
    <row r="1" spans="1:44" x14ac:dyDescent="0.25">
      <c r="A1" s="384" t="s">
        <v>146</v>
      </c>
      <c r="B1" s="384"/>
    </row>
    <row r="2" spans="1:44" x14ac:dyDescent="0.25">
      <c r="H2" s="77" t="s">
        <v>107</v>
      </c>
      <c r="P2" s="77" t="s">
        <v>120</v>
      </c>
      <c r="AA2" s="77" t="s">
        <v>134</v>
      </c>
      <c r="AJ2" s="60" t="s">
        <v>170</v>
      </c>
      <c r="AK2" s="24"/>
      <c r="AL2" s="24"/>
      <c r="AM2" s="24"/>
      <c r="AN2" s="24"/>
      <c r="AO2" s="24"/>
      <c r="AP2" s="24"/>
      <c r="AQ2" s="24"/>
      <c r="AR2" s="24"/>
    </row>
    <row r="3" spans="1:44" ht="18.75" customHeight="1" x14ac:dyDescent="0.3">
      <c r="A3" s="79" t="s">
        <v>71</v>
      </c>
      <c r="B3" s="80"/>
      <c r="C3" s="80"/>
      <c r="D3" s="80"/>
      <c r="E3" s="80"/>
      <c r="F3" s="80"/>
      <c r="H3" s="93" t="s">
        <v>135</v>
      </c>
      <c r="I3" s="26"/>
      <c r="J3" s="26"/>
      <c r="K3" s="26"/>
      <c r="L3" s="26"/>
      <c r="M3" s="26"/>
      <c r="N3" s="26"/>
      <c r="P3" s="24" t="s">
        <v>1176</v>
      </c>
      <c r="Q3" s="367"/>
      <c r="R3" s="24"/>
      <c r="S3" s="24"/>
      <c r="T3" s="24"/>
      <c r="U3" s="24"/>
      <c r="V3" s="24"/>
      <c r="W3" s="8"/>
      <c r="X3" s="8"/>
      <c r="Y3" s="8"/>
      <c r="AA3" s="5" t="s">
        <v>108</v>
      </c>
      <c r="AB3" s="6"/>
      <c r="AC3" s="6"/>
      <c r="AD3" s="6"/>
      <c r="AE3" s="6"/>
      <c r="AF3" s="6"/>
      <c r="AG3" s="6"/>
      <c r="AH3" s="6"/>
      <c r="AJ3" s="386" t="s">
        <v>642</v>
      </c>
      <c r="AK3" s="386"/>
      <c r="AL3" s="386"/>
      <c r="AM3" s="386"/>
      <c r="AN3" s="386"/>
      <c r="AO3" s="386"/>
      <c r="AP3" s="386"/>
      <c r="AQ3" s="386"/>
      <c r="AR3" s="386"/>
    </row>
    <row r="4" spans="1:44" x14ac:dyDescent="0.25">
      <c r="A4" s="385" t="s">
        <v>147</v>
      </c>
      <c r="B4" s="385"/>
      <c r="C4" s="385"/>
      <c r="D4" s="385"/>
      <c r="E4" s="385"/>
      <c r="F4" s="385"/>
      <c r="H4" s="94"/>
      <c r="I4" s="26"/>
      <c r="J4" s="26"/>
      <c r="K4" s="26"/>
      <c r="L4" s="99" t="s">
        <v>156</v>
      </c>
      <c r="M4" s="99"/>
      <c r="N4" s="26"/>
      <c r="P4" s="24"/>
      <c r="Q4" s="367"/>
      <c r="R4" s="24"/>
      <c r="S4" s="24"/>
      <c r="T4" s="24"/>
      <c r="U4" s="24"/>
      <c r="V4" s="24"/>
      <c r="W4" s="103"/>
      <c r="X4" s="103"/>
      <c r="Y4" s="8"/>
      <c r="AA4" s="6"/>
      <c r="AB4" s="6"/>
      <c r="AC4" s="6"/>
      <c r="AD4" s="6"/>
      <c r="AE4" s="6"/>
      <c r="AF4" s="6"/>
      <c r="AG4" s="6"/>
      <c r="AH4" s="6"/>
      <c r="AJ4" s="386"/>
      <c r="AK4" s="386"/>
      <c r="AL4" s="386"/>
      <c r="AM4" s="386"/>
      <c r="AN4" s="386"/>
      <c r="AO4" s="386"/>
      <c r="AP4" s="386"/>
      <c r="AQ4" s="386"/>
      <c r="AR4" s="386"/>
    </row>
    <row r="5" spans="1:44" ht="16.5" thickBot="1" x14ac:dyDescent="0.3">
      <c r="A5" s="385"/>
      <c r="B5" s="385"/>
      <c r="C5" s="385"/>
      <c r="D5" s="385"/>
      <c r="E5" s="385"/>
      <c r="F5" s="385"/>
      <c r="H5" s="95" t="s">
        <v>136</v>
      </c>
      <c r="I5" s="96" t="s">
        <v>137</v>
      </c>
      <c r="J5" s="95" t="s">
        <v>138</v>
      </c>
      <c r="K5" s="92"/>
      <c r="L5" s="100" t="s">
        <v>138</v>
      </c>
      <c r="M5" s="100" t="s">
        <v>157</v>
      </c>
      <c r="N5" s="26"/>
      <c r="P5" s="368" t="s">
        <v>1172</v>
      </c>
      <c r="Q5" s="369" t="s">
        <v>1162</v>
      </c>
      <c r="R5" s="368" t="s">
        <v>1164</v>
      </c>
      <c r="S5" s="24"/>
      <c r="T5" s="24"/>
      <c r="U5" s="24"/>
      <c r="V5" s="24"/>
      <c r="W5" s="104" t="s">
        <v>0</v>
      </c>
      <c r="X5" s="104"/>
      <c r="Y5" s="104"/>
      <c r="AA5" s="7" t="s">
        <v>2</v>
      </c>
      <c r="AB5" s="7" t="s">
        <v>8</v>
      </c>
      <c r="AC5" s="105" t="s">
        <v>109</v>
      </c>
      <c r="AD5" s="7" t="s">
        <v>110</v>
      </c>
      <c r="AE5" s="105" t="s">
        <v>111</v>
      </c>
      <c r="AF5" s="7" t="s">
        <v>11</v>
      </c>
      <c r="AG5" s="6"/>
      <c r="AH5" s="6"/>
      <c r="AJ5" s="386"/>
      <c r="AK5" s="386"/>
      <c r="AL5" s="386"/>
      <c r="AM5" s="386"/>
      <c r="AN5" s="386"/>
      <c r="AO5" s="386"/>
      <c r="AP5" s="386"/>
      <c r="AQ5" s="386"/>
      <c r="AR5" s="386"/>
    </row>
    <row r="6" spans="1:44" ht="15.75" x14ac:dyDescent="0.25">
      <c r="A6" s="385"/>
      <c r="B6" s="385"/>
      <c r="C6" s="385"/>
      <c r="D6" s="385"/>
      <c r="E6" s="385"/>
      <c r="F6" s="385"/>
      <c r="H6" s="97" t="s">
        <v>18</v>
      </c>
      <c r="I6" s="115">
        <v>100</v>
      </c>
      <c r="J6" s="117" t="str">
        <f>IF(I6&gt;=90,"A",IF(AND(I6&lt;90, I6&gt;=80),"B",IF(AND(I6&lt;80,I6&gt;=70),"C",IF(AND(I6&lt;70,I6&gt;=60),"D","E"))))</f>
        <v>A</v>
      </c>
      <c r="K6" s="26"/>
      <c r="L6" s="101" t="s">
        <v>143</v>
      </c>
      <c r="M6" s="98" t="s">
        <v>158</v>
      </c>
      <c r="N6" s="26"/>
      <c r="P6" s="370">
        <v>42040</v>
      </c>
      <c r="Q6" s="367" t="s">
        <v>143</v>
      </c>
      <c r="R6" s="43" t="str">
        <f>VLOOKUP(IF(Q6&lt;="C","A - C",IF(AND(Q6&gt;="D",Q6&lt;="E"),"D - E",IF(AND(Q6&gt;="F",Q6&lt;="H"),"F - H","&gt; H"))),$T$7:$U$10,2,FALSE)</f>
        <v>Susu</v>
      </c>
      <c r="S6" s="367"/>
      <c r="T6" s="369" t="s">
        <v>370</v>
      </c>
      <c r="U6" s="369" t="s">
        <v>1164</v>
      </c>
      <c r="V6" s="367"/>
      <c r="W6" s="104" t="s">
        <v>9</v>
      </c>
      <c r="X6" s="104" t="s">
        <v>10</v>
      </c>
      <c r="Y6" s="104"/>
      <c r="AA6" s="6" t="s">
        <v>112</v>
      </c>
      <c r="AB6" s="6">
        <v>20</v>
      </c>
      <c r="AC6" s="106">
        <v>17.95</v>
      </c>
      <c r="AD6" s="283">
        <f>_xlfn.XLOOKUP(IF(AB6&lt;=3,"0 - 3",IF(AND(AB6&gt;3,AB6&lt;=24),"4 - 24",IF(AND(AB6&gt;24,AB6&lt;=49),"25 - 49",IF(AND(AB6&gt;49,AB6&lt;=99),"50 - 99",IF(AND(AB6&gt;99,AB6&lt;=250),"100 - 250","&gt; 250"))))),$AB$16:$AG$16,$AB$17:$AG$17)</f>
        <v>0.4</v>
      </c>
      <c r="AE6" s="284">
        <f>AC6-(AC6*AD6)</f>
        <v>10.77</v>
      </c>
      <c r="AF6" s="284">
        <f>AC6*AD6</f>
        <v>7.18</v>
      </c>
      <c r="AG6" s="6"/>
      <c r="AH6" s="6"/>
      <c r="AJ6" s="386"/>
      <c r="AK6" s="386"/>
      <c r="AL6" s="386"/>
      <c r="AM6" s="386"/>
      <c r="AN6" s="386"/>
      <c r="AO6" s="386"/>
      <c r="AP6" s="386"/>
      <c r="AQ6" s="386"/>
      <c r="AR6" s="386"/>
    </row>
    <row r="7" spans="1:44" ht="12.75" customHeight="1" x14ac:dyDescent="0.25">
      <c r="A7" s="81" t="s">
        <v>148</v>
      </c>
      <c r="B7" s="81" t="s">
        <v>149</v>
      </c>
      <c r="C7" s="82"/>
      <c r="D7" s="5" t="s">
        <v>148</v>
      </c>
      <c r="E7" s="5" t="s">
        <v>149</v>
      </c>
      <c r="F7" s="80"/>
      <c r="H7" s="97" t="s">
        <v>19</v>
      </c>
      <c r="I7" s="115">
        <v>96</v>
      </c>
      <c r="J7" s="117" t="str">
        <f t="shared" ref="J7:J11" si="0">IF(I7&gt;=90,"A",IF(AND(I7&lt;90, I7&gt;=80),"B",IF(AND(I7&lt;80,I7&gt;=70),"C",IF(AND(I7&lt;70,I7&gt;=60),"D","E"))))</f>
        <v>A</v>
      </c>
      <c r="K7" s="26"/>
      <c r="L7" s="101" t="s">
        <v>142</v>
      </c>
      <c r="M7" s="98" t="s">
        <v>159</v>
      </c>
      <c r="N7" s="26"/>
      <c r="P7" s="370">
        <v>42041</v>
      </c>
      <c r="Q7" s="367" t="s">
        <v>75</v>
      </c>
      <c r="R7" s="43" t="str">
        <f t="shared" ref="R7:R31" si="1">VLOOKUP(IF(Q7&lt;="C","A - C",IF(AND(Q7&gt;="D",Q7&lt;="E"),"D - E",IF(AND(Q7&gt;="F",Q7&lt;="H"),"F - H","&gt; H"))),$T$7:$U$10,2,FALSE)</f>
        <v>Snack</v>
      </c>
      <c r="S7" s="367"/>
      <c r="T7" s="371" t="s">
        <v>1163</v>
      </c>
      <c r="U7" s="371" t="s">
        <v>1165</v>
      </c>
      <c r="V7" s="367"/>
      <c r="W7" s="104">
        <v>3</v>
      </c>
      <c r="X7" s="104">
        <v>11000</v>
      </c>
      <c r="Y7" s="104"/>
      <c r="AA7" s="6" t="s">
        <v>113</v>
      </c>
      <c r="AB7" s="6">
        <v>10</v>
      </c>
      <c r="AC7" s="106">
        <v>6.95</v>
      </c>
      <c r="AD7" s="283">
        <f t="shared" ref="AD7:AD13" si="2">_xlfn.XLOOKUP(IF(AB7&lt;=3,"0 - 3",IF(AND(AB7&gt;3,AB7&lt;=24),"4 - 24",IF(AND(AB7&gt;24,AB7&lt;=49),"25 - 49",IF(AND(AB7&gt;49,AB7&lt;=99),"50 - 99",IF(AND(AB7&gt;99,AB7&lt;=250),"100 - 250","&gt; 250"))))),$AB$16:$AG$16,$AB$17:$AG$17)</f>
        <v>0.4</v>
      </c>
      <c r="AE7" s="284">
        <f t="shared" ref="AE7:AE13" si="3">AC7-(AC7*AD7)</f>
        <v>4.17</v>
      </c>
      <c r="AF7" s="284">
        <f t="shared" ref="AF7:AF13" si="4">AC7*AD7</f>
        <v>2.7800000000000002</v>
      </c>
      <c r="AG7" s="6"/>
      <c r="AH7" s="6"/>
      <c r="AJ7" s="386"/>
      <c r="AK7" s="386"/>
      <c r="AL7" s="386"/>
      <c r="AM7" s="386"/>
      <c r="AN7" s="386"/>
      <c r="AO7" s="386"/>
      <c r="AP7" s="386"/>
      <c r="AQ7" s="386"/>
      <c r="AR7" s="386"/>
    </row>
    <row r="8" spans="1:44" ht="15.75" x14ac:dyDescent="0.25">
      <c r="A8" s="81" t="s">
        <v>1177</v>
      </c>
      <c r="B8" s="81" t="s">
        <v>150</v>
      </c>
      <c r="C8" s="82"/>
      <c r="D8" s="83" t="str">
        <f>_xlfn.XLOOKUP(E8,$B$8:$B$10,$A$8:$A$10)</f>
        <v>&lt;50</v>
      </c>
      <c r="E8" s="5" t="s">
        <v>641</v>
      </c>
      <c r="F8" s="80"/>
      <c r="H8" s="97" t="s">
        <v>140</v>
      </c>
      <c r="I8" s="115">
        <v>80</v>
      </c>
      <c r="J8" s="117" t="str">
        <f t="shared" si="0"/>
        <v>B</v>
      </c>
      <c r="K8" s="26"/>
      <c r="L8" s="101" t="s">
        <v>141</v>
      </c>
      <c r="M8" s="98" t="s">
        <v>160</v>
      </c>
      <c r="N8" s="26"/>
      <c r="P8" s="370">
        <v>42044</v>
      </c>
      <c r="Q8" s="367" t="s">
        <v>142</v>
      </c>
      <c r="R8" s="43" t="str">
        <f t="shared" si="1"/>
        <v>Susu</v>
      </c>
      <c r="S8" s="367"/>
      <c r="T8" s="371" t="s">
        <v>1166</v>
      </c>
      <c r="U8" s="371" t="s">
        <v>1167</v>
      </c>
      <c r="V8" s="367"/>
      <c r="W8" s="104">
        <v>4</v>
      </c>
      <c r="X8" s="104">
        <v>13500</v>
      </c>
      <c r="Y8" s="104"/>
      <c r="AA8" s="6" t="s">
        <v>114</v>
      </c>
      <c r="AB8" s="6">
        <v>300</v>
      </c>
      <c r="AC8" s="106">
        <v>2.95</v>
      </c>
      <c r="AD8" s="283">
        <f t="shared" si="2"/>
        <v>0.48</v>
      </c>
      <c r="AE8" s="284">
        <f t="shared" si="3"/>
        <v>1.5340000000000003</v>
      </c>
      <c r="AF8" s="284">
        <f t="shared" si="4"/>
        <v>1.4159999999999999</v>
      </c>
      <c r="AG8" s="6"/>
      <c r="AH8" s="6"/>
      <c r="AJ8" s="108"/>
      <c r="AK8" s="108"/>
      <c r="AL8" s="108"/>
      <c r="AM8" s="108"/>
      <c r="AN8" s="108"/>
      <c r="AO8" s="108"/>
      <c r="AP8" s="108"/>
      <c r="AQ8" s="108"/>
      <c r="AR8" s="109"/>
    </row>
    <row r="9" spans="1:44" ht="15.75" x14ac:dyDescent="0.25">
      <c r="A9" s="81" t="s">
        <v>1178</v>
      </c>
      <c r="B9" s="81" t="s">
        <v>151</v>
      </c>
      <c r="C9" s="82"/>
      <c r="D9" s="83" t="str">
        <f>_xlfn.XLOOKUP(E9,$B$8:$B$10,$A$8:$A$10)</f>
        <v>50-80</v>
      </c>
      <c r="E9" s="5" t="s">
        <v>151</v>
      </c>
      <c r="F9" s="80"/>
      <c r="H9" s="97" t="s">
        <v>21</v>
      </c>
      <c r="I9" s="115">
        <v>65</v>
      </c>
      <c r="J9" s="117" t="str">
        <f t="shared" si="0"/>
        <v>D</v>
      </c>
      <c r="K9" s="26"/>
      <c r="L9" s="101" t="s">
        <v>75</v>
      </c>
      <c r="M9" s="98" t="s">
        <v>161</v>
      </c>
      <c r="N9" s="26"/>
      <c r="P9" s="370">
        <v>42045</v>
      </c>
      <c r="Q9" s="367" t="s">
        <v>297</v>
      </c>
      <c r="R9" s="43" t="str">
        <f t="shared" si="1"/>
        <v>Snack</v>
      </c>
      <c r="S9" s="367"/>
      <c r="T9" s="371" t="s">
        <v>1168</v>
      </c>
      <c r="U9" s="371" t="s">
        <v>1169</v>
      </c>
      <c r="V9" s="367"/>
      <c r="W9" s="104">
        <v>6</v>
      </c>
      <c r="X9" s="104">
        <v>17500</v>
      </c>
      <c r="Y9" s="104"/>
      <c r="AA9" s="6" t="s">
        <v>115</v>
      </c>
      <c r="AB9" s="6">
        <v>50</v>
      </c>
      <c r="AC9" s="106">
        <v>19.95</v>
      </c>
      <c r="AD9" s="283">
        <f t="shared" si="2"/>
        <v>0.44</v>
      </c>
      <c r="AE9" s="284">
        <f t="shared" si="3"/>
        <v>11.171999999999999</v>
      </c>
      <c r="AF9" s="284">
        <f t="shared" si="4"/>
        <v>8.7780000000000005</v>
      </c>
      <c r="AG9" s="6"/>
      <c r="AH9" s="6"/>
      <c r="AJ9" s="110" t="s">
        <v>83</v>
      </c>
      <c r="AK9" s="111" t="s">
        <v>163</v>
      </c>
      <c r="AL9" s="111" t="s">
        <v>164</v>
      </c>
      <c r="AM9" s="111" t="s">
        <v>165</v>
      </c>
      <c r="AN9" s="111" t="s">
        <v>166</v>
      </c>
      <c r="AO9" s="112" t="s">
        <v>167</v>
      </c>
      <c r="AP9" s="113"/>
      <c r="AQ9" s="113"/>
      <c r="AR9" s="63"/>
    </row>
    <row r="10" spans="1:44" ht="15.75" x14ac:dyDescent="0.25">
      <c r="A10" s="81" t="s">
        <v>152</v>
      </c>
      <c r="B10" s="81" t="s">
        <v>153</v>
      </c>
      <c r="C10" s="82"/>
      <c r="D10" s="83" t="str">
        <f>_xlfn.XLOOKUP(E10,$B$8:$B$10,$A$8:$A$10)</f>
        <v>&gt;80</v>
      </c>
      <c r="E10" s="5" t="s">
        <v>150</v>
      </c>
      <c r="F10" s="80"/>
      <c r="H10" s="97" t="s">
        <v>22</v>
      </c>
      <c r="I10" s="115">
        <v>85</v>
      </c>
      <c r="J10" s="117" t="str">
        <f t="shared" si="0"/>
        <v>B</v>
      </c>
      <c r="K10" s="26"/>
      <c r="L10" s="101" t="s">
        <v>297</v>
      </c>
      <c r="M10" s="98" t="s">
        <v>162</v>
      </c>
      <c r="N10" s="26"/>
      <c r="P10" s="370">
        <v>42046</v>
      </c>
      <c r="Q10" s="367" t="s">
        <v>75</v>
      </c>
      <c r="R10" s="43" t="str">
        <f t="shared" si="1"/>
        <v>Snack</v>
      </c>
      <c r="S10" s="367"/>
      <c r="T10" s="371" t="s">
        <v>1170</v>
      </c>
      <c r="U10" s="371" t="s">
        <v>1171</v>
      </c>
      <c r="V10" s="367"/>
      <c r="W10" s="104">
        <v>9</v>
      </c>
      <c r="X10" s="104">
        <v>28000</v>
      </c>
      <c r="Y10" s="104"/>
      <c r="AA10" s="6" t="s">
        <v>116</v>
      </c>
      <c r="AB10" s="6">
        <v>2</v>
      </c>
      <c r="AC10" s="106">
        <v>27.95</v>
      </c>
      <c r="AD10" s="283">
        <f t="shared" si="2"/>
        <v>0.2</v>
      </c>
      <c r="AE10" s="284">
        <f t="shared" si="3"/>
        <v>22.36</v>
      </c>
      <c r="AF10" s="284">
        <f t="shared" si="4"/>
        <v>5.59</v>
      </c>
      <c r="AG10" s="6"/>
      <c r="AH10" s="6"/>
      <c r="AJ10" s="301">
        <v>1</v>
      </c>
      <c r="AK10" s="302" t="s">
        <v>168</v>
      </c>
      <c r="AL10" s="301">
        <v>34</v>
      </c>
      <c r="AM10" s="373">
        <f>IF(AL10&gt;200,30%,IF(AND(AL10&gt;=20,AL10&lt;=99),5%,IF(AND(AL10&gt;=100,AL10&lt;=149),10%,IF(AND(AL10&gt;=150,AL10&lt;=200),20%,0%))))</f>
        <v>0.05</v>
      </c>
      <c r="AN10" s="318">
        <f>(AL10*1000)-((AL10*1000)*AM10)</f>
        <v>32300</v>
      </c>
      <c r="AO10" s="282">
        <f>AN10*13000</f>
        <v>419900000</v>
      </c>
      <c r="AP10" s="113"/>
      <c r="AQ10" s="113"/>
      <c r="AR10" s="63"/>
    </row>
    <row r="11" spans="1:44" ht="15.75" x14ac:dyDescent="0.25">
      <c r="A11" s="81"/>
      <c r="B11" s="81"/>
      <c r="C11" s="82"/>
      <c r="D11" s="82"/>
      <c r="E11" s="82"/>
      <c r="F11" s="80"/>
      <c r="H11" s="97" t="s">
        <v>144</v>
      </c>
      <c r="I11" s="115">
        <v>60</v>
      </c>
      <c r="J11" s="117" t="str">
        <f t="shared" si="0"/>
        <v>D</v>
      </c>
      <c r="K11" s="26"/>
      <c r="L11" s="98"/>
      <c r="M11" s="98"/>
      <c r="N11" s="26"/>
      <c r="P11" s="370">
        <v>42047</v>
      </c>
      <c r="Q11" s="367" t="s">
        <v>142</v>
      </c>
      <c r="R11" s="43" t="str">
        <f t="shared" si="1"/>
        <v>Susu</v>
      </c>
      <c r="S11" s="367"/>
      <c r="T11" s="367"/>
      <c r="U11" s="367"/>
      <c r="V11" s="367"/>
      <c r="W11" s="104">
        <v>12</v>
      </c>
      <c r="X11" s="104">
        <v>38000</v>
      </c>
      <c r="Y11" s="104"/>
      <c r="AA11" s="6" t="s">
        <v>117</v>
      </c>
      <c r="AB11" s="6">
        <v>25</v>
      </c>
      <c r="AC11" s="106">
        <v>17.95</v>
      </c>
      <c r="AD11" s="283">
        <f t="shared" si="2"/>
        <v>0.42</v>
      </c>
      <c r="AE11" s="284">
        <f t="shared" si="3"/>
        <v>10.411</v>
      </c>
      <c r="AF11" s="284">
        <f t="shared" si="4"/>
        <v>7.5389999999999997</v>
      </c>
      <c r="AG11" s="6"/>
      <c r="AH11" s="6"/>
      <c r="AJ11" s="303">
        <v>2</v>
      </c>
      <c r="AK11" s="304" t="s">
        <v>169</v>
      </c>
      <c r="AL11" s="303">
        <v>150</v>
      </c>
      <c r="AM11" s="373">
        <f t="shared" ref="AM11:AM33" si="5">IF(AL11&gt;200,30%,IF(AND(AL11&gt;=20,AL11&lt;=99),5%,IF(AND(AL11&gt;=100,AL11&lt;=149),10%,IF(AND(AL11&gt;=150,AL11&lt;=200),20%,0%))))</f>
        <v>0.2</v>
      </c>
      <c r="AN11" s="318">
        <f t="shared" ref="AN11:AN33" si="6">(AL11*1000)-((AL11*1000)*AM11)</f>
        <v>120000</v>
      </c>
      <c r="AO11" s="282">
        <f t="shared" ref="AO11:AO33" si="7">AN11*13000</f>
        <v>1560000000</v>
      </c>
      <c r="AP11" s="113"/>
      <c r="AQ11" s="113"/>
      <c r="AR11" s="114"/>
    </row>
    <row r="12" spans="1:44" x14ac:dyDescent="0.25">
      <c r="A12" s="84" t="s">
        <v>83</v>
      </c>
      <c r="B12" s="84" t="s">
        <v>154</v>
      </c>
      <c r="C12" s="85" t="s">
        <v>155</v>
      </c>
      <c r="D12" s="90" t="s">
        <v>78</v>
      </c>
      <c r="E12" s="86"/>
      <c r="F12" s="80"/>
      <c r="H12" s="26"/>
      <c r="I12" s="116"/>
      <c r="J12" s="26"/>
      <c r="K12" s="26"/>
      <c r="L12" s="26"/>
      <c r="M12" s="26"/>
      <c r="N12" s="26"/>
      <c r="P12" s="370">
        <v>42048</v>
      </c>
      <c r="Q12" s="367" t="s">
        <v>139</v>
      </c>
      <c r="R12" s="43" t="str">
        <f t="shared" si="1"/>
        <v>Indomie</v>
      </c>
      <c r="S12" s="367"/>
      <c r="T12" s="367"/>
      <c r="U12" s="367"/>
      <c r="V12" s="367"/>
      <c r="W12" s="104">
        <v>15</v>
      </c>
      <c r="X12" s="104">
        <v>45000</v>
      </c>
      <c r="Y12" s="104"/>
      <c r="AA12" s="6" t="s">
        <v>118</v>
      </c>
      <c r="AB12" s="6">
        <v>100</v>
      </c>
      <c r="AC12" s="106">
        <v>9.9499999999999993</v>
      </c>
      <c r="AD12" s="283">
        <f t="shared" si="2"/>
        <v>0.46</v>
      </c>
      <c r="AE12" s="284">
        <f t="shared" si="3"/>
        <v>5.3729999999999993</v>
      </c>
      <c r="AF12" s="284">
        <f t="shared" si="4"/>
        <v>4.577</v>
      </c>
      <c r="AG12" s="6"/>
      <c r="AH12" s="6"/>
      <c r="AJ12" s="305">
        <v>3</v>
      </c>
      <c r="AK12" s="306" t="s">
        <v>35</v>
      </c>
      <c r="AL12" s="305">
        <v>234</v>
      </c>
      <c r="AM12" s="373">
        <f t="shared" si="5"/>
        <v>0.3</v>
      </c>
      <c r="AN12" s="318">
        <f t="shared" si="6"/>
        <v>163800</v>
      </c>
      <c r="AO12" s="282">
        <f t="shared" si="7"/>
        <v>2129400000</v>
      </c>
      <c r="AP12" s="113"/>
      <c r="AQ12" s="113"/>
      <c r="AR12" s="63"/>
    </row>
    <row r="13" spans="1:44" x14ac:dyDescent="0.25">
      <c r="A13" s="87">
        <v>1</v>
      </c>
      <c r="B13" s="86" t="s">
        <v>30</v>
      </c>
      <c r="C13" s="87">
        <v>22</v>
      </c>
      <c r="D13" s="118" t="str">
        <f>VLOOKUP(IF(C13&gt;80,"&gt;80",IF(AND(C13&gt;=50,C13&lt;=80),"50-80","&lt;50")),$A$8:$B$10,2,FALSE)</f>
        <v>Tidak Ada</v>
      </c>
      <c r="E13" s="84"/>
      <c r="F13" s="88"/>
      <c r="H13" s="26"/>
      <c r="I13" s="26"/>
      <c r="J13" s="26"/>
      <c r="K13" s="26"/>
      <c r="L13" s="26"/>
      <c r="M13" s="26"/>
      <c r="N13" s="26"/>
      <c r="P13" s="370">
        <v>42051</v>
      </c>
      <c r="Q13" s="367" t="s">
        <v>1174</v>
      </c>
      <c r="R13" s="43" t="str">
        <f t="shared" si="1"/>
        <v>Snack</v>
      </c>
      <c r="S13" s="367"/>
      <c r="T13" s="367"/>
      <c r="U13" s="367"/>
      <c r="V13" s="367"/>
      <c r="W13" s="104">
        <v>18</v>
      </c>
      <c r="X13" s="104">
        <v>50000</v>
      </c>
      <c r="Y13" s="104"/>
      <c r="AA13" s="6" t="s">
        <v>119</v>
      </c>
      <c r="AB13" s="6">
        <v>250</v>
      </c>
      <c r="AC13" s="106">
        <v>6.95</v>
      </c>
      <c r="AD13" s="283">
        <f t="shared" si="2"/>
        <v>0.46</v>
      </c>
      <c r="AE13" s="284">
        <f t="shared" si="3"/>
        <v>3.7530000000000001</v>
      </c>
      <c r="AF13" s="284">
        <f t="shared" si="4"/>
        <v>3.1970000000000001</v>
      </c>
      <c r="AG13" s="6"/>
      <c r="AH13" s="6"/>
      <c r="AJ13" s="303">
        <v>4</v>
      </c>
      <c r="AK13" s="307" t="s">
        <v>53</v>
      </c>
      <c r="AL13" s="303">
        <v>251</v>
      </c>
      <c r="AM13" s="373">
        <f t="shared" si="5"/>
        <v>0.3</v>
      </c>
      <c r="AN13" s="318">
        <f t="shared" si="6"/>
        <v>175700</v>
      </c>
      <c r="AO13" s="282">
        <f t="shared" si="7"/>
        <v>2284100000</v>
      </c>
      <c r="AP13" s="113"/>
      <c r="AQ13" s="113"/>
      <c r="AR13" s="24"/>
    </row>
    <row r="14" spans="1:44" x14ac:dyDescent="0.25">
      <c r="A14" s="87">
        <v>2</v>
      </c>
      <c r="B14" s="86" t="s">
        <v>46</v>
      </c>
      <c r="C14" s="87">
        <v>80</v>
      </c>
      <c r="D14" s="118" t="str">
        <f t="shared" ref="D14:D33" si="8">VLOOKUP(IF(C14&gt;80,"&gt;80",IF(AND(C14&gt;=50,C14&lt;=80),"50-80","&lt;50")),$A$8:$B$10,2,FALSE)</f>
        <v>Sepeda</v>
      </c>
      <c r="E14" s="86"/>
      <c r="F14" s="80"/>
      <c r="P14" s="370">
        <v>42052</v>
      </c>
      <c r="Q14" s="367" t="s">
        <v>75</v>
      </c>
      <c r="R14" s="43" t="str">
        <f t="shared" si="1"/>
        <v>Snack</v>
      </c>
      <c r="S14" s="367"/>
      <c r="T14" s="367"/>
      <c r="U14" s="367"/>
      <c r="V14" s="367"/>
      <c r="W14" s="104"/>
      <c r="X14" s="104"/>
      <c r="Y14" s="104"/>
      <c r="AA14" s="6"/>
      <c r="AB14" s="6"/>
      <c r="AC14" s="106"/>
      <c r="AD14" s="107"/>
      <c r="AE14" s="106"/>
      <c r="AF14" s="106"/>
      <c r="AG14" s="6"/>
      <c r="AH14" s="6"/>
      <c r="AJ14" s="305">
        <v>5</v>
      </c>
      <c r="AK14" s="306" t="s">
        <v>39</v>
      </c>
      <c r="AL14" s="305">
        <v>142</v>
      </c>
      <c r="AM14" s="373">
        <f t="shared" si="5"/>
        <v>0.1</v>
      </c>
      <c r="AN14" s="318">
        <f t="shared" si="6"/>
        <v>127800</v>
      </c>
      <c r="AO14" s="282">
        <f t="shared" si="7"/>
        <v>1661400000</v>
      </c>
      <c r="AP14" s="113"/>
      <c r="AQ14" s="113"/>
      <c r="AR14" s="24"/>
    </row>
    <row r="15" spans="1:44" x14ac:dyDescent="0.25">
      <c r="A15" s="87">
        <v>3</v>
      </c>
      <c r="B15" s="86" t="s">
        <v>85</v>
      </c>
      <c r="C15" s="87">
        <v>50</v>
      </c>
      <c r="D15" s="118" t="str">
        <f t="shared" si="8"/>
        <v>Sepeda</v>
      </c>
      <c r="E15" s="86"/>
      <c r="F15" s="80"/>
      <c r="P15" s="370">
        <v>42053</v>
      </c>
      <c r="Q15" s="367" t="s">
        <v>442</v>
      </c>
      <c r="R15" s="43" t="str">
        <f t="shared" si="1"/>
        <v>Telor</v>
      </c>
      <c r="S15" s="367"/>
      <c r="T15" s="367"/>
      <c r="U15" s="367"/>
      <c r="V15" s="367"/>
      <c r="W15" s="104"/>
      <c r="X15" s="104"/>
      <c r="Y15" s="104"/>
      <c r="AA15" s="5" t="s">
        <v>0</v>
      </c>
      <c r="AB15" s="6"/>
      <c r="AC15" s="6"/>
      <c r="AD15" s="6"/>
      <c r="AE15" s="6"/>
      <c r="AF15" s="6"/>
      <c r="AG15" s="6"/>
      <c r="AH15" s="6"/>
      <c r="AJ15" s="303">
        <v>6</v>
      </c>
      <c r="AK15" s="307" t="s">
        <v>42</v>
      </c>
      <c r="AL15" s="303">
        <v>66</v>
      </c>
      <c r="AM15" s="373">
        <f t="shared" si="5"/>
        <v>0.05</v>
      </c>
      <c r="AN15" s="318">
        <f t="shared" si="6"/>
        <v>62700</v>
      </c>
      <c r="AO15" s="282">
        <f t="shared" si="7"/>
        <v>815100000</v>
      </c>
      <c r="AP15" s="113"/>
      <c r="AQ15" s="113"/>
      <c r="AR15" s="24"/>
    </row>
    <row r="16" spans="1:44" x14ac:dyDescent="0.25">
      <c r="A16" s="87">
        <v>4</v>
      </c>
      <c r="B16" s="86" t="s">
        <v>55</v>
      </c>
      <c r="C16" s="87">
        <v>34</v>
      </c>
      <c r="D16" s="118" t="str">
        <f t="shared" si="8"/>
        <v>Tidak Ada</v>
      </c>
      <c r="E16" s="86"/>
      <c r="F16" s="80"/>
      <c r="P16" s="370">
        <v>42054</v>
      </c>
      <c r="Q16" s="367" t="s">
        <v>75</v>
      </c>
      <c r="R16" s="43" t="str">
        <f t="shared" si="1"/>
        <v>Snack</v>
      </c>
      <c r="S16" s="367"/>
      <c r="T16" s="367"/>
      <c r="U16" s="367"/>
      <c r="V16" s="367"/>
      <c r="W16" s="8"/>
      <c r="X16" s="8"/>
      <c r="Y16" s="8"/>
      <c r="AA16" s="314" t="s">
        <v>8</v>
      </c>
      <c r="AB16" s="311" t="s">
        <v>1179</v>
      </c>
      <c r="AC16" s="372" t="s">
        <v>1182</v>
      </c>
      <c r="AD16" s="312" t="s">
        <v>1180</v>
      </c>
      <c r="AE16" s="312" t="s">
        <v>1181</v>
      </c>
      <c r="AF16" s="312" t="s">
        <v>1016</v>
      </c>
      <c r="AG16" s="313" t="s">
        <v>1015</v>
      </c>
      <c r="AH16" s="6"/>
      <c r="AJ16" s="305">
        <v>7</v>
      </c>
      <c r="AK16" s="306" t="s">
        <v>48</v>
      </c>
      <c r="AL16" s="305">
        <v>10</v>
      </c>
      <c r="AM16" s="373">
        <f t="shared" si="5"/>
        <v>0</v>
      </c>
      <c r="AN16" s="318">
        <f t="shared" si="6"/>
        <v>10000</v>
      </c>
      <c r="AO16" s="282">
        <f t="shared" si="7"/>
        <v>130000000</v>
      </c>
      <c r="AP16" s="113"/>
      <c r="AQ16" s="113"/>
      <c r="AR16" s="24"/>
    </row>
    <row r="17" spans="1:44" x14ac:dyDescent="0.25">
      <c r="A17" s="87">
        <v>5</v>
      </c>
      <c r="B17" s="86" t="s">
        <v>87</v>
      </c>
      <c r="C17" s="87">
        <v>76</v>
      </c>
      <c r="D17" s="118" t="str">
        <f t="shared" si="8"/>
        <v>Sepeda</v>
      </c>
      <c r="E17" s="86"/>
      <c r="F17" s="80"/>
      <c r="P17" s="370">
        <v>42055</v>
      </c>
      <c r="Q17" s="367" t="s">
        <v>297</v>
      </c>
      <c r="R17" s="43" t="str">
        <f t="shared" si="1"/>
        <v>Snack</v>
      </c>
      <c r="S17" s="367"/>
      <c r="T17" s="367"/>
      <c r="U17" s="367"/>
      <c r="V17" s="367"/>
      <c r="W17" s="8"/>
      <c r="X17" s="8"/>
      <c r="Y17" s="8"/>
      <c r="AA17" s="310" t="s">
        <v>110</v>
      </c>
      <c r="AB17" s="315">
        <v>0.2</v>
      </c>
      <c r="AC17" s="316">
        <v>0.4</v>
      </c>
      <c r="AD17" s="316">
        <v>0.42</v>
      </c>
      <c r="AE17" s="316">
        <v>0.44</v>
      </c>
      <c r="AF17" s="316">
        <v>0.46</v>
      </c>
      <c r="AG17" s="317">
        <v>0.48</v>
      </c>
      <c r="AH17" s="6"/>
      <c r="AJ17" s="303">
        <v>8</v>
      </c>
      <c r="AK17" s="307" t="s">
        <v>33</v>
      </c>
      <c r="AL17" s="303">
        <v>243</v>
      </c>
      <c r="AM17" s="373">
        <f t="shared" si="5"/>
        <v>0.3</v>
      </c>
      <c r="AN17" s="318">
        <f t="shared" si="6"/>
        <v>170100</v>
      </c>
      <c r="AO17" s="282">
        <f t="shared" si="7"/>
        <v>2211300000</v>
      </c>
      <c r="AP17" s="113"/>
      <c r="AQ17" s="113"/>
      <c r="AR17" s="24"/>
    </row>
    <row r="18" spans="1:44" x14ac:dyDescent="0.25">
      <c r="A18" s="87">
        <v>6</v>
      </c>
      <c r="B18" s="89" t="s">
        <v>29</v>
      </c>
      <c r="C18" s="87">
        <v>66</v>
      </c>
      <c r="D18" s="118" t="str">
        <f t="shared" si="8"/>
        <v>Sepeda</v>
      </c>
      <c r="E18" s="86"/>
      <c r="F18" s="80"/>
      <c r="P18" s="370">
        <v>42058</v>
      </c>
      <c r="Q18" s="367" t="s">
        <v>520</v>
      </c>
      <c r="R18" s="43" t="str">
        <f t="shared" si="1"/>
        <v>Telor</v>
      </c>
      <c r="S18" s="367"/>
      <c r="T18" s="367"/>
      <c r="U18" s="367"/>
      <c r="V18" s="367"/>
      <c r="W18" s="8"/>
      <c r="X18" s="8"/>
      <c r="Y18" s="8"/>
      <c r="AA18" s="6"/>
      <c r="AB18" s="6"/>
      <c r="AC18" s="6"/>
      <c r="AD18" s="6"/>
      <c r="AE18" s="6"/>
      <c r="AF18" s="6"/>
      <c r="AG18" s="6"/>
      <c r="AH18" s="6"/>
      <c r="AJ18" s="305">
        <v>9</v>
      </c>
      <c r="AK18" s="308" t="s">
        <v>37</v>
      </c>
      <c r="AL18" s="305">
        <v>723</v>
      </c>
      <c r="AM18" s="373">
        <f t="shared" si="5"/>
        <v>0.3</v>
      </c>
      <c r="AN18" s="318">
        <f t="shared" si="6"/>
        <v>506100</v>
      </c>
      <c r="AO18" s="282">
        <f t="shared" si="7"/>
        <v>6579300000</v>
      </c>
      <c r="AP18" s="113"/>
      <c r="AQ18" s="113"/>
      <c r="AR18" s="24"/>
    </row>
    <row r="19" spans="1:44" x14ac:dyDescent="0.25">
      <c r="A19" s="87">
        <v>7</v>
      </c>
      <c r="B19" s="89" t="s">
        <v>35</v>
      </c>
      <c r="C19" s="87">
        <v>89</v>
      </c>
      <c r="D19" s="118" t="str">
        <f t="shared" si="8"/>
        <v>Motor</v>
      </c>
      <c r="E19" s="86"/>
      <c r="F19" s="80"/>
      <c r="P19" s="370">
        <v>42059</v>
      </c>
      <c r="Q19" s="367" t="s">
        <v>1175</v>
      </c>
      <c r="R19" s="43" t="str">
        <f t="shared" si="1"/>
        <v>Susu</v>
      </c>
      <c r="S19" s="367"/>
      <c r="T19" s="367"/>
      <c r="U19" s="367"/>
      <c r="V19" s="367"/>
      <c r="W19" s="8"/>
      <c r="X19" s="8"/>
      <c r="Y19" s="8"/>
      <c r="AA19" s="6"/>
      <c r="AB19" s="6"/>
      <c r="AC19" s="6"/>
      <c r="AD19" s="6"/>
      <c r="AE19" s="6"/>
      <c r="AF19" s="6"/>
      <c r="AG19" s="6"/>
      <c r="AH19" s="6"/>
      <c r="AJ19" s="303">
        <v>10</v>
      </c>
      <c r="AK19" s="304" t="s">
        <v>29</v>
      </c>
      <c r="AL19" s="303">
        <v>153</v>
      </c>
      <c r="AM19" s="373">
        <f t="shared" si="5"/>
        <v>0.2</v>
      </c>
      <c r="AN19" s="318">
        <f t="shared" si="6"/>
        <v>122400</v>
      </c>
      <c r="AO19" s="282">
        <f t="shared" si="7"/>
        <v>1591200000</v>
      </c>
      <c r="AP19" s="113"/>
      <c r="AQ19" s="113"/>
      <c r="AR19" s="24"/>
    </row>
    <row r="20" spans="1:44" x14ac:dyDescent="0.25">
      <c r="A20" s="87">
        <v>8</v>
      </c>
      <c r="B20" s="89" t="s">
        <v>53</v>
      </c>
      <c r="C20" s="87">
        <v>34</v>
      </c>
      <c r="D20" s="118" t="str">
        <f t="shared" si="8"/>
        <v>Tidak Ada</v>
      </c>
      <c r="E20" s="86"/>
      <c r="F20" s="80"/>
      <c r="P20" s="370">
        <v>42060</v>
      </c>
      <c r="Q20" s="367" t="s">
        <v>1173</v>
      </c>
      <c r="R20" s="43" t="str">
        <f t="shared" si="1"/>
        <v>Indomie</v>
      </c>
      <c r="S20" s="367"/>
      <c r="T20" s="367"/>
      <c r="U20" s="367"/>
      <c r="V20" s="367"/>
      <c r="AJ20" s="305">
        <v>11</v>
      </c>
      <c r="AK20" s="308" t="s">
        <v>35</v>
      </c>
      <c r="AL20" s="305">
        <v>85</v>
      </c>
      <c r="AM20" s="373">
        <f t="shared" si="5"/>
        <v>0.05</v>
      </c>
      <c r="AN20" s="318">
        <f t="shared" si="6"/>
        <v>80750</v>
      </c>
      <c r="AO20" s="282">
        <f t="shared" si="7"/>
        <v>1049750000</v>
      </c>
      <c r="AP20" s="113"/>
      <c r="AQ20" s="113"/>
      <c r="AR20" s="24"/>
    </row>
    <row r="21" spans="1:44" x14ac:dyDescent="0.25">
      <c r="A21" s="87">
        <v>9</v>
      </c>
      <c r="B21" s="89" t="s">
        <v>39</v>
      </c>
      <c r="C21" s="87">
        <v>49</v>
      </c>
      <c r="D21" s="118" t="str">
        <f t="shared" si="8"/>
        <v>Tidak Ada</v>
      </c>
      <c r="E21" s="86"/>
      <c r="F21" s="80"/>
      <c r="P21" s="370">
        <v>42061</v>
      </c>
      <c r="Q21" s="367" t="s">
        <v>139</v>
      </c>
      <c r="R21" s="43" t="str">
        <f t="shared" si="1"/>
        <v>Indomie</v>
      </c>
      <c r="S21" s="367"/>
      <c r="T21" s="367"/>
      <c r="U21" s="367"/>
      <c r="V21" s="367"/>
      <c r="AJ21" s="303">
        <v>12</v>
      </c>
      <c r="AK21" s="304" t="s">
        <v>53</v>
      </c>
      <c r="AL21" s="303">
        <v>145</v>
      </c>
      <c r="AM21" s="373">
        <f t="shared" si="5"/>
        <v>0.1</v>
      </c>
      <c r="AN21" s="318">
        <f t="shared" si="6"/>
        <v>130500</v>
      </c>
      <c r="AO21" s="282">
        <f t="shared" si="7"/>
        <v>1696500000</v>
      </c>
      <c r="AP21" s="113"/>
      <c r="AQ21" s="113"/>
      <c r="AR21" s="24"/>
    </row>
    <row r="22" spans="1:44" x14ac:dyDescent="0.25">
      <c r="A22" s="87">
        <v>10</v>
      </c>
      <c r="B22" s="89" t="s">
        <v>42</v>
      </c>
      <c r="C22" s="87">
        <v>59</v>
      </c>
      <c r="D22" s="118" t="str">
        <f t="shared" si="8"/>
        <v>Sepeda</v>
      </c>
      <c r="E22" s="86"/>
      <c r="F22" s="80"/>
      <c r="P22" s="370">
        <v>42062</v>
      </c>
      <c r="Q22" s="367" t="s">
        <v>586</v>
      </c>
      <c r="R22" s="43" t="str">
        <f t="shared" si="1"/>
        <v>Indomie</v>
      </c>
      <c r="S22" s="367"/>
      <c r="T22" s="367"/>
      <c r="U22" s="367"/>
      <c r="V22" s="367"/>
      <c r="AJ22" s="305">
        <v>13</v>
      </c>
      <c r="AK22" s="308" t="s">
        <v>39</v>
      </c>
      <c r="AL22" s="305">
        <v>93</v>
      </c>
      <c r="AM22" s="373">
        <f t="shared" si="5"/>
        <v>0.05</v>
      </c>
      <c r="AN22" s="318">
        <f t="shared" si="6"/>
        <v>88350</v>
      </c>
      <c r="AO22" s="282">
        <f t="shared" si="7"/>
        <v>1148550000</v>
      </c>
      <c r="AP22" s="113"/>
      <c r="AQ22" s="113"/>
      <c r="AR22" s="24"/>
    </row>
    <row r="23" spans="1:44" x14ac:dyDescent="0.25">
      <c r="A23" s="87">
        <v>11</v>
      </c>
      <c r="B23" s="89" t="s">
        <v>48</v>
      </c>
      <c r="C23" s="87">
        <v>83</v>
      </c>
      <c r="D23" s="118" t="str">
        <f t="shared" si="8"/>
        <v>Motor</v>
      </c>
      <c r="E23" s="86"/>
      <c r="F23" s="80"/>
      <c r="P23" s="370">
        <v>42065</v>
      </c>
      <c r="Q23" s="367" t="s">
        <v>143</v>
      </c>
      <c r="R23" s="43" t="str">
        <f t="shared" si="1"/>
        <v>Susu</v>
      </c>
      <c r="S23" s="367"/>
      <c r="T23" s="367"/>
      <c r="U23" s="367"/>
      <c r="V23" s="367"/>
      <c r="AJ23" s="303">
        <v>14</v>
      </c>
      <c r="AK23" s="304" t="s">
        <v>42</v>
      </c>
      <c r="AL23" s="303">
        <v>19</v>
      </c>
      <c r="AM23" s="373">
        <f t="shared" si="5"/>
        <v>0</v>
      </c>
      <c r="AN23" s="318">
        <f t="shared" si="6"/>
        <v>19000</v>
      </c>
      <c r="AO23" s="282">
        <f t="shared" si="7"/>
        <v>247000000</v>
      </c>
      <c r="AP23" s="113"/>
      <c r="AQ23" s="113"/>
      <c r="AR23" s="24"/>
    </row>
    <row r="24" spans="1:44" x14ac:dyDescent="0.25">
      <c r="A24" s="87">
        <v>12</v>
      </c>
      <c r="B24" s="89" t="s">
        <v>33</v>
      </c>
      <c r="C24" s="87">
        <v>58</v>
      </c>
      <c r="D24" s="118" t="str">
        <f t="shared" si="8"/>
        <v>Sepeda</v>
      </c>
      <c r="E24" s="86"/>
      <c r="F24" s="80"/>
      <c r="P24" s="370">
        <v>42066</v>
      </c>
      <c r="Q24" s="367" t="s">
        <v>142</v>
      </c>
      <c r="R24" s="43" t="str">
        <f t="shared" si="1"/>
        <v>Susu</v>
      </c>
      <c r="S24" s="367"/>
      <c r="T24" s="367"/>
      <c r="U24" s="367"/>
      <c r="V24" s="367"/>
      <c r="AJ24" s="305">
        <v>15</v>
      </c>
      <c r="AK24" s="308" t="s">
        <v>48</v>
      </c>
      <c r="AL24" s="305">
        <v>45</v>
      </c>
      <c r="AM24" s="373">
        <f t="shared" si="5"/>
        <v>0.05</v>
      </c>
      <c r="AN24" s="318">
        <f t="shared" si="6"/>
        <v>42750</v>
      </c>
      <c r="AO24" s="282">
        <f t="shared" si="7"/>
        <v>555750000</v>
      </c>
      <c r="AP24" s="113"/>
      <c r="AQ24" s="113"/>
      <c r="AR24" s="24"/>
    </row>
    <row r="25" spans="1:44" x14ac:dyDescent="0.25">
      <c r="A25" s="87">
        <v>13</v>
      </c>
      <c r="B25" s="89" t="s">
        <v>53</v>
      </c>
      <c r="C25" s="87">
        <v>45</v>
      </c>
      <c r="D25" s="118" t="str">
        <f t="shared" si="8"/>
        <v>Tidak Ada</v>
      </c>
      <c r="E25" s="85"/>
      <c r="F25" s="80"/>
      <c r="P25" s="370">
        <v>42067</v>
      </c>
      <c r="Q25" s="367" t="s">
        <v>75</v>
      </c>
      <c r="R25" s="43" t="str">
        <f t="shared" si="1"/>
        <v>Snack</v>
      </c>
      <c r="S25" s="367"/>
      <c r="T25" s="367"/>
      <c r="U25" s="367"/>
      <c r="V25" s="367"/>
      <c r="AJ25" s="303">
        <v>16</v>
      </c>
      <c r="AK25" s="304" t="s">
        <v>33</v>
      </c>
      <c r="AL25" s="303">
        <v>262</v>
      </c>
      <c r="AM25" s="373">
        <f t="shared" si="5"/>
        <v>0.3</v>
      </c>
      <c r="AN25" s="318">
        <f t="shared" si="6"/>
        <v>183400</v>
      </c>
      <c r="AO25" s="282">
        <f t="shared" si="7"/>
        <v>2384200000</v>
      </c>
      <c r="AP25" s="113"/>
      <c r="AQ25" s="113"/>
      <c r="AR25" s="24"/>
    </row>
    <row r="26" spans="1:44" x14ac:dyDescent="0.25">
      <c r="A26" s="87">
        <v>14</v>
      </c>
      <c r="B26" s="89" t="s">
        <v>39</v>
      </c>
      <c r="C26" s="87">
        <v>67</v>
      </c>
      <c r="D26" s="118" t="str">
        <f t="shared" si="8"/>
        <v>Sepeda</v>
      </c>
      <c r="E26" s="85"/>
      <c r="F26" s="80"/>
      <c r="P26" s="370">
        <v>42068</v>
      </c>
      <c r="Q26" s="367" t="s">
        <v>139</v>
      </c>
      <c r="R26" s="43" t="str">
        <f t="shared" si="1"/>
        <v>Indomie</v>
      </c>
      <c r="S26" s="367"/>
      <c r="T26" s="367"/>
      <c r="U26" s="367"/>
      <c r="V26" s="367"/>
      <c r="AJ26" s="305">
        <v>17</v>
      </c>
      <c r="AK26" s="308" t="s">
        <v>41</v>
      </c>
      <c r="AL26" s="305">
        <v>178</v>
      </c>
      <c r="AM26" s="373">
        <f t="shared" si="5"/>
        <v>0.2</v>
      </c>
      <c r="AN26" s="318">
        <f t="shared" si="6"/>
        <v>142400</v>
      </c>
      <c r="AO26" s="282">
        <f t="shared" si="7"/>
        <v>1851200000</v>
      </c>
      <c r="AP26" s="113"/>
      <c r="AQ26" s="113"/>
      <c r="AR26" s="24"/>
    </row>
    <row r="27" spans="1:44" x14ac:dyDescent="0.25">
      <c r="A27" s="87">
        <v>15</v>
      </c>
      <c r="B27" s="89" t="s">
        <v>42</v>
      </c>
      <c r="C27" s="87">
        <v>84</v>
      </c>
      <c r="D27" s="118" t="str">
        <f t="shared" si="8"/>
        <v>Motor</v>
      </c>
      <c r="E27" s="85"/>
      <c r="F27" s="80"/>
      <c r="P27" s="370">
        <v>42069</v>
      </c>
      <c r="Q27" s="367" t="s">
        <v>472</v>
      </c>
      <c r="R27" s="43" t="str">
        <f t="shared" si="1"/>
        <v>Telor</v>
      </c>
      <c r="S27" s="367"/>
      <c r="T27" s="367"/>
      <c r="U27" s="367"/>
      <c r="V27" s="367"/>
      <c r="AJ27" s="303">
        <v>18</v>
      </c>
      <c r="AK27" s="304" t="s">
        <v>45</v>
      </c>
      <c r="AL27" s="303">
        <v>133</v>
      </c>
      <c r="AM27" s="373">
        <f t="shared" si="5"/>
        <v>0.1</v>
      </c>
      <c r="AN27" s="318">
        <f t="shared" si="6"/>
        <v>119700</v>
      </c>
      <c r="AO27" s="282">
        <f t="shared" si="7"/>
        <v>1556100000</v>
      </c>
      <c r="AP27" s="113"/>
      <c r="AQ27" s="113"/>
      <c r="AR27" s="24"/>
    </row>
    <row r="28" spans="1:44" x14ac:dyDescent="0.25">
      <c r="A28" s="87">
        <v>16</v>
      </c>
      <c r="B28" s="89" t="s">
        <v>48</v>
      </c>
      <c r="C28" s="87">
        <v>83</v>
      </c>
      <c r="D28" s="118" t="str">
        <f t="shared" si="8"/>
        <v>Motor</v>
      </c>
      <c r="E28" s="85"/>
      <c r="F28" s="80"/>
      <c r="P28" s="370">
        <v>42072</v>
      </c>
      <c r="Q28" s="367" t="s">
        <v>297</v>
      </c>
      <c r="R28" s="43" t="str">
        <f t="shared" si="1"/>
        <v>Snack</v>
      </c>
      <c r="S28" s="367"/>
      <c r="T28" s="367"/>
      <c r="U28" s="367"/>
      <c r="V28" s="367"/>
      <c r="AJ28" s="305">
        <v>19</v>
      </c>
      <c r="AK28" s="308" t="s">
        <v>52</v>
      </c>
      <c r="AL28" s="305">
        <v>35</v>
      </c>
      <c r="AM28" s="373">
        <f t="shared" si="5"/>
        <v>0.05</v>
      </c>
      <c r="AN28" s="318">
        <f t="shared" si="6"/>
        <v>33250</v>
      </c>
      <c r="AO28" s="282">
        <f t="shared" si="7"/>
        <v>432250000</v>
      </c>
      <c r="AP28" s="113"/>
      <c r="AQ28" s="113"/>
      <c r="AR28" s="24"/>
    </row>
    <row r="29" spans="1:44" x14ac:dyDescent="0.25">
      <c r="A29" s="87">
        <v>17</v>
      </c>
      <c r="B29" s="89" t="s">
        <v>33</v>
      </c>
      <c r="C29" s="87">
        <v>56</v>
      </c>
      <c r="D29" s="118" t="str">
        <f t="shared" si="8"/>
        <v>Sepeda</v>
      </c>
      <c r="E29" s="85"/>
      <c r="F29" s="80"/>
      <c r="P29" s="370">
        <v>42073</v>
      </c>
      <c r="Q29" s="367" t="s">
        <v>143</v>
      </c>
      <c r="R29" s="43" t="str">
        <f t="shared" si="1"/>
        <v>Susu</v>
      </c>
      <c r="S29" s="367"/>
      <c r="T29" s="367"/>
      <c r="U29" s="367"/>
      <c r="V29" s="367"/>
      <c r="AJ29" s="303">
        <v>20</v>
      </c>
      <c r="AK29" s="304" t="s">
        <v>38</v>
      </c>
      <c r="AL29" s="303">
        <v>78</v>
      </c>
      <c r="AM29" s="373">
        <f t="shared" si="5"/>
        <v>0.05</v>
      </c>
      <c r="AN29" s="318">
        <f t="shared" si="6"/>
        <v>74100</v>
      </c>
      <c r="AO29" s="282">
        <f t="shared" si="7"/>
        <v>963300000</v>
      </c>
      <c r="AP29" s="113"/>
      <c r="AQ29" s="113"/>
      <c r="AR29" s="24"/>
    </row>
    <row r="30" spans="1:44" x14ac:dyDescent="0.25">
      <c r="A30" s="87">
        <v>18</v>
      </c>
      <c r="B30" s="89" t="s">
        <v>41</v>
      </c>
      <c r="C30" s="87">
        <v>94</v>
      </c>
      <c r="D30" s="118" t="str">
        <f t="shared" si="8"/>
        <v>Motor</v>
      </c>
      <c r="E30" s="85"/>
      <c r="F30" s="80"/>
      <c r="P30" s="370">
        <v>42074</v>
      </c>
      <c r="Q30" s="367" t="s">
        <v>142</v>
      </c>
      <c r="R30" s="43" t="str">
        <f t="shared" si="1"/>
        <v>Susu</v>
      </c>
      <c r="S30" s="367"/>
      <c r="T30" s="367"/>
      <c r="U30" s="367"/>
      <c r="V30" s="367"/>
      <c r="AJ30" s="305">
        <v>21</v>
      </c>
      <c r="AK30" s="308" t="s">
        <v>32</v>
      </c>
      <c r="AL30" s="305">
        <v>163</v>
      </c>
      <c r="AM30" s="373">
        <f t="shared" si="5"/>
        <v>0.2</v>
      </c>
      <c r="AN30" s="318">
        <f t="shared" si="6"/>
        <v>130400</v>
      </c>
      <c r="AO30" s="282">
        <f t="shared" si="7"/>
        <v>1695200000</v>
      </c>
      <c r="AP30" s="113"/>
      <c r="AQ30" s="113"/>
      <c r="AR30" s="24"/>
    </row>
    <row r="31" spans="1:44" x14ac:dyDescent="0.25">
      <c r="A31" s="87">
        <v>19</v>
      </c>
      <c r="B31" s="89" t="s">
        <v>45</v>
      </c>
      <c r="C31" s="87">
        <v>30</v>
      </c>
      <c r="D31" s="118" t="str">
        <f t="shared" si="8"/>
        <v>Tidak Ada</v>
      </c>
      <c r="E31" s="85"/>
      <c r="F31" s="80"/>
      <c r="P31" s="370">
        <v>42075</v>
      </c>
      <c r="Q31" s="367" t="s">
        <v>139</v>
      </c>
      <c r="R31" s="43" t="str">
        <f t="shared" si="1"/>
        <v>Indomie</v>
      </c>
      <c r="S31" s="367"/>
      <c r="T31" s="367"/>
      <c r="U31" s="367"/>
      <c r="V31" s="367"/>
      <c r="AJ31" s="303">
        <v>22</v>
      </c>
      <c r="AK31" s="304" t="s">
        <v>89</v>
      </c>
      <c r="AL31" s="303">
        <v>214</v>
      </c>
      <c r="AM31" s="373">
        <f t="shared" si="5"/>
        <v>0.3</v>
      </c>
      <c r="AN31" s="318">
        <f t="shared" si="6"/>
        <v>149800</v>
      </c>
      <c r="AO31" s="282">
        <f t="shared" si="7"/>
        <v>1947400000</v>
      </c>
      <c r="AP31" s="113"/>
      <c r="AQ31" s="113"/>
      <c r="AR31" s="24"/>
    </row>
    <row r="32" spans="1:44" x14ac:dyDescent="0.25">
      <c r="A32" s="87">
        <v>20</v>
      </c>
      <c r="B32" s="89" t="s">
        <v>43</v>
      </c>
      <c r="C32" s="87">
        <v>60</v>
      </c>
      <c r="D32" s="118" t="str">
        <f t="shared" si="8"/>
        <v>Sepeda</v>
      </c>
      <c r="E32" s="85"/>
      <c r="F32" s="80"/>
      <c r="AJ32" s="305">
        <v>23</v>
      </c>
      <c r="AK32" s="308" t="s">
        <v>49</v>
      </c>
      <c r="AL32" s="305">
        <v>156</v>
      </c>
      <c r="AM32" s="373">
        <f t="shared" si="5"/>
        <v>0.2</v>
      </c>
      <c r="AN32" s="318">
        <f t="shared" si="6"/>
        <v>124800</v>
      </c>
      <c r="AO32" s="282">
        <f t="shared" si="7"/>
        <v>1622400000</v>
      </c>
      <c r="AP32" s="113"/>
      <c r="AQ32" s="113"/>
      <c r="AR32" s="24"/>
    </row>
    <row r="33" spans="1:44" x14ac:dyDescent="0.25">
      <c r="A33" s="87">
        <v>21</v>
      </c>
      <c r="B33" s="89" t="s">
        <v>59</v>
      </c>
      <c r="C33" s="87">
        <v>70</v>
      </c>
      <c r="D33" s="118" t="str">
        <f t="shared" si="8"/>
        <v>Sepeda</v>
      </c>
      <c r="E33" s="85"/>
      <c r="F33" s="80"/>
      <c r="AJ33" s="303">
        <v>24</v>
      </c>
      <c r="AK33" s="304" t="s">
        <v>37</v>
      </c>
      <c r="AL33" s="303">
        <v>128</v>
      </c>
      <c r="AM33" s="373">
        <f t="shared" si="5"/>
        <v>0.1</v>
      </c>
      <c r="AN33" s="318">
        <f t="shared" si="6"/>
        <v>115200</v>
      </c>
      <c r="AO33" s="282">
        <f t="shared" si="7"/>
        <v>1497600000</v>
      </c>
      <c r="AP33" s="113"/>
      <c r="AQ33" s="113"/>
      <c r="AR33" s="24"/>
    </row>
    <row r="34" spans="1:44" x14ac:dyDescent="0.25">
      <c r="A34" s="91"/>
      <c r="B34" s="80"/>
      <c r="C34" s="80"/>
      <c r="D34" s="80"/>
      <c r="E34" s="80"/>
      <c r="F34" s="80"/>
      <c r="AJ34" s="387" t="s">
        <v>11</v>
      </c>
      <c r="AK34" s="387"/>
      <c r="AL34" s="308"/>
      <c r="AM34" s="373"/>
      <c r="AN34" s="318">
        <f>SUM(AN10:AN33)</f>
        <v>2925300</v>
      </c>
      <c r="AO34" s="318">
        <f>SUM(AO10:AO33)</f>
        <v>38028900000</v>
      </c>
      <c r="AP34" s="24"/>
      <c r="AQ34" s="24"/>
      <c r="AR34" s="24"/>
    </row>
    <row r="35" spans="1:44" x14ac:dyDescent="0.25">
      <c r="A35" s="19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 x14ac:dyDescent="0.25">
      <c r="A36" s="19"/>
    </row>
    <row r="37" spans="1:44" x14ac:dyDescent="0.25">
      <c r="A37" s="19"/>
    </row>
  </sheetData>
  <mergeCells count="4">
    <mergeCell ref="A1:B1"/>
    <mergeCell ref="A4:F6"/>
    <mergeCell ref="AJ3:AR7"/>
    <mergeCell ref="AJ34:AK34"/>
  </mergeCells>
  <pageMargins left="0.7" right="0.7" top="0.75" bottom="0.75" header="0.3" footer="0.3"/>
  <pageSetup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"/>
  <sheetViews>
    <sheetView topLeftCell="A8" zoomScale="70" workbookViewId="0">
      <selection activeCell="M16" sqref="M16"/>
    </sheetView>
  </sheetViews>
  <sheetFormatPr defaultRowHeight="15" x14ac:dyDescent="0.25"/>
  <cols>
    <col min="1" max="1" width="5.5703125" style="19" customWidth="1"/>
    <col min="2" max="2" width="24.7109375" customWidth="1"/>
    <col min="3" max="3" width="10.42578125" customWidth="1"/>
    <col min="4" max="4" width="17.7109375" customWidth="1"/>
    <col min="5" max="5" width="20.5703125" customWidth="1"/>
    <col min="6" max="6" width="22" style="124" customWidth="1"/>
    <col min="7" max="7" width="9.140625" customWidth="1"/>
    <col min="8" max="8" width="9.42578125" bestFit="1" customWidth="1"/>
    <col min="9" max="9" width="10.42578125" bestFit="1" customWidth="1"/>
    <col min="10" max="10" width="27.42578125" customWidth="1"/>
    <col min="11" max="11" width="15.85546875" bestFit="1" customWidth="1"/>
    <col min="12" max="12" width="16.42578125" style="19" customWidth="1"/>
    <col min="13" max="13" width="18" customWidth="1"/>
  </cols>
  <sheetData>
    <row r="1" spans="1:14" ht="21" x14ac:dyDescent="0.35">
      <c r="A1" s="388" t="s">
        <v>183</v>
      </c>
      <c r="B1" s="388"/>
      <c r="C1" s="388"/>
      <c r="D1" s="388"/>
      <c r="E1" s="388"/>
      <c r="F1" s="388"/>
    </row>
    <row r="3" spans="1:14" ht="18" customHeight="1" x14ac:dyDescent="0.25">
      <c r="A3" s="134" t="s">
        <v>83</v>
      </c>
      <c r="B3" s="135" t="s">
        <v>184</v>
      </c>
      <c r="C3" s="135" t="s">
        <v>185</v>
      </c>
      <c r="D3" s="135" t="s">
        <v>186</v>
      </c>
      <c r="E3" s="136" t="s">
        <v>187</v>
      </c>
      <c r="F3" s="137" t="s">
        <v>188</v>
      </c>
    </row>
    <row r="4" spans="1:14" x14ac:dyDescent="0.25">
      <c r="A4" s="134">
        <v>1</v>
      </c>
      <c r="B4" s="138" t="s">
        <v>189</v>
      </c>
      <c r="C4" s="138" t="s">
        <v>211</v>
      </c>
      <c r="D4" s="139" t="str">
        <f>_xlfn.XLOOKUP(C4,$I$5:$I$14,$J$5:$J$14)</f>
        <v>Buku Fiksi</v>
      </c>
      <c r="E4" s="139" t="str">
        <f>_xlfn.XLOOKUP(C4,$I$5:$I$14,$K$5:$K$14)</f>
        <v>Magnacompress</v>
      </c>
      <c r="F4" s="140">
        <f>_xlfn.XLOOKUP(C4,$I$5:$I$14,$L$5:$L$14)</f>
        <v>3</v>
      </c>
      <c r="H4" s="125" t="s">
        <v>280</v>
      </c>
      <c r="I4" s="125" t="s">
        <v>185</v>
      </c>
      <c r="J4" s="125" t="s">
        <v>186</v>
      </c>
      <c r="K4" s="125" t="s">
        <v>187</v>
      </c>
      <c r="L4" s="126" t="s">
        <v>188</v>
      </c>
      <c r="M4" s="126" t="s">
        <v>279</v>
      </c>
    </row>
    <row r="5" spans="1:14" x14ac:dyDescent="0.25">
      <c r="A5" s="134">
        <v>2</v>
      </c>
      <c r="B5" s="138" t="s">
        <v>190</v>
      </c>
      <c r="C5" s="138" t="s">
        <v>199</v>
      </c>
      <c r="D5" s="139" t="str">
        <f t="shared" ref="D5:D68" si="0">_xlfn.XLOOKUP(C5,$I$5:$I$14,$J$5:$J$14)</f>
        <v>Buku Pemasaran</v>
      </c>
      <c r="E5" s="139" t="str">
        <f t="shared" ref="E5:E68" si="1">_xlfn.XLOOKUP(C5,$I$5:$I$14,$K$5:$K$14)</f>
        <v>Ghalia Pustaka</v>
      </c>
      <c r="F5" s="140">
        <f t="shared" ref="F5:F68" si="2">_xlfn.XLOOKUP(C5,$I$5:$I$14,$L$5:$L$14)</f>
        <v>2</v>
      </c>
      <c r="H5" s="6" t="s">
        <v>281</v>
      </c>
      <c r="I5" s="6" t="s">
        <v>191</v>
      </c>
      <c r="J5" s="6" t="s">
        <v>192</v>
      </c>
      <c r="K5" s="6" t="s">
        <v>193</v>
      </c>
      <c r="L5" s="127">
        <v>3</v>
      </c>
      <c r="M5" s="374">
        <f>COUNTIF($D$4:$D$73,J5)</f>
        <v>9</v>
      </c>
    </row>
    <row r="6" spans="1:14" x14ac:dyDescent="0.25">
      <c r="A6" s="134">
        <v>3</v>
      </c>
      <c r="B6" s="138" t="s">
        <v>194</v>
      </c>
      <c r="C6" s="138" t="s">
        <v>195</v>
      </c>
      <c r="D6" s="139" t="str">
        <f t="shared" si="0"/>
        <v>Buku Pendidikan</v>
      </c>
      <c r="E6" s="139" t="str">
        <f t="shared" si="1"/>
        <v>Andi Press</v>
      </c>
      <c r="F6" s="140">
        <f t="shared" si="2"/>
        <v>4</v>
      </c>
      <c r="H6" s="6" t="s">
        <v>47</v>
      </c>
      <c r="I6" s="6" t="s">
        <v>195</v>
      </c>
      <c r="J6" s="6" t="s">
        <v>196</v>
      </c>
      <c r="K6" s="6" t="s">
        <v>197</v>
      </c>
      <c r="L6" s="127">
        <v>4</v>
      </c>
      <c r="M6" s="374">
        <f t="shared" ref="M6:M14" si="3">COUNTIF($D$4:$D$73,J6)</f>
        <v>18</v>
      </c>
    </row>
    <row r="7" spans="1:14" x14ac:dyDescent="0.25">
      <c r="A7" s="134">
        <v>4</v>
      </c>
      <c r="B7" s="138" t="s">
        <v>198</v>
      </c>
      <c r="C7" s="138" t="s">
        <v>207</v>
      </c>
      <c r="D7" s="139" t="str">
        <f t="shared" si="0"/>
        <v>Science</v>
      </c>
      <c r="E7" s="139" t="str">
        <f t="shared" si="1"/>
        <v>Alpha Beta press</v>
      </c>
      <c r="F7" s="140">
        <f t="shared" si="2"/>
        <v>3</v>
      </c>
      <c r="H7" s="6" t="s">
        <v>282</v>
      </c>
      <c r="I7" s="6" t="s">
        <v>199</v>
      </c>
      <c r="J7" s="6" t="s">
        <v>200</v>
      </c>
      <c r="K7" s="6" t="s">
        <v>201</v>
      </c>
      <c r="L7" s="127">
        <v>2</v>
      </c>
      <c r="M7" s="374">
        <f t="shared" si="3"/>
        <v>8</v>
      </c>
    </row>
    <row r="8" spans="1:14" x14ac:dyDescent="0.25">
      <c r="A8" s="134">
        <v>5</v>
      </c>
      <c r="B8" s="138" t="s">
        <v>202</v>
      </c>
      <c r="C8" s="138" t="s">
        <v>199</v>
      </c>
      <c r="D8" s="139" t="str">
        <f t="shared" si="0"/>
        <v>Buku Pemasaran</v>
      </c>
      <c r="E8" s="139" t="str">
        <f t="shared" si="1"/>
        <v>Ghalia Pustaka</v>
      </c>
      <c r="F8" s="140">
        <f t="shared" si="2"/>
        <v>2</v>
      </c>
      <c r="H8" s="6" t="s">
        <v>283</v>
      </c>
      <c r="I8" s="6" t="s">
        <v>203</v>
      </c>
      <c r="J8" s="6" t="s">
        <v>204</v>
      </c>
      <c r="K8" s="6" t="s">
        <v>205</v>
      </c>
      <c r="L8" s="127">
        <v>4</v>
      </c>
      <c r="M8" s="374">
        <f t="shared" si="3"/>
        <v>9</v>
      </c>
    </row>
    <row r="9" spans="1:14" x14ac:dyDescent="0.25">
      <c r="A9" s="134">
        <v>6</v>
      </c>
      <c r="B9" s="138" t="s">
        <v>206</v>
      </c>
      <c r="C9" s="138" t="s">
        <v>195</v>
      </c>
      <c r="D9" s="139" t="str">
        <f t="shared" si="0"/>
        <v>Buku Pendidikan</v>
      </c>
      <c r="E9" s="139" t="str">
        <f t="shared" si="1"/>
        <v>Andi Press</v>
      </c>
      <c r="F9" s="140">
        <f t="shared" si="2"/>
        <v>4</v>
      </c>
      <c r="H9" s="6" t="s">
        <v>284</v>
      </c>
      <c r="I9" s="6" t="s">
        <v>207</v>
      </c>
      <c r="J9" s="6" t="s">
        <v>208</v>
      </c>
      <c r="K9" s="6" t="s">
        <v>209</v>
      </c>
      <c r="L9" s="127">
        <v>3</v>
      </c>
      <c r="M9" s="374">
        <f t="shared" si="3"/>
        <v>3</v>
      </c>
    </row>
    <row r="10" spans="1:14" x14ac:dyDescent="0.25">
      <c r="A10" s="134">
        <v>7</v>
      </c>
      <c r="B10" s="138" t="s">
        <v>210</v>
      </c>
      <c r="C10" s="138" t="s">
        <v>199</v>
      </c>
      <c r="D10" s="139" t="str">
        <f t="shared" si="0"/>
        <v>Buku Pemasaran</v>
      </c>
      <c r="E10" s="139" t="str">
        <f t="shared" si="1"/>
        <v>Ghalia Pustaka</v>
      </c>
      <c r="F10" s="140">
        <f t="shared" si="2"/>
        <v>2</v>
      </c>
      <c r="H10" s="6" t="s">
        <v>285</v>
      </c>
      <c r="I10" s="6" t="s">
        <v>211</v>
      </c>
      <c r="J10" s="6" t="s">
        <v>212</v>
      </c>
      <c r="K10" s="133" t="s">
        <v>278</v>
      </c>
      <c r="L10" s="127">
        <v>3</v>
      </c>
      <c r="M10" s="374">
        <f t="shared" si="3"/>
        <v>4</v>
      </c>
    </row>
    <row r="11" spans="1:14" x14ac:dyDescent="0.25">
      <c r="A11" s="134">
        <v>8</v>
      </c>
      <c r="B11" s="138" t="s">
        <v>213</v>
      </c>
      <c r="C11" s="138" t="s">
        <v>203</v>
      </c>
      <c r="D11" s="139" t="str">
        <f t="shared" si="0"/>
        <v>Novel</v>
      </c>
      <c r="E11" s="139" t="str">
        <f t="shared" si="1"/>
        <v>Elex Media</v>
      </c>
      <c r="F11" s="140">
        <f t="shared" si="2"/>
        <v>4</v>
      </c>
      <c r="H11" s="125" t="s">
        <v>288</v>
      </c>
      <c r="I11" s="6" t="s">
        <v>214</v>
      </c>
      <c r="J11" s="6" t="s">
        <v>215</v>
      </c>
      <c r="K11" s="6" t="s">
        <v>216</v>
      </c>
      <c r="L11" s="127">
        <v>2</v>
      </c>
      <c r="M11" s="374">
        <f t="shared" si="3"/>
        <v>7</v>
      </c>
    </row>
    <row r="12" spans="1:14" x14ac:dyDescent="0.25">
      <c r="A12" s="134">
        <v>9</v>
      </c>
      <c r="B12" s="138" t="s">
        <v>210</v>
      </c>
      <c r="C12" s="138" t="s">
        <v>199</v>
      </c>
      <c r="D12" s="139" t="str">
        <f t="shared" si="0"/>
        <v>Buku Pemasaran</v>
      </c>
      <c r="E12" s="139" t="str">
        <f t="shared" si="1"/>
        <v>Ghalia Pustaka</v>
      </c>
      <c r="F12" s="140">
        <f t="shared" si="2"/>
        <v>2</v>
      </c>
      <c r="H12" s="6" t="s">
        <v>55</v>
      </c>
      <c r="I12" s="6" t="s">
        <v>217</v>
      </c>
      <c r="J12" s="6" t="s">
        <v>218</v>
      </c>
      <c r="K12" s="6" t="s">
        <v>219</v>
      </c>
      <c r="L12" s="127">
        <v>3</v>
      </c>
      <c r="M12" s="374">
        <f t="shared" si="3"/>
        <v>3</v>
      </c>
    </row>
    <row r="13" spans="1:14" x14ac:dyDescent="0.25">
      <c r="A13" s="134">
        <v>10</v>
      </c>
      <c r="B13" s="138" t="s">
        <v>189</v>
      </c>
      <c r="C13" s="138" t="s">
        <v>203</v>
      </c>
      <c r="D13" s="139" t="str">
        <f t="shared" si="0"/>
        <v>Novel</v>
      </c>
      <c r="E13" s="139" t="str">
        <f t="shared" si="1"/>
        <v>Elex Media</v>
      </c>
      <c r="F13" s="140">
        <f t="shared" si="2"/>
        <v>4</v>
      </c>
      <c r="H13" s="6" t="s">
        <v>286</v>
      </c>
      <c r="I13" s="6" t="s">
        <v>220</v>
      </c>
      <c r="J13" s="6" t="s">
        <v>221</v>
      </c>
      <c r="K13" s="6" t="s">
        <v>222</v>
      </c>
      <c r="L13" s="127">
        <v>4</v>
      </c>
      <c r="M13" s="374">
        <f t="shared" si="3"/>
        <v>6</v>
      </c>
    </row>
    <row r="14" spans="1:14" x14ac:dyDescent="0.25">
      <c r="A14" s="134">
        <v>11</v>
      </c>
      <c r="B14" s="138" t="s">
        <v>223</v>
      </c>
      <c r="C14" s="138" t="s">
        <v>191</v>
      </c>
      <c r="D14" s="139" t="str">
        <f t="shared" si="0"/>
        <v>Buku Komputer</v>
      </c>
      <c r="E14" s="139" t="str">
        <f t="shared" si="1"/>
        <v>Gramedia</v>
      </c>
      <c r="F14" s="140">
        <f t="shared" si="2"/>
        <v>3</v>
      </c>
      <c r="H14" s="6" t="s">
        <v>287</v>
      </c>
      <c r="I14" s="6" t="s">
        <v>224</v>
      </c>
      <c r="J14" s="6" t="s">
        <v>225</v>
      </c>
      <c r="K14" s="6" t="s">
        <v>226</v>
      </c>
      <c r="L14" s="127">
        <v>3</v>
      </c>
      <c r="M14" s="374">
        <f t="shared" si="3"/>
        <v>3</v>
      </c>
    </row>
    <row r="15" spans="1:14" x14ac:dyDescent="0.25">
      <c r="A15" s="134">
        <v>12</v>
      </c>
      <c r="B15" s="138" t="s">
        <v>227</v>
      </c>
      <c r="C15" s="138" t="s">
        <v>199</v>
      </c>
      <c r="D15" s="139" t="str">
        <f t="shared" si="0"/>
        <v>Buku Pemasaran</v>
      </c>
      <c r="E15" s="139" t="str">
        <f t="shared" si="1"/>
        <v>Ghalia Pustaka</v>
      </c>
      <c r="F15" s="140">
        <f t="shared" si="2"/>
        <v>2</v>
      </c>
      <c r="H15" s="6"/>
      <c r="I15" s="6"/>
      <c r="J15" s="6"/>
      <c r="K15" s="6"/>
      <c r="L15" s="128"/>
      <c r="M15" s="6">
        <f>SUM(M5:M14)</f>
        <v>70</v>
      </c>
    </row>
    <row r="16" spans="1:14" x14ac:dyDescent="0.25">
      <c r="A16" s="134">
        <v>13</v>
      </c>
      <c r="B16" s="138" t="s">
        <v>228</v>
      </c>
      <c r="C16" s="138" t="s">
        <v>195</v>
      </c>
      <c r="D16" s="139" t="str">
        <f t="shared" si="0"/>
        <v>Buku Pendidikan</v>
      </c>
      <c r="E16" s="139" t="str">
        <f t="shared" si="1"/>
        <v>Andi Press</v>
      </c>
      <c r="F16" s="140">
        <f t="shared" si="2"/>
        <v>4</v>
      </c>
      <c r="I16" s="129"/>
      <c r="J16" s="129"/>
      <c r="K16" s="129"/>
      <c r="L16" s="130"/>
      <c r="M16" s="129"/>
      <c r="N16" s="129"/>
    </row>
    <row r="17" spans="1:14" x14ac:dyDescent="0.25">
      <c r="A17" s="134">
        <v>14</v>
      </c>
      <c r="B17" s="138" t="s">
        <v>229</v>
      </c>
      <c r="C17" s="138" t="s">
        <v>203</v>
      </c>
      <c r="D17" s="139" t="str">
        <f t="shared" si="0"/>
        <v>Novel</v>
      </c>
      <c r="E17" s="139" t="str">
        <f t="shared" si="1"/>
        <v>Elex Media</v>
      </c>
      <c r="F17" s="140">
        <f t="shared" si="2"/>
        <v>4</v>
      </c>
      <c r="I17" s="131"/>
      <c r="J17" s="129"/>
      <c r="K17" s="129"/>
      <c r="L17" s="130"/>
      <c r="M17" s="129"/>
      <c r="N17" s="129"/>
    </row>
    <row r="18" spans="1:14" x14ac:dyDescent="0.25">
      <c r="A18" s="134">
        <v>15</v>
      </c>
      <c r="B18" s="138" t="s">
        <v>230</v>
      </c>
      <c r="C18" s="138" t="s">
        <v>195</v>
      </c>
      <c r="D18" s="139" t="str">
        <f t="shared" si="0"/>
        <v>Buku Pendidikan</v>
      </c>
      <c r="E18" s="139" t="str">
        <f t="shared" si="1"/>
        <v>Andi Press</v>
      </c>
      <c r="F18" s="140">
        <f t="shared" si="2"/>
        <v>4</v>
      </c>
      <c r="I18" s="132"/>
    </row>
    <row r="19" spans="1:14" x14ac:dyDescent="0.25">
      <c r="A19" s="134">
        <v>16</v>
      </c>
      <c r="B19" s="138" t="s">
        <v>231</v>
      </c>
      <c r="C19" s="138" t="s">
        <v>195</v>
      </c>
      <c r="D19" s="139" t="str">
        <f t="shared" si="0"/>
        <v>Buku Pendidikan</v>
      </c>
      <c r="E19" s="139" t="str">
        <f t="shared" si="1"/>
        <v>Andi Press</v>
      </c>
      <c r="F19" s="140">
        <f t="shared" si="2"/>
        <v>4</v>
      </c>
    </row>
    <row r="20" spans="1:14" x14ac:dyDescent="0.25">
      <c r="A20" s="134">
        <v>17</v>
      </c>
      <c r="B20" s="138" t="s">
        <v>232</v>
      </c>
      <c r="C20" s="138" t="s">
        <v>191</v>
      </c>
      <c r="D20" s="139" t="str">
        <f t="shared" si="0"/>
        <v>Buku Komputer</v>
      </c>
      <c r="E20" s="139" t="str">
        <f t="shared" si="1"/>
        <v>Gramedia</v>
      </c>
      <c r="F20" s="140">
        <f t="shared" si="2"/>
        <v>3</v>
      </c>
    </row>
    <row r="21" spans="1:14" x14ac:dyDescent="0.25">
      <c r="A21" s="134">
        <v>18</v>
      </c>
      <c r="B21" s="138" t="s">
        <v>233</v>
      </c>
      <c r="C21" s="138" t="s">
        <v>203</v>
      </c>
      <c r="D21" s="139" t="str">
        <f t="shared" si="0"/>
        <v>Novel</v>
      </c>
      <c r="E21" s="139" t="str">
        <f t="shared" si="1"/>
        <v>Elex Media</v>
      </c>
      <c r="F21" s="140">
        <f t="shared" si="2"/>
        <v>4</v>
      </c>
    </row>
    <row r="22" spans="1:14" x14ac:dyDescent="0.25">
      <c r="A22" s="134">
        <v>19</v>
      </c>
      <c r="B22" s="138" t="s">
        <v>234</v>
      </c>
      <c r="C22" s="138" t="s">
        <v>211</v>
      </c>
      <c r="D22" s="139" t="str">
        <f t="shared" si="0"/>
        <v>Buku Fiksi</v>
      </c>
      <c r="E22" s="139" t="str">
        <f t="shared" si="1"/>
        <v>Magnacompress</v>
      </c>
      <c r="F22" s="140">
        <f t="shared" si="2"/>
        <v>3</v>
      </c>
    </row>
    <row r="23" spans="1:14" x14ac:dyDescent="0.25">
      <c r="A23" s="134">
        <v>20</v>
      </c>
      <c r="B23" s="138" t="s">
        <v>235</v>
      </c>
      <c r="C23" s="138" t="s">
        <v>214</v>
      </c>
      <c r="D23" s="139" t="str">
        <f t="shared" si="0"/>
        <v>Tabloid</v>
      </c>
      <c r="E23" s="139" t="str">
        <f t="shared" si="1"/>
        <v>Media Jaya</v>
      </c>
      <c r="F23" s="140">
        <f t="shared" si="2"/>
        <v>2</v>
      </c>
    </row>
    <row r="24" spans="1:14" x14ac:dyDescent="0.25">
      <c r="A24" s="134">
        <v>21</v>
      </c>
      <c r="B24" s="138" t="s">
        <v>236</v>
      </c>
      <c r="C24" s="138" t="s">
        <v>195</v>
      </c>
      <c r="D24" s="139" t="str">
        <f t="shared" si="0"/>
        <v>Buku Pendidikan</v>
      </c>
      <c r="E24" s="139" t="str">
        <f t="shared" si="1"/>
        <v>Andi Press</v>
      </c>
      <c r="F24" s="140">
        <f t="shared" si="2"/>
        <v>4</v>
      </c>
    </row>
    <row r="25" spans="1:14" x14ac:dyDescent="0.25">
      <c r="A25" s="134">
        <v>22</v>
      </c>
      <c r="B25" s="138" t="s">
        <v>237</v>
      </c>
      <c r="C25" s="138" t="s">
        <v>195</v>
      </c>
      <c r="D25" s="139" t="str">
        <f t="shared" si="0"/>
        <v>Buku Pendidikan</v>
      </c>
      <c r="E25" s="139" t="str">
        <f t="shared" si="1"/>
        <v>Andi Press</v>
      </c>
      <c r="F25" s="140">
        <f t="shared" si="2"/>
        <v>4</v>
      </c>
    </row>
    <row r="26" spans="1:14" x14ac:dyDescent="0.25">
      <c r="A26" s="134">
        <v>23</v>
      </c>
      <c r="B26" s="138" t="s">
        <v>238</v>
      </c>
      <c r="C26" s="138" t="s">
        <v>191</v>
      </c>
      <c r="D26" s="139" t="str">
        <f t="shared" si="0"/>
        <v>Buku Komputer</v>
      </c>
      <c r="E26" s="139" t="str">
        <f t="shared" si="1"/>
        <v>Gramedia</v>
      </c>
      <c r="F26" s="140">
        <f t="shared" si="2"/>
        <v>3</v>
      </c>
    </row>
    <row r="27" spans="1:14" x14ac:dyDescent="0.25">
      <c r="A27" s="134">
        <v>24</v>
      </c>
      <c r="B27" s="138" t="s">
        <v>239</v>
      </c>
      <c r="C27" s="138" t="s">
        <v>220</v>
      </c>
      <c r="D27" s="139" t="str">
        <f t="shared" si="0"/>
        <v>Buku Pertanian</v>
      </c>
      <c r="E27" s="139" t="str">
        <f t="shared" si="1"/>
        <v>Tani Makmur</v>
      </c>
      <c r="F27" s="140">
        <f t="shared" si="2"/>
        <v>4</v>
      </c>
    </row>
    <row r="28" spans="1:14" x14ac:dyDescent="0.25">
      <c r="A28" s="134">
        <v>25</v>
      </c>
      <c r="B28" s="138" t="s">
        <v>238</v>
      </c>
      <c r="C28" s="138" t="s">
        <v>191</v>
      </c>
      <c r="D28" s="139" t="str">
        <f t="shared" si="0"/>
        <v>Buku Komputer</v>
      </c>
      <c r="E28" s="139" t="str">
        <f t="shared" si="1"/>
        <v>Gramedia</v>
      </c>
      <c r="F28" s="140">
        <f t="shared" si="2"/>
        <v>3</v>
      </c>
      <c r="L28"/>
    </row>
    <row r="29" spans="1:14" x14ac:dyDescent="0.25">
      <c r="A29" s="134">
        <v>26</v>
      </c>
      <c r="B29" s="138" t="s">
        <v>238</v>
      </c>
      <c r="C29" s="138" t="s">
        <v>191</v>
      </c>
      <c r="D29" s="139" t="str">
        <f t="shared" si="0"/>
        <v>Buku Komputer</v>
      </c>
      <c r="E29" s="139" t="str">
        <f t="shared" si="1"/>
        <v>Gramedia</v>
      </c>
      <c r="F29" s="140">
        <f t="shared" si="2"/>
        <v>3</v>
      </c>
      <c r="L29"/>
    </row>
    <row r="30" spans="1:14" x14ac:dyDescent="0.25">
      <c r="A30" s="134">
        <v>27</v>
      </c>
      <c r="B30" s="138" t="s">
        <v>240</v>
      </c>
      <c r="C30" s="138" t="s">
        <v>195</v>
      </c>
      <c r="D30" s="139" t="str">
        <f t="shared" si="0"/>
        <v>Buku Pendidikan</v>
      </c>
      <c r="E30" s="139" t="str">
        <f t="shared" si="1"/>
        <v>Andi Press</v>
      </c>
      <c r="F30" s="140">
        <f t="shared" si="2"/>
        <v>4</v>
      </c>
      <c r="L30"/>
    </row>
    <row r="31" spans="1:14" x14ac:dyDescent="0.25">
      <c r="A31" s="134">
        <v>28</v>
      </c>
      <c r="B31" s="138" t="s">
        <v>238</v>
      </c>
      <c r="C31" s="138" t="s">
        <v>191</v>
      </c>
      <c r="D31" s="139" t="str">
        <f t="shared" si="0"/>
        <v>Buku Komputer</v>
      </c>
      <c r="E31" s="139" t="str">
        <f t="shared" si="1"/>
        <v>Gramedia</v>
      </c>
      <c r="F31" s="140">
        <f t="shared" si="2"/>
        <v>3</v>
      </c>
      <c r="L31"/>
    </row>
    <row r="32" spans="1:14" x14ac:dyDescent="0.25">
      <c r="A32" s="134">
        <v>29</v>
      </c>
      <c r="B32" s="138" t="s">
        <v>190</v>
      </c>
      <c r="C32" s="138" t="s">
        <v>199</v>
      </c>
      <c r="D32" s="139" t="str">
        <f t="shared" si="0"/>
        <v>Buku Pemasaran</v>
      </c>
      <c r="E32" s="139" t="str">
        <f t="shared" si="1"/>
        <v>Ghalia Pustaka</v>
      </c>
      <c r="F32" s="140">
        <f t="shared" si="2"/>
        <v>2</v>
      </c>
      <c r="L32"/>
    </row>
    <row r="33" spans="1:12" x14ac:dyDescent="0.25">
      <c r="A33" s="134">
        <v>30</v>
      </c>
      <c r="B33" s="138" t="s">
        <v>241</v>
      </c>
      <c r="C33" s="138" t="s">
        <v>195</v>
      </c>
      <c r="D33" s="139" t="str">
        <f t="shared" si="0"/>
        <v>Buku Pendidikan</v>
      </c>
      <c r="E33" s="139" t="str">
        <f t="shared" si="1"/>
        <v>Andi Press</v>
      </c>
      <c r="F33" s="140">
        <f t="shared" si="2"/>
        <v>4</v>
      </c>
      <c r="L33"/>
    </row>
    <row r="34" spans="1:12" x14ac:dyDescent="0.25">
      <c r="A34" s="134">
        <v>31</v>
      </c>
      <c r="B34" s="138" t="s">
        <v>242</v>
      </c>
      <c r="C34" s="138" t="s">
        <v>199</v>
      </c>
      <c r="D34" s="139" t="str">
        <f t="shared" si="0"/>
        <v>Buku Pemasaran</v>
      </c>
      <c r="E34" s="139" t="str">
        <f t="shared" si="1"/>
        <v>Ghalia Pustaka</v>
      </c>
      <c r="F34" s="140">
        <f t="shared" si="2"/>
        <v>2</v>
      </c>
      <c r="L34"/>
    </row>
    <row r="35" spans="1:12" x14ac:dyDescent="0.25">
      <c r="A35" s="134">
        <v>32</v>
      </c>
      <c r="B35" s="138" t="s">
        <v>243</v>
      </c>
      <c r="C35" s="138" t="s">
        <v>195</v>
      </c>
      <c r="D35" s="139" t="str">
        <f t="shared" si="0"/>
        <v>Buku Pendidikan</v>
      </c>
      <c r="E35" s="139" t="str">
        <f t="shared" si="1"/>
        <v>Andi Press</v>
      </c>
      <c r="F35" s="140">
        <f t="shared" si="2"/>
        <v>4</v>
      </c>
      <c r="L35"/>
    </row>
    <row r="36" spans="1:12" x14ac:dyDescent="0.25">
      <c r="A36" s="134">
        <v>33</v>
      </c>
      <c r="B36" s="138" t="s">
        <v>244</v>
      </c>
      <c r="C36" s="138" t="s">
        <v>224</v>
      </c>
      <c r="D36" s="139" t="str">
        <f t="shared" si="0"/>
        <v xml:space="preserve">Jurnal </v>
      </c>
      <c r="E36" s="139" t="str">
        <f t="shared" si="1"/>
        <v>IPB Press</v>
      </c>
      <c r="F36" s="140">
        <f t="shared" si="2"/>
        <v>3</v>
      </c>
      <c r="L36"/>
    </row>
    <row r="37" spans="1:12" x14ac:dyDescent="0.25">
      <c r="A37" s="134">
        <v>34</v>
      </c>
      <c r="B37" s="138" t="s">
        <v>243</v>
      </c>
      <c r="C37" s="138" t="s">
        <v>195</v>
      </c>
      <c r="D37" s="139" t="str">
        <f t="shared" si="0"/>
        <v>Buku Pendidikan</v>
      </c>
      <c r="E37" s="139" t="str">
        <f t="shared" si="1"/>
        <v>Andi Press</v>
      </c>
      <c r="F37" s="140">
        <f t="shared" si="2"/>
        <v>4</v>
      </c>
      <c r="L37"/>
    </row>
    <row r="38" spans="1:12" x14ac:dyDescent="0.25">
      <c r="A38" s="134">
        <v>35</v>
      </c>
      <c r="B38" s="138" t="s">
        <v>245</v>
      </c>
      <c r="C38" s="138" t="s">
        <v>211</v>
      </c>
      <c r="D38" s="139" t="str">
        <f t="shared" si="0"/>
        <v>Buku Fiksi</v>
      </c>
      <c r="E38" s="139" t="str">
        <f t="shared" si="1"/>
        <v>Magnacompress</v>
      </c>
      <c r="F38" s="140">
        <f t="shared" si="2"/>
        <v>3</v>
      </c>
      <c r="L38"/>
    </row>
    <row r="39" spans="1:12" x14ac:dyDescent="0.25">
      <c r="A39" s="134">
        <v>36</v>
      </c>
      <c r="B39" s="138" t="s">
        <v>246</v>
      </c>
      <c r="C39" s="138" t="s">
        <v>217</v>
      </c>
      <c r="D39" s="139" t="str">
        <f t="shared" si="0"/>
        <v>Majalah</v>
      </c>
      <c r="E39" s="139" t="str">
        <f t="shared" si="1"/>
        <v>Trubus</v>
      </c>
      <c r="F39" s="140">
        <f t="shared" si="2"/>
        <v>3</v>
      </c>
      <c r="L39"/>
    </row>
    <row r="40" spans="1:12" x14ac:dyDescent="0.25">
      <c r="A40" s="134">
        <v>37</v>
      </c>
      <c r="B40" s="138" t="s">
        <v>247</v>
      </c>
      <c r="C40" s="138" t="s">
        <v>217</v>
      </c>
      <c r="D40" s="139" t="str">
        <f t="shared" si="0"/>
        <v>Majalah</v>
      </c>
      <c r="E40" s="139" t="str">
        <f t="shared" si="1"/>
        <v>Trubus</v>
      </c>
      <c r="F40" s="140">
        <f t="shared" si="2"/>
        <v>3</v>
      </c>
      <c r="L40"/>
    </row>
    <row r="41" spans="1:12" x14ac:dyDescent="0.25">
      <c r="A41" s="134">
        <v>38</v>
      </c>
      <c r="B41" s="138" t="s">
        <v>206</v>
      </c>
      <c r="C41" s="138" t="s">
        <v>195</v>
      </c>
      <c r="D41" s="139" t="str">
        <f t="shared" si="0"/>
        <v>Buku Pendidikan</v>
      </c>
      <c r="E41" s="139" t="str">
        <f t="shared" si="1"/>
        <v>Andi Press</v>
      </c>
      <c r="F41" s="140">
        <f t="shared" si="2"/>
        <v>4</v>
      </c>
      <c r="L41"/>
    </row>
    <row r="42" spans="1:12" x14ac:dyDescent="0.25">
      <c r="A42" s="134">
        <v>39</v>
      </c>
      <c r="B42" s="138" t="s">
        <v>248</v>
      </c>
      <c r="C42" s="138" t="s">
        <v>195</v>
      </c>
      <c r="D42" s="139" t="str">
        <f t="shared" si="0"/>
        <v>Buku Pendidikan</v>
      </c>
      <c r="E42" s="139" t="str">
        <f t="shared" si="1"/>
        <v>Andi Press</v>
      </c>
      <c r="F42" s="140">
        <f t="shared" si="2"/>
        <v>4</v>
      </c>
      <c r="L42"/>
    </row>
    <row r="43" spans="1:12" x14ac:dyDescent="0.25">
      <c r="A43" s="134">
        <v>40</v>
      </c>
      <c r="B43" s="138" t="s">
        <v>249</v>
      </c>
      <c r="C43" s="138" t="s">
        <v>214</v>
      </c>
      <c r="D43" s="139" t="str">
        <f t="shared" si="0"/>
        <v>Tabloid</v>
      </c>
      <c r="E43" s="139" t="str">
        <f t="shared" si="1"/>
        <v>Media Jaya</v>
      </c>
      <c r="F43" s="140">
        <f t="shared" si="2"/>
        <v>2</v>
      </c>
      <c r="L43"/>
    </row>
    <row r="44" spans="1:12" x14ac:dyDescent="0.25">
      <c r="A44" s="134">
        <v>41</v>
      </c>
      <c r="B44" s="138" t="s">
        <v>250</v>
      </c>
      <c r="C44" s="138" t="s">
        <v>220</v>
      </c>
      <c r="D44" s="139" t="str">
        <f t="shared" si="0"/>
        <v>Buku Pertanian</v>
      </c>
      <c r="E44" s="139" t="str">
        <f t="shared" si="1"/>
        <v>Tani Makmur</v>
      </c>
      <c r="F44" s="140">
        <f t="shared" si="2"/>
        <v>4</v>
      </c>
      <c r="L44"/>
    </row>
    <row r="45" spans="1:12" x14ac:dyDescent="0.25">
      <c r="A45" s="134">
        <v>42</v>
      </c>
      <c r="B45" s="138" t="s">
        <v>251</v>
      </c>
      <c r="C45" s="138" t="s">
        <v>220</v>
      </c>
      <c r="D45" s="139" t="str">
        <f t="shared" si="0"/>
        <v>Buku Pertanian</v>
      </c>
      <c r="E45" s="139" t="str">
        <f t="shared" si="1"/>
        <v>Tani Makmur</v>
      </c>
      <c r="F45" s="140">
        <f t="shared" si="2"/>
        <v>4</v>
      </c>
      <c r="L45"/>
    </row>
    <row r="46" spans="1:12" x14ac:dyDescent="0.25">
      <c r="A46" s="134">
        <v>43</v>
      </c>
      <c r="B46" s="138" t="s">
        <v>252</v>
      </c>
      <c r="C46" s="138" t="s">
        <v>214</v>
      </c>
      <c r="D46" s="139" t="str">
        <f t="shared" si="0"/>
        <v>Tabloid</v>
      </c>
      <c r="E46" s="139" t="str">
        <f t="shared" si="1"/>
        <v>Media Jaya</v>
      </c>
      <c r="F46" s="140">
        <f t="shared" si="2"/>
        <v>2</v>
      </c>
      <c r="L46"/>
    </row>
    <row r="47" spans="1:12" x14ac:dyDescent="0.25">
      <c r="A47" s="134">
        <v>44</v>
      </c>
      <c r="B47" s="138" t="s">
        <v>253</v>
      </c>
      <c r="C47" s="138" t="s">
        <v>199</v>
      </c>
      <c r="D47" s="139" t="str">
        <f t="shared" si="0"/>
        <v>Buku Pemasaran</v>
      </c>
      <c r="E47" s="139" t="str">
        <f t="shared" si="1"/>
        <v>Ghalia Pustaka</v>
      </c>
      <c r="F47" s="140">
        <f t="shared" si="2"/>
        <v>2</v>
      </c>
      <c r="L47"/>
    </row>
    <row r="48" spans="1:12" x14ac:dyDescent="0.25">
      <c r="A48" s="134">
        <v>45</v>
      </c>
      <c r="B48" s="138" t="s">
        <v>254</v>
      </c>
      <c r="C48" s="138" t="s">
        <v>195</v>
      </c>
      <c r="D48" s="139" t="str">
        <f t="shared" si="0"/>
        <v>Buku Pendidikan</v>
      </c>
      <c r="E48" s="139" t="str">
        <f t="shared" si="1"/>
        <v>Andi Press</v>
      </c>
      <c r="F48" s="140">
        <f t="shared" si="2"/>
        <v>4</v>
      </c>
      <c r="L48"/>
    </row>
    <row r="49" spans="1:12" x14ac:dyDescent="0.25">
      <c r="A49" s="134">
        <v>46</v>
      </c>
      <c r="B49" s="138" t="s">
        <v>255</v>
      </c>
      <c r="C49" s="138" t="s">
        <v>214</v>
      </c>
      <c r="D49" s="139" t="str">
        <f t="shared" si="0"/>
        <v>Tabloid</v>
      </c>
      <c r="E49" s="139" t="str">
        <f t="shared" si="1"/>
        <v>Media Jaya</v>
      </c>
      <c r="F49" s="140">
        <f t="shared" si="2"/>
        <v>2</v>
      </c>
      <c r="L49"/>
    </row>
    <row r="50" spans="1:12" x14ac:dyDescent="0.25">
      <c r="A50" s="134">
        <v>47</v>
      </c>
      <c r="B50" s="138" t="s">
        <v>256</v>
      </c>
      <c r="C50" s="138" t="s">
        <v>224</v>
      </c>
      <c r="D50" s="139" t="str">
        <f t="shared" si="0"/>
        <v xml:space="preserve">Jurnal </v>
      </c>
      <c r="E50" s="139" t="str">
        <f t="shared" si="1"/>
        <v>IPB Press</v>
      </c>
      <c r="F50" s="140">
        <f t="shared" si="2"/>
        <v>3</v>
      </c>
      <c r="L50"/>
    </row>
    <row r="51" spans="1:12" x14ac:dyDescent="0.25">
      <c r="A51" s="134">
        <v>48</v>
      </c>
      <c r="B51" s="138" t="s">
        <v>257</v>
      </c>
      <c r="C51" s="138" t="s">
        <v>224</v>
      </c>
      <c r="D51" s="139" t="str">
        <f t="shared" si="0"/>
        <v xml:space="preserve">Jurnal </v>
      </c>
      <c r="E51" s="139" t="str">
        <f t="shared" si="1"/>
        <v>IPB Press</v>
      </c>
      <c r="F51" s="140">
        <f t="shared" si="2"/>
        <v>3</v>
      </c>
      <c r="L51"/>
    </row>
    <row r="52" spans="1:12" x14ac:dyDescent="0.25">
      <c r="A52" s="134">
        <v>49</v>
      </c>
      <c r="B52" s="138" t="s">
        <v>258</v>
      </c>
      <c r="C52" s="138" t="s">
        <v>195</v>
      </c>
      <c r="D52" s="139" t="str">
        <f t="shared" si="0"/>
        <v>Buku Pendidikan</v>
      </c>
      <c r="E52" s="139" t="str">
        <f t="shared" si="1"/>
        <v>Andi Press</v>
      </c>
      <c r="F52" s="140">
        <f t="shared" si="2"/>
        <v>4</v>
      </c>
      <c r="L52"/>
    </row>
    <row r="53" spans="1:12" x14ac:dyDescent="0.25">
      <c r="A53" s="134">
        <v>50</v>
      </c>
      <c r="B53" s="138" t="s">
        <v>259</v>
      </c>
      <c r="C53" s="138" t="s">
        <v>211</v>
      </c>
      <c r="D53" s="139" t="str">
        <f t="shared" si="0"/>
        <v>Buku Fiksi</v>
      </c>
      <c r="E53" s="139" t="str">
        <f t="shared" si="1"/>
        <v>Magnacompress</v>
      </c>
      <c r="F53" s="140">
        <f t="shared" si="2"/>
        <v>3</v>
      </c>
      <c r="L53"/>
    </row>
    <row r="54" spans="1:12" x14ac:dyDescent="0.25">
      <c r="A54" s="134">
        <v>51</v>
      </c>
      <c r="B54" s="138" t="s">
        <v>260</v>
      </c>
      <c r="C54" s="138" t="s">
        <v>195</v>
      </c>
      <c r="D54" s="139" t="str">
        <f t="shared" si="0"/>
        <v>Buku Pendidikan</v>
      </c>
      <c r="E54" s="139" t="str">
        <f t="shared" si="1"/>
        <v>Andi Press</v>
      </c>
      <c r="F54" s="140">
        <f t="shared" si="2"/>
        <v>4</v>
      </c>
    </row>
    <row r="55" spans="1:12" x14ac:dyDescent="0.25">
      <c r="A55" s="134">
        <v>52</v>
      </c>
      <c r="B55" s="138" t="s">
        <v>261</v>
      </c>
      <c r="C55" s="138" t="s">
        <v>207</v>
      </c>
      <c r="D55" s="139" t="str">
        <f t="shared" si="0"/>
        <v>Science</v>
      </c>
      <c r="E55" s="139" t="str">
        <f t="shared" si="1"/>
        <v>Alpha Beta press</v>
      </c>
      <c r="F55" s="140">
        <f t="shared" si="2"/>
        <v>3</v>
      </c>
    </row>
    <row r="56" spans="1:12" x14ac:dyDescent="0.25">
      <c r="A56" s="134">
        <v>53</v>
      </c>
      <c r="B56" s="138" t="s">
        <v>262</v>
      </c>
      <c r="C56" s="138" t="s">
        <v>191</v>
      </c>
      <c r="D56" s="139" t="str">
        <f t="shared" si="0"/>
        <v>Buku Komputer</v>
      </c>
      <c r="E56" s="139" t="str">
        <f t="shared" si="1"/>
        <v>Gramedia</v>
      </c>
      <c r="F56" s="140">
        <f t="shared" si="2"/>
        <v>3</v>
      </c>
    </row>
    <row r="57" spans="1:12" x14ac:dyDescent="0.25">
      <c r="A57" s="134">
        <v>54</v>
      </c>
      <c r="B57" s="138" t="s">
        <v>263</v>
      </c>
      <c r="C57" s="138" t="s">
        <v>207</v>
      </c>
      <c r="D57" s="139" t="str">
        <f t="shared" si="0"/>
        <v>Science</v>
      </c>
      <c r="E57" s="139" t="str">
        <f t="shared" si="1"/>
        <v>Alpha Beta press</v>
      </c>
      <c r="F57" s="140">
        <f t="shared" si="2"/>
        <v>3</v>
      </c>
    </row>
    <row r="58" spans="1:12" x14ac:dyDescent="0.25">
      <c r="A58" s="134">
        <v>55</v>
      </c>
      <c r="B58" s="138" t="s">
        <v>264</v>
      </c>
      <c r="C58" s="138" t="s">
        <v>191</v>
      </c>
      <c r="D58" s="139" t="str">
        <f t="shared" si="0"/>
        <v>Buku Komputer</v>
      </c>
      <c r="E58" s="139" t="str">
        <f t="shared" si="1"/>
        <v>Gramedia</v>
      </c>
      <c r="F58" s="140">
        <f t="shared" si="2"/>
        <v>3</v>
      </c>
    </row>
    <row r="59" spans="1:12" x14ac:dyDescent="0.25">
      <c r="A59" s="134">
        <v>56</v>
      </c>
      <c r="B59" s="138" t="s">
        <v>243</v>
      </c>
      <c r="C59" s="138" t="s">
        <v>195</v>
      </c>
      <c r="D59" s="139" t="str">
        <f t="shared" si="0"/>
        <v>Buku Pendidikan</v>
      </c>
      <c r="E59" s="139" t="str">
        <f t="shared" si="1"/>
        <v>Andi Press</v>
      </c>
      <c r="F59" s="140">
        <f t="shared" si="2"/>
        <v>4</v>
      </c>
    </row>
    <row r="60" spans="1:12" x14ac:dyDescent="0.25">
      <c r="A60" s="134">
        <v>57</v>
      </c>
      <c r="B60" s="138" t="s">
        <v>189</v>
      </c>
      <c r="C60" s="138" t="s">
        <v>203</v>
      </c>
      <c r="D60" s="139" t="str">
        <f t="shared" si="0"/>
        <v>Novel</v>
      </c>
      <c r="E60" s="139" t="str">
        <f t="shared" si="1"/>
        <v>Elex Media</v>
      </c>
      <c r="F60" s="140">
        <f t="shared" si="2"/>
        <v>4</v>
      </c>
    </row>
    <row r="61" spans="1:12" x14ac:dyDescent="0.25">
      <c r="A61" s="134">
        <v>58</v>
      </c>
      <c r="B61" s="138" t="s">
        <v>265</v>
      </c>
      <c r="C61" s="138" t="s">
        <v>214</v>
      </c>
      <c r="D61" s="139" t="str">
        <f t="shared" si="0"/>
        <v>Tabloid</v>
      </c>
      <c r="E61" s="139" t="str">
        <f t="shared" si="1"/>
        <v>Media Jaya</v>
      </c>
      <c r="F61" s="140">
        <f t="shared" si="2"/>
        <v>2</v>
      </c>
    </row>
    <row r="62" spans="1:12" x14ac:dyDescent="0.25">
      <c r="A62" s="134">
        <v>59</v>
      </c>
      <c r="B62" s="138" t="s">
        <v>266</v>
      </c>
      <c r="C62" s="138" t="s">
        <v>220</v>
      </c>
      <c r="D62" s="139" t="str">
        <f t="shared" si="0"/>
        <v>Buku Pertanian</v>
      </c>
      <c r="E62" s="139" t="str">
        <f t="shared" si="1"/>
        <v>Tani Makmur</v>
      </c>
      <c r="F62" s="140">
        <f t="shared" si="2"/>
        <v>4</v>
      </c>
    </row>
    <row r="63" spans="1:12" x14ac:dyDescent="0.25">
      <c r="A63" s="134">
        <v>60</v>
      </c>
      <c r="B63" s="138" t="s">
        <v>267</v>
      </c>
      <c r="C63" s="138" t="s">
        <v>203</v>
      </c>
      <c r="D63" s="139" t="str">
        <f t="shared" si="0"/>
        <v>Novel</v>
      </c>
      <c r="E63" s="139" t="str">
        <f t="shared" si="1"/>
        <v>Elex Media</v>
      </c>
      <c r="F63" s="140">
        <f t="shared" si="2"/>
        <v>4</v>
      </c>
    </row>
    <row r="64" spans="1:12" x14ac:dyDescent="0.25">
      <c r="A64" s="134">
        <v>61</v>
      </c>
      <c r="B64" s="138" t="s">
        <v>268</v>
      </c>
      <c r="C64" s="138" t="s">
        <v>217</v>
      </c>
      <c r="D64" s="139" t="str">
        <f t="shared" si="0"/>
        <v>Majalah</v>
      </c>
      <c r="E64" s="139" t="str">
        <f t="shared" si="1"/>
        <v>Trubus</v>
      </c>
      <c r="F64" s="140">
        <f t="shared" si="2"/>
        <v>3</v>
      </c>
    </row>
    <row r="65" spans="1:12" x14ac:dyDescent="0.25">
      <c r="A65" s="134">
        <v>62</v>
      </c>
      <c r="B65" s="138" t="s">
        <v>269</v>
      </c>
      <c r="C65" s="138" t="s">
        <v>191</v>
      </c>
      <c r="D65" s="139" t="str">
        <f t="shared" si="0"/>
        <v>Buku Komputer</v>
      </c>
      <c r="E65" s="139" t="str">
        <f t="shared" si="1"/>
        <v>Gramedia</v>
      </c>
      <c r="F65" s="140">
        <f t="shared" si="2"/>
        <v>3</v>
      </c>
    </row>
    <row r="66" spans="1:12" x14ac:dyDescent="0.25">
      <c r="A66" s="134">
        <v>63</v>
      </c>
      <c r="B66" s="138" t="s">
        <v>270</v>
      </c>
      <c r="C66" s="138" t="s">
        <v>214</v>
      </c>
      <c r="D66" s="139" t="str">
        <f t="shared" si="0"/>
        <v>Tabloid</v>
      </c>
      <c r="E66" s="139" t="str">
        <f t="shared" si="1"/>
        <v>Media Jaya</v>
      </c>
      <c r="F66" s="140">
        <f t="shared" si="2"/>
        <v>2</v>
      </c>
    </row>
    <row r="67" spans="1:12" x14ac:dyDescent="0.25">
      <c r="A67" s="134">
        <v>64</v>
      </c>
      <c r="B67" s="138" t="s">
        <v>271</v>
      </c>
      <c r="C67" s="138" t="s">
        <v>220</v>
      </c>
      <c r="D67" s="139" t="str">
        <f t="shared" si="0"/>
        <v>Buku Pertanian</v>
      </c>
      <c r="E67" s="139" t="str">
        <f t="shared" si="1"/>
        <v>Tani Makmur</v>
      </c>
      <c r="F67" s="140">
        <f t="shared" si="2"/>
        <v>4</v>
      </c>
      <c r="L67"/>
    </row>
    <row r="68" spans="1:12" x14ac:dyDescent="0.25">
      <c r="A68" s="134">
        <v>65</v>
      </c>
      <c r="B68" s="138" t="s">
        <v>272</v>
      </c>
      <c r="C68" s="138" t="s">
        <v>203</v>
      </c>
      <c r="D68" s="139" t="str">
        <f t="shared" si="0"/>
        <v>Novel</v>
      </c>
      <c r="E68" s="139" t="str">
        <f t="shared" si="1"/>
        <v>Elex Media</v>
      </c>
      <c r="F68" s="140">
        <f t="shared" si="2"/>
        <v>4</v>
      </c>
      <c r="L68"/>
    </row>
    <row r="69" spans="1:12" x14ac:dyDescent="0.25">
      <c r="A69" s="134">
        <v>66</v>
      </c>
      <c r="B69" s="138" t="s">
        <v>273</v>
      </c>
      <c r="C69" s="138" t="s">
        <v>203</v>
      </c>
      <c r="D69" s="139" t="str">
        <f t="shared" ref="D69:D73" si="4">_xlfn.XLOOKUP(C69,$I$5:$I$14,$J$5:$J$14)</f>
        <v>Novel</v>
      </c>
      <c r="E69" s="139" t="str">
        <f t="shared" ref="E69:E73" si="5">_xlfn.XLOOKUP(C69,$I$5:$I$14,$K$5:$K$14)</f>
        <v>Elex Media</v>
      </c>
      <c r="F69" s="140">
        <f t="shared" ref="F69:F73" si="6">_xlfn.XLOOKUP(C69,$I$5:$I$14,$L$5:$L$14)</f>
        <v>4</v>
      </c>
      <c r="L69"/>
    </row>
    <row r="70" spans="1:12" x14ac:dyDescent="0.25">
      <c r="A70" s="134">
        <v>67</v>
      </c>
      <c r="B70" s="138" t="s">
        <v>274</v>
      </c>
      <c r="C70" s="138" t="s">
        <v>203</v>
      </c>
      <c r="D70" s="139" t="str">
        <f t="shared" si="4"/>
        <v>Novel</v>
      </c>
      <c r="E70" s="139" t="str">
        <f t="shared" si="5"/>
        <v>Elex Media</v>
      </c>
      <c r="F70" s="140">
        <f t="shared" si="6"/>
        <v>4</v>
      </c>
      <c r="L70"/>
    </row>
    <row r="71" spans="1:12" x14ac:dyDescent="0.25">
      <c r="A71" s="134">
        <v>68</v>
      </c>
      <c r="B71" s="138" t="s">
        <v>275</v>
      </c>
      <c r="C71" s="138" t="s">
        <v>195</v>
      </c>
      <c r="D71" s="139" t="str">
        <f t="shared" si="4"/>
        <v>Buku Pendidikan</v>
      </c>
      <c r="E71" s="139" t="str">
        <f t="shared" si="5"/>
        <v>Andi Press</v>
      </c>
      <c r="F71" s="140">
        <f t="shared" si="6"/>
        <v>4</v>
      </c>
      <c r="L71"/>
    </row>
    <row r="72" spans="1:12" x14ac:dyDescent="0.25">
      <c r="A72" s="134">
        <v>69</v>
      </c>
      <c r="B72" s="138" t="s">
        <v>276</v>
      </c>
      <c r="C72" s="138" t="s">
        <v>220</v>
      </c>
      <c r="D72" s="139" t="str">
        <f t="shared" si="4"/>
        <v>Buku Pertanian</v>
      </c>
      <c r="E72" s="139" t="str">
        <f t="shared" si="5"/>
        <v>Tani Makmur</v>
      </c>
      <c r="F72" s="140">
        <f t="shared" si="6"/>
        <v>4</v>
      </c>
      <c r="L72"/>
    </row>
    <row r="73" spans="1:12" x14ac:dyDescent="0.25">
      <c r="A73" s="134">
        <v>70</v>
      </c>
      <c r="B73" s="138" t="s">
        <v>277</v>
      </c>
      <c r="C73" s="138" t="s">
        <v>214</v>
      </c>
      <c r="D73" s="139" t="str">
        <f t="shared" si="4"/>
        <v>Tabloid</v>
      </c>
      <c r="E73" s="139" t="str">
        <f t="shared" si="5"/>
        <v>Media Jaya</v>
      </c>
      <c r="F73" s="140">
        <f t="shared" si="6"/>
        <v>2</v>
      </c>
      <c r="L7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8"/>
  <sheetViews>
    <sheetView zoomScale="128" workbookViewId="0">
      <selection activeCell="C5" sqref="C5"/>
    </sheetView>
  </sheetViews>
  <sheetFormatPr defaultRowHeight="15" x14ac:dyDescent="0.25"/>
  <cols>
    <col min="1" max="1" width="7" style="19" customWidth="1"/>
    <col min="2" max="2" width="17.42578125" style="19" customWidth="1"/>
    <col min="3" max="3" width="22.7109375" style="19" bestFit="1" customWidth="1"/>
    <col min="4" max="4" width="33.140625" style="268" bestFit="1" customWidth="1"/>
    <col min="5" max="5" width="15.28515625" style="19" bestFit="1" customWidth="1"/>
    <col min="6" max="6" width="9.140625" style="19"/>
  </cols>
  <sheetData>
    <row r="1" spans="1:10" ht="15.75" x14ac:dyDescent="0.25">
      <c r="A1" s="319"/>
      <c r="B1" s="320" t="s">
        <v>647</v>
      </c>
      <c r="C1" s="323" t="s">
        <v>659</v>
      </c>
      <c r="D1" s="321"/>
      <c r="E1" s="319"/>
      <c r="F1" s="319"/>
      <c r="G1" s="322"/>
      <c r="J1" s="309" t="e">
        <f>VLOOKUP(C1,$A$6:$E$97,ROW(),0)</f>
        <v>#N/A</v>
      </c>
    </row>
    <row r="2" spans="1:10" ht="15.75" x14ac:dyDescent="0.25">
      <c r="A2" s="319"/>
      <c r="B2" s="326" t="s">
        <v>648</v>
      </c>
      <c r="C2" s="327" t="str">
        <f>VLOOKUP(C1,$B$7:$E$97,2,FALSE)</f>
        <v>Antonio Moreno</v>
      </c>
      <c r="D2" s="321"/>
      <c r="E2" s="319"/>
      <c r="F2" s="319"/>
      <c r="G2" s="322"/>
      <c r="J2" s="309" t="e">
        <f>VLOOKUP(#REF!,$A$6:$E$97,ROW(),0)</f>
        <v>#REF!</v>
      </c>
    </row>
    <row r="3" spans="1:10" ht="15.75" x14ac:dyDescent="0.25">
      <c r="A3" s="319"/>
      <c r="B3" s="326" t="s">
        <v>649</v>
      </c>
      <c r="C3" s="327" t="str">
        <f>VLOOKUP(C1,$B$7:$E$97,3,FALSE)</f>
        <v>Antonio Moreno Taquería</v>
      </c>
      <c r="D3" s="321"/>
      <c r="E3" s="319"/>
      <c r="F3" s="319"/>
      <c r="G3" s="322"/>
      <c r="J3" s="309" t="e">
        <f>VLOOKUP(#REF!,$A$6:$E$97,ROW(),0)</f>
        <v>#REF!</v>
      </c>
    </row>
    <row r="4" spans="1:10" ht="15.75" x14ac:dyDescent="0.25">
      <c r="A4" s="319"/>
      <c r="B4" s="326" t="s">
        <v>650</v>
      </c>
      <c r="C4" s="327" t="str">
        <f>VLOOKUP(C1,$B$7:$E$97,4,FALSE)</f>
        <v>(5) 555-3932</v>
      </c>
      <c r="D4" s="321"/>
      <c r="E4" s="319"/>
      <c r="F4" s="319"/>
      <c r="G4" s="322"/>
      <c r="J4" s="309" t="e">
        <f>VLOOKUP(#REF!,$A$6:$E$97,ROW(),0)</f>
        <v>#REF!</v>
      </c>
    </row>
    <row r="5" spans="1:10" x14ac:dyDescent="0.25">
      <c r="A5" s="319"/>
      <c r="B5" s="319"/>
      <c r="C5" s="319"/>
      <c r="D5" s="321"/>
      <c r="E5" s="319"/>
      <c r="F5" s="319"/>
      <c r="G5" s="322"/>
    </row>
    <row r="6" spans="1:10" ht="15.75" x14ac:dyDescent="0.25">
      <c r="A6" s="325" t="s">
        <v>436</v>
      </c>
      <c r="B6" s="325" t="s">
        <v>647</v>
      </c>
      <c r="C6" s="325" t="s">
        <v>648</v>
      </c>
      <c r="D6" s="325" t="s">
        <v>649</v>
      </c>
      <c r="E6" s="325" t="s">
        <v>650</v>
      </c>
      <c r="F6" s="319"/>
      <c r="G6" s="322"/>
    </row>
    <row r="7" spans="1:10" x14ac:dyDescent="0.25">
      <c r="A7" s="323">
        <v>1</v>
      </c>
      <c r="B7" s="323" t="s">
        <v>651</v>
      </c>
      <c r="C7" s="323" t="s">
        <v>652</v>
      </c>
      <c r="D7" s="324" t="s">
        <v>653</v>
      </c>
      <c r="E7" s="323" t="s">
        <v>654</v>
      </c>
      <c r="F7" s="319"/>
      <c r="G7" s="322"/>
    </row>
    <row r="8" spans="1:10" x14ac:dyDescent="0.25">
      <c r="A8" s="323">
        <v>2</v>
      </c>
      <c r="B8" s="323" t="s">
        <v>655</v>
      </c>
      <c r="C8" s="323" t="s">
        <v>656</v>
      </c>
      <c r="D8" s="324" t="s">
        <v>657</v>
      </c>
      <c r="E8" s="323" t="s">
        <v>658</v>
      </c>
      <c r="F8" s="319"/>
      <c r="G8" s="322"/>
    </row>
    <row r="9" spans="1:10" x14ac:dyDescent="0.25">
      <c r="A9" s="323">
        <v>3</v>
      </c>
      <c r="B9" s="323" t="s">
        <v>659</v>
      </c>
      <c r="C9" s="323" t="s">
        <v>660</v>
      </c>
      <c r="D9" s="324" t="s">
        <v>661</v>
      </c>
      <c r="E9" s="323" t="s">
        <v>662</v>
      </c>
      <c r="F9" s="319"/>
      <c r="G9" s="322"/>
    </row>
    <row r="10" spans="1:10" x14ac:dyDescent="0.25">
      <c r="A10" s="323">
        <v>4</v>
      </c>
      <c r="B10" s="323" t="s">
        <v>663</v>
      </c>
      <c r="C10" s="323" t="s">
        <v>664</v>
      </c>
      <c r="D10" s="324" t="s">
        <v>665</v>
      </c>
      <c r="E10" s="323" t="s">
        <v>666</v>
      </c>
      <c r="F10" s="319"/>
      <c r="G10" s="322"/>
    </row>
    <row r="11" spans="1:10" x14ac:dyDescent="0.25">
      <c r="A11" s="323">
        <v>5</v>
      </c>
      <c r="B11" s="323" t="s">
        <v>667</v>
      </c>
      <c r="C11" s="323" t="s">
        <v>668</v>
      </c>
      <c r="D11" s="324" t="s">
        <v>669</v>
      </c>
      <c r="E11" s="323" t="s">
        <v>670</v>
      </c>
      <c r="F11" s="319"/>
      <c r="G11" s="322"/>
    </row>
    <row r="12" spans="1:10" x14ac:dyDescent="0.25">
      <c r="A12" s="323">
        <v>6</v>
      </c>
      <c r="B12" s="323" t="s">
        <v>671</v>
      </c>
      <c r="C12" s="323" t="s">
        <v>672</v>
      </c>
      <c r="D12" s="324" t="s">
        <v>673</v>
      </c>
      <c r="E12" s="323" t="s">
        <v>674</v>
      </c>
      <c r="F12" s="319"/>
      <c r="G12" s="322"/>
    </row>
    <row r="13" spans="1:10" x14ac:dyDescent="0.25">
      <c r="A13" s="323">
        <v>7</v>
      </c>
      <c r="B13" s="323" t="s">
        <v>675</v>
      </c>
      <c r="C13" s="323" t="s">
        <v>676</v>
      </c>
      <c r="D13" s="324" t="s">
        <v>677</v>
      </c>
      <c r="E13" s="323" t="s">
        <v>678</v>
      </c>
      <c r="F13" s="319"/>
      <c r="G13" s="322"/>
    </row>
    <row r="14" spans="1:10" x14ac:dyDescent="0.25">
      <c r="A14" s="323">
        <v>8</v>
      </c>
      <c r="B14" s="323" t="s">
        <v>679</v>
      </c>
      <c r="C14" s="323" t="s">
        <v>680</v>
      </c>
      <c r="D14" s="324" t="s">
        <v>681</v>
      </c>
      <c r="E14" s="323" t="s">
        <v>682</v>
      </c>
      <c r="F14" s="319"/>
      <c r="G14" s="322"/>
    </row>
    <row r="15" spans="1:10" x14ac:dyDescent="0.25">
      <c r="A15" s="323">
        <v>9</v>
      </c>
      <c r="B15" s="323" t="s">
        <v>683</v>
      </c>
      <c r="C15" s="323" t="s">
        <v>684</v>
      </c>
      <c r="D15" s="324" t="s">
        <v>685</v>
      </c>
      <c r="E15" s="323" t="s">
        <v>686</v>
      </c>
      <c r="F15" s="319"/>
      <c r="G15" s="322"/>
    </row>
    <row r="16" spans="1:10" x14ac:dyDescent="0.25">
      <c r="A16" s="323">
        <v>10</v>
      </c>
      <c r="B16" s="323" t="s">
        <v>687</v>
      </c>
      <c r="C16" s="323" t="s">
        <v>688</v>
      </c>
      <c r="D16" s="324" t="s">
        <v>689</v>
      </c>
      <c r="E16" s="323" t="s">
        <v>690</v>
      </c>
      <c r="F16" s="322"/>
      <c r="G16" s="322"/>
    </row>
    <row r="17" spans="1:7" x14ac:dyDescent="0.25">
      <c r="A17" s="323">
        <v>11</v>
      </c>
      <c r="B17" s="323" t="s">
        <v>691</v>
      </c>
      <c r="C17" s="323" t="s">
        <v>692</v>
      </c>
      <c r="D17" s="324" t="s">
        <v>693</v>
      </c>
      <c r="E17" s="323" t="s">
        <v>694</v>
      </c>
      <c r="F17" s="322"/>
      <c r="G17" s="322"/>
    </row>
    <row r="18" spans="1:7" x14ac:dyDescent="0.25">
      <c r="A18" s="323">
        <v>12</v>
      </c>
      <c r="B18" s="323" t="s">
        <v>695</v>
      </c>
      <c r="C18" s="323" t="s">
        <v>696</v>
      </c>
      <c r="D18" s="324" t="s">
        <v>697</v>
      </c>
      <c r="E18" s="323" t="s">
        <v>698</v>
      </c>
      <c r="F18" s="322"/>
      <c r="G18" s="322"/>
    </row>
    <row r="19" spans="1:7" x14ac:dyDescent="0.25">
      <c r="A19" s="323">
        <v>13</v>
      </c>
      <c r="B19" s="323" t="s">
        <v>699</v>
      </c>
      <c r="C19" s="323" t="s">
        <v>700</v>
      </c>
      <c r="D19" s="324" t="s">
        <v>701</v>
      </c>
      <c r="E19" s="323" t="s">
        <v>702</v>
      </c>
      <c r="F19" s="322"/>
      <c r="G19" s="322"/>
    </row>
    <row r="20" spans="1:7" x14ac:dyDescent="0.25">
      <c r="A20" s="323">
        <v>14</v>
      </c>
      <c r="B20" s="323" t="s">
        <v>703</v>
      </c>
      <c r="C20" s="323" t="s">
        <v>704</v>
      </c>
      <c r="D20" s="324" t="s">
        <v>705</v>
      </c>
      <c r="E20" s="323" t="s">
        <v>706</v>
      </c>
      <c r="F20" s="322"/>
      <c r="G20" s="322"/>
    </row>
    <row r="21" spans="1:7" x14ac:dyDescent="0.25">
      <c r="A21" s="323">
        <v>15</v>
      </c>
      <c r="B21" s="323" t="s">
        <v>707</v>
      </c>
      <c r="C21" s="323" t="s">
        <v>708</v>
      </c>
      <c r="D21" s="324" t="s">
        <v>709</v>
      </c>
      <c r="E21" s="323" t="s">
        <v>710</v>
      </c>
      <c r="F21" s="322"/>
      <c r="G21" s="322"/>
    </row>
    <row r="22" spans="1:7" x14ac:dyDescent="0.25">
      <c r="A22" s="323">
        <v>16</v>
      </c>
      <c r="B22" s="323" t="s">
        <v>711</v>
      </c>
      <c r="C22" s="323" t="s">
        <v>712</v>
      </c>
      <c r="D22" s="324" t="s">
        <v>713</v>
      </c>
      <c r="E22" s="323" t="s">
        <v>714</v>
      </c>
      <c r="F22" s="322"/>
      <c r="G22" s="322"/>
    </row>
    <row r="23" spans="1:7" x14ac:dyDescent="0.25">
      <c r="A23" s="323">
        <v>17</v>
      </c>
      <c r="B23" s="323" t="s">
        <v>715</v>
      </c>
      <c r="C23" s="323" t="s">
        <v>716</v>
      </c>
      <c r="D23" s="324" t="s">
        <v>717</v>
      </c>
      <c r="E23" s="323" t="s">
        <v>718</v>
      </c>
      <c r="F23" s="322"/>
      <c r="G23" s="322"/>
    </row>
    <row r="24" spans="1:7" x14ac:dyDescent="0.25">
      <c r="A24" s="323">
        <v>18</v>
      </c>
      <c r="B24" s="323" t="s">
        <v>719</v>
      </c>
      <c r="C24" s="323" t="s">
        <v>720</v>
      </c>
      <c r="D24" s="324" t="s">
        <v>721</v>
      </c>
      <c r="E24" s="323" t="s">
        <v>722</v>
      </c>
      <c r="F24" s="322"/>
      <c r="G24" s="322"/>
    </row>
    <row r="25" spans="1:7" x14ac:dyDescent="0.25">
      <c r="A25" s="323">
        <v>19</v>
      </c>
      <c r="B25" s="323" t="s">
        <v>723</v>
      </c>
      <c r="C25" s="323" t="s">
        <v>724</v>
      </c>
      <c r="D25" s="324" t="s">
        <v>725</v>
      </c>
      <c r="E25" s="323" t="s">
        <v>726</v>
      </c>
      <c r="F25" s="322"/>
      <c r="G25" s="322"/>
    </row>
    <row r="26" spans="1:7" x14ac:dyDescent="0.25">
      <c r="A26" s="323">
        <v>20</v>
      </c>
      <c r="B26" s="323" t="s">
        <v>727</v>
      </c>
      <c r="C26" s="323" t="s">
        <v>728</v>
      </c>
      <c r="D26" s="324" t="s">
        <v>729</v>
      </c>
      <c r="E26" s="323" t="s">
        <v>730</v>
      </c>
      <c r="F26" s="322"/>
      <c r="G26" s="322"/>
    </row>
    <row r="27" spans="1:7" x14ac:dyDescent="0.25">
      <c r="A27" s="323">
        <v>21</v>
      </c>
      <c r="B27" s="323" t="s">
        <v>731</v>
      </c>
      <c r="C27" s="323" t="s">
        <v>732</v>
      </c>
      <c r="D27" s="324" t="s">
        <v>733</v>
      </c>
      <c r="E27" s="323" t="s">
        <v>734</v>
      </c>
      <c r="F27" s="322"/>
      <c r="G27" s="322"/>
    </row>
    <row r="28" spans="1:7" x14ac:dyDescent="0.25">
      <c r="A28" s="323">
        <v>22</v>
      </c>
      <c r="B28" s="323" t="s">
        <v>735</v>
      </c>
      <c r="C28" s="323" t="s">
        <v>736</v>
      </c>
      <c r="D28" s="324" t="s">
        <v>737</v>
      </c>
      <c r="E28" s="323" t="s">
        <v>738</v>
      </c>
      <c r="F28" s="322"/>
      <c r="G28" s="322"/>
    </row>
    <row r="29" spans="1:7" x14ac:dyDescent="0.25">
      <c r="A29" s="323">
        <v>23</v>
      </c>
      <c r="B29" s="323" t="s">
        <v>739</v>
      </c>
      <c r="C29" s="323" t="s">
        <v>740</v>
      </c>
      <c r="D29" s="324" t="s">
        <v>741</v>
      </c>
      <c r="E29" s="323" t="s">
        <v>742</v>
      </c>
      <c r="F29" s="322"/>
      <c r="G29" s="322"/>
    </row>
    <row r="30" spans="1:7" x14ac:dyDescent="0.25">
      <c r="A30" s="323">
        <v>24</v>
      </c>
      <c r="B30" s="323" t="s">
        <v>743</v>
      </c>
      <c r="C30" s="323" t="s">
        <v>744</v>
      </c>
      <c r="D30" s="324" t="s">
        <v>745</v>
      </c>
      <c r="E30" s="323" t="s">
        <v>746</v>
      </c>
      <c r="F30" s="322"/>
      <c r="G30" s="322"/>
    </row>
    <row r="31" spans="1:7" x14ac:dyDescent="0.25">
      <c r="A31" s="323">
        <v>25</v>
      </c>
      <c r="B31" s="323" t="s">
        <v>747</v>
      </c>
      <c r="C31" s="323" t="s">
        <v>748</v>
      </c>
      <c r="D31" s="324" t="s">
        <v>749</v>
      </c>
      <c r="E31" s="323" t="s">
        <v>750</v>
      </c>
      <c r="F31" s="322"/>
      <c r="G31" s="322"/>
    </row>
    <row r="32" spans="1:7" x14ac:dyDescent="0.25">
      <c r="A32" s="323">
        <v>26</v>
      </c>
      <c r="B32" s="323" t="s">
        <v>751</v>
      </c>
      <c r="C32" s="323" t="s">
        <v>752</v>
      </c>
      <c r="D32" s="324" t="s">
        <v>753</v>
      </c>
      <c r="E32" s="323" t="s">
        <v>754</v>
      </c>
      <c r="F32" s="322"/>
      <c r="G32" s="322"/>
    </row>
    <row r="33" spans="1:7" x14ac:dyDescent="0.25">
      <c r="A33" s="323">
        <v>27</v>
      </c>
      <c r="B33" s="323" t="s">
        <v>755</v>
      </c>
      <c r="C33" s="323" t="s">
        <v>756</v>
      </c>
      <c r="D33" s="324" t="s">
        <v>757</v>
      </c>
      <c r="E33" s="323" t="s">
        <v>758</v>
      </c>
      <c r="F33" s="322"/>
      <c r="G33" s="322"/>
    </row>
    <row r="34" spans="1:7" x14ac:dyDescent="0.25">
      <c r="A34" s="323">
        <v>28</v>
      </c>
      <c r="B34" s="323" t="s">
        <v>759</v>
      </c>
      <c r="C34" s="323" t="s">
        <v>760</v>
      </c>
      <c r="D34" s="324" t="s">
        <v>761</v>
      </c>
      <c r="E34" s="323" t="s">
        <v>762</v>
      </c>
      <c r="F34" s="322"/>
      <c r="G34" s="322"/>
    </row>
    <row r="35" spans="1:7" x14ac:dyDescent="0.25">
      <c r="A35" s="323">
        <v>29</v>
      </c>
      <c r="B35" s="323" t="s">
        <v>763</v>
      </c>
      <c r="C35" s="323" t="s">
        <v>764</v>
      </c>
      <c r="D35" s="324" t="s">
        <v>765</v>
      </c>
      <c r="E35" s="323" t="s">
        <v>766</v>
      </c>
      <c r="F35" s="322"/>
      <c r="G35" s="322"/>
    </row>
    <row r="36" spans="1:7" x14ac:dyDescent="0.25">
      <c r="A36" s="323">
        <v>30</v>
      </c>
      <c r="B36" s="323" t="s">
        <v>767</v>
      </c>
      <c r="C36" s="323" t="s">
        <v>768</v>
      </c>
      <c r="D36" s="324" t="s">
        <v>769</v>
      </c>
      <c r="E36" s="323" t="s">
        <v>770</v>
      </c>
      <c r="F36" s="322"/>
      <c r="G36" s="322"/>
    </row>
    <row r="37" spans="1:7" x14ac:dyDescent="0.25">
      <c r="A37" s="323">
        <v>31</v>
      </c>
      <c r="B37" s="323" t="s">
        <v>771</v>
      </c>
      <c r="C37" s="323" t="s">
        <v>772</v>
      </c>
      <c r="D37" s="324" t="s">
        <v>773</v>
      </c>
      <c r="E37" s="323" t="s">
        <v>774</v>
      </c>
      <c r="F37" s="322"/>
      <c r="G37" s="322"/>
    </row>
    <row r="38" spans="1:7" x14ac:dyDescent="0.25">
      <c r="A38" s="323">
        <v>32</v>
      </c>
      <c r="B38" s="323" t="s">
        <v>775</v>
      </c>
      <c r="C38" s="323" t="s">
        <v>776</v>
      </c>
      <c r="D38" s="324" t="s">
        <v>777</v>
      </c>
      <c r="E38" s="323" t="s">
        <v>778</v>
      </c>
      <c r="F38" s="322"/>
      <c r="G38" s="322"/>
    </row>
    <row r="39" spans="1:7" x14ac:dyDescent="0.25">
      <c r="A39" s="323">
        <v>33</v>
      </c>
      <c r="B39" s="323" t="s">
        <v>779</v>
      </c>
      <c r="C39" s="323" t="s">
        <v>780</v>
      </c>
      <c r="D39" s="324" t="s">
        <v>781</v>
      </c>
      <c r="E39" s="323" t="s">
        <v>782</v>
      </c>
      <c r="F39" s="322"/>
      <c r="G39" s="322"/>
    </row>
    <row r="40" spans="1:7" x14ac:dyDescent="0.25">
      <c r="A40" s="323">
        <v>34</v>
      </c>
      <c r="B40" s="323" t="s">
        <v>783</v>
      </c>
      <c r="C40" s="323" t="s">
        <v>784</v>
      </c>
      <c r="D40" s="324" t="s">
        <v>785</v>
      </c>
      <c r="E40" s="323" t="s">
        <v>786</v>
      </c>
      <c r="F40" s="322"/>
      <c r="G40" s="322"/>
    </row>
    <row r="41" spans="1:7" x14ac:dyDescent="0.25">
      <c r="A41" s="323">
        <v>35</v>
      </c>
      <c r="B41" s="323" t="s">
        <v>787</v>
      </c>
      <c r="C41" s="323" t="s">
        <v>788</v>
      </c>
      <c r="D41" s="324" t="s">
        <v>789</v>
      </c>
      <c r="E41" s="323" t="s">
        <v>790</v>
      </c>
      <c r="F41" s="322"/>
      <c r="G41" s="322"/>
    </row>
    <row r="42" spans="1:7" x14ac:dyDescent="0.25">
      <c r="A42" s="323">
        <v>36</v>
      </c>
      <c r="B42" s="323" t="s">
        <v>791</v>
      </c>
      <c r="C42" s="323" t="s">
        <v>792</v>
      </c>
      <c r="D42" s="324" t="s">
        <v>793</v>
      </c>
      <c r="E42" s="323" t="s">
        <v>794</v>
      </c>
      <c r="F42" s="322"/>
      <c r="G42" s="322"/>
    </row>
    <row r="43" spans="1:7" x14ac:dyDescent="0.25">
      <c r="A43" s="323">
        <v>37</v>
      </c>
      <c r="B43" s="323" t="s">
        <v>795</v>
      </c>
      <c r="C43" s="323" t="s">
        <v>796</v>
      </c>
      <c r="D43" s="324" t="s">
        <v>797</v>
      </c>
      <c r="E43" s="323" t="s">
        <v>798</v>
      </c>
      <c r="F43" s="322"/>
      <c r="G43" s="322"/>
    </row>
    <row r="44" spans="1:7" x14ac:dyDescent="0.25">
      <c r="A44" s="323">
        <v>38</v>
      </c>
      <c r="B44" s="323" t="s">
        <v>799</v>
      </c>
      <c r="C44" s="323" t="s">
        <v>800</v>
      </c>
      <c r="D44" s="324" t="s">
        <v>801</v>
      </c>
      <c r="E44" s="323" t="s">
        <v>802</v>
      </c>
      <c r="F44" s="322"/>
      <c r="G44" s="322"/>
    </row>
    <row r="45" spans="1:7" x14ac:dyDescent="0.25">
      <c r="A45" s="323">
        <v>39</v>
      </c>
      <c r="B45" s="323" t="s">
        <v>803</v>
      </c>
      <c r="C45" s="323" t="s">
        <v>804</v>
      </c>
      <c r="D45" s="324" t="s">
        <v>805</v>
      </c>
      <c r="E45" s="323" t="s">
        <v>806</v>
      </c>
      <c r="F45" s="322"/>
      <c r="G45" s="322"/>
    </row>
    <row r="46" spans="1:7" x14ac:dyDescent="0.25">
      <c r="A46" s="323">
        <v>40</v>
      </c>
      <c r="B46" s="323" t="s">
        <v>807</v>
      </c>
      <c r="C46" s="323" t="s">
        <v>808</v>
      </c>
      <c r="D46" s="324" t="s">
        <v>809</v>
      </c>
      <c r="E46" s="323" t="s">
        <v>810</v>
      </c>
      <c r="F46" s="322"/>
      <c r="G46" s="322"/>
    </row>
    <row r="47" spans="1:7" x14ac:dyDescent="0.25">
      <c r="A47" s="323">
        <v>41</v>
      </c>
      <c r="B47" s="323" t="s">
        <v>811</v>
      </c>
      <c r="C47" s="323" t="s">
        <v>812</v>
      </c>
      <c r="D47" s="324" t="s">
        <v>813</v>
      </c>
      <c r="E47" s="323" t="s">
        <v>814</v>
      </c>
      <c r="F47" s="322"/>
      <c r="G47" s="322"/>
    </row>
    <row r="48" spans="1:7" x14ac:dyDescent="0.25">
      <c r="A48" s="323">
        <v>42</v>
      </c>
      <c r="B48" s="323" t="s">
        <v>815</v>
      </c>
      <c r="C48" s="323" t="s">
        <v>816</v>
      </c>
      <c r="D48" s="324" t="s">
        <v>817</v>
      </c>
      <c r="E48" s="323" t="s">
        <v>818</v>
      </c>
      <c r="F48" s="322"/>
      <c r="G48" s="322"/>
    </row>
    <row r="49" spans="1:7" x14ac:dyDescent="0.25">
      <c r="A49" s="323">
        <v>43</v>
      </c>
      <c r="B49" s="323" t="s">
        <v>819</v>
      </c>
      <c r="C49" s="323" t="s">
        <v>820</v>
      </c>
      <c r="D49" s="324" t="s">
        <v>821</v>
      </c>
      <c r="E49" s="323" t="s">
        <v>822</v>
      </c>
      <c r="F49" s="322"/>
      <c r="G49" s="322"/>
    </row>
    <row r="50" spans="1:7" x14ac:dyDescent="0.25">
      <c r="A50" s="323">
        <v>44</v>
      </c>
      <c r="B50" s="323" t="s">
        <v>823</v>
      </c>
      <c r="C50" s="323" t="s">
        <v>824</v>
      </c>
      <c r="D50" s="324" t="s">
        <v>825</v>
      </c>
      <c r="E50" s="323" t="s">
        <v>826</v>
      </c>
      <c r="F50" s="322"/>
      <c r="G50" s="322"/>
    </row>
    <row r="51" spans="1:7" x14ac:dyDescent="0.25">
      <c r="A51" s="323">
        <v>45</v>
      </c>
      <c r="B51" s="323" t="s">
        <v>827</v>
      </c>
      <c r="C51" s="323" t="s">
        <v>828</v>
      </c>
      <c r="D51" s="324" t="s">
        <v>829</v>
      </c>
      <c r="E51" s="323" t="s">
        <v>830</v>
      </c>
      <c r="F51" s="322"/>
      <c r="G51" s="322"/>
    </row>
    <row r="52" spans="1:7" x14ac:dyDescent="0.25">
      <c r="A52" s="323">
        <v>46</v>
      </c>
      <c r="B52" s="323" t="s">
        <v>831</v>
      </c>
      <c r="C52" s="323" t="s">
        <v>832</v>
      </c>
      <c r="D52" s="324" t="s">
        <v>833</v>
      </c>
      <c r="E52" s="323" t="s">
        <v>834</v>
      </c>
      <c r="F52" s="322"/>
      <c r="G52" s="322"/>
    </row>
    <row r="53" spans="1:7" x14ac:dyDescent="0.25">
      <c r="A53" s="323">
        <v>47</v>
      </c>
      <c r="B53" s="323" t="s">
        <v>835</v>
      </c>
      <c r="C53" s="323" t="s">
        <v>836</v>
      </c>
      <c r="D53" s="324" t="s">
        <v>837</v>
      </c>
      <c r="E53" s="323" t="s">
        <v>838</v>
      </c>
      <c r="F53" s="322"/>
      <c r="G53" s="322"/>
    </row>
    <row r="54" spans="1:7" x14ac:dyDescent="0.25">
      <c r="A54" s="323">
        <v>48</v>
      </c>
      <c r="B54" s="323" t="s">
        <v>839</v>
      </c>
      <c r="C54" s="323" t="s">
        <v>840</v>
      </c>
      <c r="D54" s="324" t="s">
        <v>841</v>
      </c>
      <c r="E54" s="323" t="s">
        <v>842</v>
      </c>
      <c r="F54" s="322"/>
      <c r="G54" s="322"/>
    </row>
    <row r="55" spans="1:7" x14ac:dyDescent="0.25">
      <c r="A55" s="323">
        <v>49</v>
      </c>
      <c r="B55" s="323" t="s">
        <v>843</v>
      </c>
      <c r="C55" s="323" t="s">
        <v>844</v>
      </c>
      <c r="D55" s="324" t="s">
        <v>845</v>
      </c>
      <c r="E55" s="323" t="s">
        <v>846</v>
      </c>
      <c r="F55" s="322"/>
      <c r="G55" s="322"/>
    </row>
    <row r="56" spans="1:7" x14ac:dyDescent="0.25">
      <c r="A56" s="323">
        <v>50</v>
      </c>
      <c r="B56" s="323" t="s">
        <v>847</v>
      </c>
      <c r="C56" s="323" t="s">
        <v>848</v>
      </c>
      <c r="D56" s="324" t="s">
        <v>849</v>
      </c>
      <c r="E56" s="323" t="s">
        <v>850</v>
      </c>
      <c r="F56" s="322"/>
      <c r="G56" s="322"/>
    </row>
    <row r="57" spans="1:7" x14ac:dyDescent="0.25">
      <c r="A57" s="323">
        <v>51</v>
      </c>
      <c r="B57" s="323" t="s">
        <v>851</v>
      </c>
      <c r="C57" s="323" t="s">
        <v>852</v>
      </c>
      <c r="D57" s="324" t="s">
        <v>853</v>
      </c>
      <c r="E57" s="323" t="s">
        <v>854</v>
      </c>
      <c r="F57" s="322"/>
      <c r="G57" s="322"/>
    </row>
    <row r="58" spans="1:7" x14ac:dyDescent="0.25">
      <c r="A58" s="323">
        <v>52</v>
      </c>
      <c r="B58" s="323" t="s">
        <v>855</v>
      </c>
      <c r="C58" s="323" t="s">
        <v>856</v>
      </c>
      <c r="D58" s="324" t="s">
        <v>857</v>
      </c>
      <c r="E58" s="323" t="s">
        <v>858</v>
      </c>
      <c r="F58" s="322"/>
      <c r="G58" s="322"/>
    </row>
    <row r="59" spans="1:7" x14ac:dyDescent="0.25">
      <c r="A59" s="323">
        <v>53</v>
      </c>
      <c r="B59" s="323" t="s">
        <v>859</v>
      </c>
      <c r="C59" s="323" t="s">
        <v>860</v>
      </c>
      <c r="D59" s="324" t="s">
        <v>861</v>
      </c>
      <c r="E59" s="323" t="s">
        <v>862</v>
      </c>
      <c r="F59" s="322"/>
      <c r="G59" s="322"/>
    </row>
    <row r="60" spans="1:7" x14ac:dyDescent="0.25">
      <c r="A60" s="323">
        <v>54</v>
      </c>
      <c r="B60" s="323" t="s">
        <v>863</v>
      </c>
      <c r="C60" s="323" t="s">
        <v>864</v>
      </c>
      <c r="D60" s="324" t="s">
        <v>865</v>
      </c>
      <c r="E60" s="323" t="s">
        <v>866</v>
      </c>
      <c r="F60" s="322"/>
      <c r="G60" s="322"/>
    </row>
    <row r="61" spans="1:7" x14ac:dyDescent="0.25">
      <c r="A61" s="323">
        <v>55</v>
      </c>
      <c r="B61" s="323" t="s">
        <v>867</v>
      </c>
      <c r="C61" s="323" t="s">
        <v>868</v>
      </c>
      <c r="D61" s="324" t="s">
        <v>869</v>
      </c>
      <c r="E61" s="323" t="s">
        <v>870</v>
      </c>
      <c r="F61" s="322"/>
      <c r="G61" s="322"/>
    </row>
    <row r="62" spans="1:7" x14ac:dyDescent="0.25">
      <c r="A62" s="323">
        <v>56</v>
      </c>
      <c r="B62" s="323" t="s">
        <v>871</v>
      </c>
      <c r="C62" s="323" t="s">
        <v>872</v>
      </c>
      <c r="D62" s="324" t="s">
        <v>873</v>
      </c>
      <c r="E62" s="323" t="s">
        <v>874</v>
      </c>
      <c r="F62" s="322"/>
      <c r="G62" s="322"/>
    </row>
    <row r="63" spans="1:7" x14ac:dyDescent="0.25">
      <c r="A63" s="323">
        <v>57</v>
      </c>
      <c r="B63" s="323" t="s">
        <v>875</v>
      </c>
      <c r="C63" s="323" t="s">
        <v>876</v>
      </c>
      <c r="D63" s="324" t="s">
        <v>877</v>
      </c>
      <c r="E63" s="323" t="s">
        <v>878</v>
      </c>
      <c r="F63" s="322"/>
      <c r="G63" s="322"/>
    </row>
    <row r="64" spans="1:7" x14ac:dyDescent="0.25">
      <c r="A64" s="323">
        <v>58</v>
      </c>
      <c r="B64" s="323" t="s">
        <v>879</v>
      </c>
      <c r="C64" s="323" t="s">
        <v>880</v>
      </c>
      <c r="D64" s="324" t="s">
        <v>881</v>
      </c>
      <c r="E64" s="323" t="s">
        <v>882</v>
      </c>
      <c r="F64" s="322"/>
      <c r="G64" s="322"/>
    </row>
    <row r="65" spans="1:7" x14ac:dyDescent="0.25">
      <c r="A65" s="323">
        <v>59</v>
      </c>
      <c r="B65" s="323" t="s">
        <v>883</v>
      </c>
      <c r="C65" s="323" t="s">
        <v>884</v>
      </c>
      <c r="D65" s="324" t="s">
        <v>885</v>
      </c>
      <c r="E65" s="323" t="s">
        <v>886</v>
      </c>
      <c r="F65" s="322"/>
      <c r="G65" s="322"/>
    </row>
    <row r="66" spans="1:7" x14ac:dyDescent="0.25">
      <c r="A66" s="323">
        <v>60</v>
      </c>
      <c r="B66" s="323" t="s">
        <v>887</v>
      </c>
      <c r="C66" s="323" t="s">
        <v>888</v>
      </c>
      <c r="D66" s="324" t="s">
        <v>889</v>
      </c>
      <c r="E66" s="323" t="s">
        <v>890</v>
      </c>
      <c r="F66" s="322"/>
      <c r="G66" s="322"/>
    </row>
    <row r="67" spans="1:7" x14ac:dyDescent="0.25">
      <c r="A67" s="323">
        <v>61</v>
      </c>
      <c r="B67" s="323" t="s">
        <v>891</v>
      </c>
      <c r="C67" s="323" t="s">
        <v>892</v>
      </c>
      <c r="D67" s="324" t="s">
        <v>893</v>
      </c>
      <c r="E67" s="323" t="s">
        <v>894</v>
      </c>
      <c r="F67" s="322"/>
      <c r="G67" s="322"/>
    </row>
    <row r="68" spans="1:7" x14ac:dyDescent="0.25">
      <c r="A68" s="323">
        <v>62</v>
      </c>
      <c r="B68" s="323" t="s">
        <v>895</v>
      </c>
      <c r="C68" s="323" t="s">
        <v>896</v>
      </c>
      <c r="D68" s="324" t="s">
        <v>897</v>
      </c>
      <c r="E68" s="323" t="s">
        <v>898</v>
      </c>
      <c r="F68" s="322"/>
      <c r="G68" s="322"/>
    </row>
    <row r="69" spans="1:7" x14ac:dyDescent="0.25">
      <c r="A69" s="323">
        <v>63</v>
      </c>
      <c r="B69" s="323" t="s">
        <v>899</v>
      </c>
      <c r="C69" s="323" t="s">
        <v>900</v>
      </c>
      <c r="D69" s="324" t="s">
        <v>901</v>
      </c>
      <c r="E69" s="323" t="s">
        <v>902</v>
      </c>
      <c r="F69" s="322"/>
      <c r="G69" s="322"/>
    </row>
    <row r="70" spans="1:7" x14ac:dyDescent="0.25">
      <c r="A70" s="323">
        <v>64</v>
      </c>
      <c r="B70" s="323" t="s">
        <v>903</v>
      </c>
      <c r="C70" s="323" t="s">
        <v>904</v>
      </c>
      <c r="D70" s="324" t="s">
        <v>905</v>
      </c>
      <c r="E70" s="323" t="s">
        <v>906</v>
      </c>
      <c r="F70" s="322"/>
      <c r="G70" s="322"/>
    </row>
    <row r="71" spans="1:7" x14ac:dyDescent="0.25">
      <c r="A71" s="323">
        <v>65</v>
      </c>
      <c r="B71" s="323" t="s">
        <v>907</v>
      </c>
      <c r="C71" s="323" t="s">
        <v>908</v>
      </c>
      <c r="D71" s="324" t="s">
        <v>909</v>
      </c>
      <c r="E71" s="323" t="s">
        <v>910</v>
      </c>
      <c r="F71" s="322"/>
      <c r="G71" s="322"/>
    </row>
    <row r="72" spans="1:7" x14ac:dyDescent="0.25">
      <c r="A72" s="323">
        <v>66</v>
      </c>
      <c r="B72" s="323" t="s">
        <v>911</v>
      </c>
      <c r="C72" s="323" t="s">
        <v>912</v>
      </c>
      <c r="D72" s="324" t="s">
        <v>913</v>
      </c>
      <c r="E72" s="323" t="s">
        <v>914</v>
      </c>
      <c r="F72" s="322"/>
      <c r="G72" s="322"/>
    </row>
    <row r="73" spans="1:7" x14ac:dyDescent="0.25">
      <c r="A73" s="323">
        <v>67</v>
      </c>
      <c r="B73" s="323" t="s">
        <v>915</v>
      </c>
      <c r="C73" s="323" t="s">
        <v>916</v>
      </c>
      <c r="D73" s="324" t="s">
        <v>917</v>
      </c>
      <c r="E73" s="323" t="s">
        <v>918</v>
      </c>
      <c r="F73" s="322"/>
      <c r="G73" s="322"/>
    </row>
    <row r="74" spans="1:7" x14ac:dyDescent="0.25">
      <c r="A74" s="323">
        <v>68</v>
      </c>
      <c r="B74" s="323" t="s">
        <v>919</v>
      </c>
      <c r="C74" s="323" t="s">
        <v>920</v>
      </c>
      <c r="D74" s="324" t="s">
        <v>921</v>
      </c>
      <c r="E74" s="323" t="s">
        <v>922</v>
      </c>
      <c r="F74" s="322"/>
      <c r="G74" s="322"/>
    </row>
    <row r="75" spans="1:7" x14ac:dyDescent="0.25">
      <c r="A75" s="323">
        <v>69</v>
      </c>
      <c r="B75" s="323" t="s">
        <v>923</v>
      </c>
      <c r="C75" s="323" t="s">
        <v>924</v>
      </c>
      <c r="D75" s="324" t="s">
        <v>925</v>
      </c>
      <c r="E75" s="323" t="s">
        <v>926</v>
      </c>
      <c r="F75" s="322"/>
      <c r="G75" s="322"/>
    </row>
    <row r="76" spans="1:7" x14ac:dyDescent="0.25">
      <c r="A76" s="323">
        <v>70</v>
      </c>
      <c r="B76" s="323" t="s">
        <v>927</v>
      </c>
      <c r="C76" s="323" t="s">
        <v>928</v>
      </c>
      <c r="D76" s="324" t="s">
        <v>929</v>
      </c>
      <c r="E76" s="323" t="s">
        <v>930</v>
      </c>
      <c r="F76" s="322"/>
      <c r="G76" s="322"/>
    </row>
    <row r="77" spans="1:7" x14ac:dyDescent="0.25">
      <c r="A77" s="323">
        <v>71</v>
      </c>
      <c r="B77" s="323" t="s">
        <v>931</v>
      </c>
      <c r="C77" s="323" t="s">
        <v>932</v>
      </c>
      <c r="D77" s="324" t="s">
        <v>933</v>
      </c>
      <c r="E77" s="323" t="s">
        <v>934</v>
      </c>
      <c r="F77" s="322"/>
      <c r="G77" s="322"/>
    </row>
    <row r="78" spans="1:7" x14ac:dyDescent="0.25">
      <c r="A78" s="323">
        <v>72</v>
      </c>
      <c r="B78" s="323" t="s">
        <v>935</v>
      </c>
      <c r="C78" s="323" t="s">
        <v>936</v>
      </c>
      <c r="D78" s="324" t="s">
        <v>937</v>
      </c>
      <c r="E78" s="323" t="s">
        <v>938</v>
      </c>
      <c r="F78" s="322"/>
      <c r="G78" s="322"/>
    </row>
    <row r="79" spans="1:7" x14ac:dyDescent="0.25">
      <c r="A79" s="323">
        <v>73</v>
      </c>
      <c r="B79" s="323" t="s">
        <v>939</v>
      </c>
      <c r="C79" s="323" t="s">
        <v>940</v>
      </c>
      <c r="D79" s="324" t="s">
        <v>941</v>
      </c>
      <c r="E79" s="323" t="s">
        <v>942</v>
      </c>
      <c r="F79" s="322"/>
      <c r="G79" s="322"/>
    </row>
    <row r="80" spans="1:7" x14ac:dyDescent="0.25">
      <c r="A80" s="323">
        <v>74</v>
      </c>
      <c r="B80" s="323" t="s">
        <v>943</v>
      </c>
      <c r="C80" s="323" t="s">
        <v>944</v>
      </c>
      <c r="D80" s="324" t="s">
        <v>945</v>
      </c>
      <c r="E80" s="323" t="s">
        <v>946</v>
      </c>
      <c r="F80" s="322"/>
      <c r="G80" s="322"/>
    </row>
    <row r="81" spans="1:7" x14ac:dyDescent="0.25">
      <c r="A81" s="323">
        <v>75</v>
      </c>
      <c r="B81" s="323" t="s">
        <v>947</v>
      </c>
      <c r="C81" s="323" t="s">
        <v>948</v>
      </c>
      <c r="D81" s="324" t="s">
        <v>949</v>
      </c>
      <c r="E81" s="323" t="s">
        <v>950</v>
      </c>
      <c r="F81" s="322"/>
      <c r="G81" s="322"/>
    </row>
    <row r="82" spans="1:7" x14ac:dyDescent="0.25">
      <c r="A82" s="323">
        <v>76</v>
      </c>
      <c r="B82" s="323" t="s">
        <v>951</v>
      </c>
      <c r="C82" s="323" t="s">
        <v>952</v>
      </c>
      <c r="D82" s="324" t="s">
        <v>953</v>
      </c>
      <c r="E82" s="323" t="s">
        <v>954</v>
      </c>
      <c r="F82" s="322"/>
      <c r="G82" s="322"/>
    </row>
    <row r="83" spans="1:7" x14ac:dyDescent="0.25">
      <c r="A83" s="323">
        <v>77</v>
      </c>
      <c r="B83" s="323" t="s">
        <v>955</v>
      </c>
      <c r="C83" s="323" t="s">
        <v>956</v>
      </c>
      <c r="D83" s="324" t="s">
        <v>957</v>
      </c>
      <c r="E83" s="323" t="s">
        <v>958</v>
      </c>
      <c r="F83" s="322"/>
      <c r="G83" s="322"/>
    </row>
    <row r="84" spans="1:7" x14ac:dyDescent="0.25">
      <c r="A84" s="323">
        <v>78</v>
      </c>
      <c r="B84" s="323" t="s">
        <v>959</v>
      </c>
      <c r="C84" s="323" t="s">
        <v>960</v>
      </c>
      <c r="D84" s="324" t="s">
        <v>961</v>
      </c>
      <c r="E84" s="323" t="s">
        <v>962</v>
      </c>
      <c r="F84" s="322"/>
      <c r="G84" s="322"/>
    </row>
    <row r="85" spans="1:7" x14ac:dyDescent="0.25">
      <c r="A85" s="323">
        <v>79</v>
      </c>
      <c r="B85" s="323" t="s">
        <v>963</v>
      </c>
      <c r="C85" s="323" t="s">
        <v>964</v>
      </c>
      <c r="D85" s="324" t="s">
        <v>965</v>
      </c>
      <c r="E85" s="323" t="s">
        <v>966</v>
      </c>
      <c r="F85" s="322"/>
      <c r="G85" s="322"/>
    </row>
    <row r="86" spans="1:7" x14ac:dyDescent="0.25">
      <c r="A86" s="323">
        <v>80</v>
      </c>
      <c r="B86" s="323" t="s">
        <v>967</v>
      </c>
      <c r="C86" s="323" t="s">
        <v>968</v>
      </c>
      <c r="D86" s="324" t="s">
        <v>969</v>
      </c>
      <c r="E86" s="323" t="s">
        <v>970</v>
      </c>
      <c r="F86" s="322"/>
      <c r="G86" s="322"/>
    </row>
    <row r="87" spans="1:7" x14ac:dyDescent="0.25">
      <c r="A87" s="323">
        <v>81</v>
      </c>
      <c r="B87" s="323" t="s">
        <v>971</v>
      </c>
      <c r="C87" s="323" t="s">
        <v>972</v>
      </c>
      <c r="D87" s="324" t="s">
        <v>973</v>
      </c>
      <c r="E87" s="323" t="s">
        <v>974</v>
      </c>
      <c r="F87" s="322"/>
      <c r="G87" s="322"/>
    </row>
    <row r="88" spans="1:7" x14ac:dyDescent="0.25">
      <c r="A88" s="323">
        <v>82</v>
      </c>
      <c r="B88" s="323" t="s">
        <v>975</v>
      </c>
      <c r="C88" s="323" t="s">
        <v>976</v>
      </c>
      <c r="D88" s="324" t="s">
        <v>977</v>
      </c>
      <c r="E88" s="323" t="s">
        <v>978</v>
      </c>
      <c r="F88" s="322"/>
      <c r="G88" s="322"/>
    </row>
    <row r="89" spans="1:7" x14ac:dyDescent="0.25">
      <c r="A89" s="323">
        <v>83</v>
      </c>
      <c r="B89" s="323" t="s">
        <v>979</v>
      </c>
      <c r="C89" s="323" t="s">
        <v>980</v>
      </c>
      <c r="D89" s="324" t="s">
        <v>981</v>
      </c>
      <c r="E89" s="323" t="s">
        <v>982</v>
      </c>
      <c r="F89" s="322"/>
      <c r="G89" s="322"/>
    </row>
    <row r="90" spans="1:7" x14ac:dyDescent="0.25">
      <c r="A90" s="323">
        <v>84</v>
      </c>
      <c r="B90" s="323" t="s">
        <v>983</v>
      </c>
      <c r="C90" s="323" t="s">
        <v>984</v>
      </c>
      <c r="D90" s="324" t="s">
        <v>985</v>
      </c>
      <c r="E90" s="323" t="s">
        <v>986</v>
      </c>
      <c r="F90" s="322"/>
      <c r="G90" s="322"/>
    </row>
    <row r="91" spans="1:7" x14ac:dyDescent="0.25">
      <c r="A91" s="323">
        <v>85</v>
      </c>
      <c r="B91" s="323" t="s">
        <v>987</v>
      </c>
      <c r="C91" s="323" t="s">
        <v>988</v>
      </c>
      <c r="D91" s="324" t="s">
        <v>989</v>
      </c>
      <c r="E91" s="323" t="s">
        <v>990</v>
      </c>
      <c r="F91" s="322"/>
      <c r="G91" s="322"/>
    </row>
    <row r="92" spans="1:7" x14ac:dyDescent="0.25">
      <c r="A92" s="323">
        <v>86</v>
      </c>
      <c r="B92" s="323" t="s">
        <v>991</v>
      </c>
      <c r="C92" s="323" t="s">
        <v>992</v>
      </c>
      <c r="D92" s="324" t="s">
        <v>993</v>
      </c>
      <c r="E92" s="323" t="s">
        <v>994</v>
      </c>
      <c r="F92" s="322"/>
      <c r="G92" s="322"/>
    </row>
    <row r="93" spans="1:7" x14ac:dyDescent="0.25">
      <c r="A93" s="323">
        <v>87</v>
      </c>
      <c r="B93" s="323" t="s">
        <v>995</v>
      </c>
      <c r="C93" s="323" t="s">
        <v>996</v>
      </c>
      <c r="D93" s="324" t="s">
        <v>997</v>
      </c>
      <c r="E93" s="323" t="s">
        <v>998</v>
      </c>
      <c r="F93" s="322"/>
      <c r="G93" s="322"/>
    </row>
    <row r="94" spans="1:7" x14ac:dyDescent="0.25">
      <c r="A94" s="323">
        <v>88</v>
      </c>
      <c r="B94" s="323" t="s">
        <v>999</v>
      </c>
      <c r="C94" s="323" t="s">
        <v>1000</v>
      </c>
      <c r="D94" s="324" t="s">
        <v>1001</v>
      </c>
      <c r="E94" s="323" t="s">
        <v>1002</v>
      </c>
      <c r="F94" s="322"/>
      <c r="G94" s="322"/>
    </row>
    <row r="95" spans="1:7" x14ac:dyDescent="0.25">
      <c r="A95" s="323">
        <v>89</v>
      </c>
      <c r="B95" s="323" t="s">
        <v>1003</v>
      </c>
      <c r="C95" s="323" t="s">
        <v>1004</v>
      </c>
      <c r="D95" s="324" t="s">
        <v>1005</v>
      </c>
      <c r="E95" s="323" t="s">
        <v>1006</v>
      </c>
      <c r="F95" s="322"/>
      <c r="G95" s="322"/>
    </row>
    <row r="96" spans="1:7" x14ac:dyDescent="0.25">
      <c r="A96" s="323">
        <v>90</v>
      </c>
      <c r="B96" s="323" t="s">
        <v>1007</v>
      </c>
      <c r="C96" s="323" t="s">
        <v>1008</v>
      </c>
      <c r="D96" s="324" t="s">
        <v>1009</v>
      </c>
      <c r="E96" s="323" t="s">
        <v>1010</v>
      </c>
      <c r="F96" s="322"/>
      <c r="G96" s="322"/>
    </row>
    <row r="97" spans="1:7" x14ac:dyDescent="0.25">
      <c r="A97" s="323">
        <v>91</v>
      </c>
      <c r="B97" s="323" t="s">
        <v>1011</v>
      </c>
      <c r="C97" s="323" t="s">
        <v>1012</v>
      </c>
      <c r="D97" s="324" t="s">
        <v>1013</v>
      </c>
      <c r="E97" s="323" t="s">
        <v>1014</v>
      </c>
      <c r="F97" s="322"/>
      <c r="G97" s="322"/>
    </row>
    <row r="98" spans="1:7" x14ac:dyDescent="0.25">
      <c r="A98" s="319"/>
      <c r="B98" s="319"/>
      <c r="C98" s="319"/>
      <c r="D98" s="321"/>
      <c r="E98" s="319"/>
      <c r="F98" s="319"/>
      <c r="G98" s="3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5"/>
  <sheetViews>
    <sheetView workbookViewId="0">
      <selection activeCell="I11" sqref="I11"/>
    </sheetView>
  </sheetViews>
  <sheetFormatPr defaultRowHeight="15" x14ac:dyDescent="0.25"/>
  <cols>
    <col min="1" max="1" width="9.85546875" customWidth="1"/>
    <col min="2" max="2" width="17.140625" customWidth="1"/>
    <col min="3" max="3" width="19.7109375" bestFit="1" customWidth="1"/>
    <col min="6" max="6" width="45.42578125" bestFit="1" customWidth="1"/>
    <col min="257" max="257" width="9.85546875" customWidth="1"/>
    <col min="258" max="258" width="17.140625" customWidth="1"/>
    <col min="259" max="259" width="19.7109375" bestFit="1" customWidth="1"/>
    <col min="262" max="262" width="45.42578125" bestFit="1" customWidth="1"/>
    <col min="513" max="513" width="9.85546875" customWidth="1"/>
    <col min="514" max="514" width="17.140625" customWidth="1"/>
    <col min="515" max="515" width="19.7109375" bestFit="1" customWidth="1"/>
    <col min="518" max="518" width="45.42578125" bestFit="1" customWidth="1"/>
    <col min="769" max="769" width="9.85546875" customWidth="1"/>
    <col min="770" max="770" width="17.140625" customWidth="1"/>
    <col min="771" max="771" width="19.7109375" bestFit="1" customWidth="1"/>
    <col min="774" max="774" width="45.42578125" bestFit="1" customWidth="1"/>
    <col min="1025" max="1025" width="9.85546875" customWidth="1"/>
    <col min="1026" max="1026" width="17.140625" customWidth="1"/>
    <col min="1027" max="1027" width="19.7109375" bestFit="1" customWidth="1"/>
    <col min="1030" max="1030" width="45.42578125" bestFit="1" customWidth="1"/>
    <col min="1281" max="1281" width="9.85546875" customWidth="1"/>
    <col min="1282" max="1282" width="17.140625" customWidth="1"/>
    <col min="1283" max="1283" width="19.7109375" bestFit="1" customWidth="1"/>
    <col min="1286" max="1286" width="45.42578125" bestFit="1" customWidth="1"/>
    <col min="1537" max="1537" width="9.85546875" customWidth="1"/>
    <col min="1538" max="1538" width="17.140625" customWidth="1"/>
    <col min="1539" max="1539" width="19.7109375" bestFit="1" customWidth="1"/>
    <col min="1542" max="1542" width="45.42578125" bestFit="1" customWidth="1"/>
    <col min="1793" max="1793" width="9.85546875" customWidth="1"/>
    <col min="1794" max="1794" width="17.140625" customWidth="1"/>
    <col min="1795" max="1795" width="19.7109375" bestFit="1" customWidth="1"/>
    <col min="1798" max="1798" width="45.42578125" bestFit="1" customWidth="1"/>
    <col min="2049" max="2049" width="9.85546875" customWidth="1"/>
    <col min="2050" max="2050" width="17.140625" customWidth="1"/>
    <col min="2051" max="2051" width="19.7109375" bestFit="1" customWidth="1"/>
    <col min="2054" max="2054" width="45.42578125" bestFit="1" customWidth="1"/>
    <col min="2305" max="2305" width="9.85546875" customWidth="1"/>
    <col min="2306" max="2306" width="17.140625" customWidth="1"/>
    <col min="2307" max="2307" width="19.7109375" bestFit="1" customWidth="1"/>
    <col min="2310" max="2310" width="45.42578125" bestFit="1" customWidth="1"/>
    <col min="2561" max="2561" width="9.85546875" customWidth="1"/>
    <col min="2562" max="2562" width="17.140625" customWidth="1"/>
    <col min="2563" max="2563" width="19.7109375" bestFit="1" customWidth="1"/>
    <col min="2566" max="2566" width="45.42578125" bestFit="1" customWidth="1"/>
    <col min="2817" max="2817" width="9.85546875" customWidth="1"/>
    <col min="2818" max="2818" width="17.140625" customWidth="1"/>
    <col min="2819" max="2819" width="19.7109375" bestFit="1" customWidth="1"/>
    <col min="2822" max="2822" width="45.42578125" bestFit="1" customWidth="1"/>
    <col min="3073" max="3073" width="9.85546875" customWidth="1"/>
    <col min="3074" max="3074" width="17.140625" customWidth="1"/>
    <col min="3075" max="3075" width="19.7109375" bestFit="1" customWidth="1"/>
    <col min="3078" max="3078" width="45.42578125" bestFit="1" customWidth="1"/>
    <col min="3329" max="3329" width="9.85546875" customWidth="1"/>
    <col min="3330" max="3330" width="17.140625" customWidth="1"/>
    <col min="3331" max="3331" width="19.7109375" bestFit="1" customWidth="1"/>
    <col min="3334" max="3334" width="45.42578125" bestFit="1" customWidth="1"/>
    <col min="3585" max="3585" width="9.85546875" customWidth="1"/>
    <col min="3586" max="3586" width="17.140625" customWidth="1"/>
    <col min="3587" max="3587" width="19.7109375" bestFit="1" customWidth="1"/>
    <col min="3590" max="3590" width="45.42578125" bestFit="1" customWidth="1"/>
    <col min="3841" max="3841" width="9.85546875" customWidth="1"/>
    <col min="3842" max="3842" width="17.140625" customWidth="1"/>
    <col min="3843" max="3843" width="19.7109375" bestFit="1" customWidth="1"/>
    <col min="3846" max="3846" width="45.42578125" bestFit="1" customWidth="1"/>
    <col min="4097" max="4097" width="9.85546875" customWidth="1"/>
    <col min="4098" max="4098" width="17.140625" customWidth="1"/>
    <col min="4099" max="4099" width="19.7109375" bestFit="1" customWidth="1"/>
    <col min="4102" max="4102" width="45.42578125" bestFit="1" customWidth="1"/>
    <col min="4353" max="4353" width="9.85546875" customWidth="1"/>
    <col min="4354" max="4354" width="17.140625" customWidth="1"/>
    <col min="4355" max="4355" width="19.7109375" bestFit="1" customWidth="1"/>
    <col min="4358" max="4358" width="45.42578125" bestFit="1" customWidth="1"/>
    <col min="4609" max="4609" width="9.85546875" customWidth="1"/>
    <col min="4610" max="4610" width="17.140625" customWidth="1"/>
    <col min="4611" max="4611" width="19.7109375" bestFit="1" customWidth="1"/>
    <col min="4614" max="4614" width="45.42578125" bestFit="1" customWidth="1"/>
    <col min="4865" max="4865" width="9.85546875" customWidth="1"/>
    <col min="4866" max="4866" width="17.140625" customWidth="1"/>
    <col min="4867" max="4867" width="19.7109375" bestFit="1" customWidth="1"/>
    <col min="4870" max="4870" width="45.42578125" bestFit="1" customWidth="1"/>
    <col min="5121" max="5121" width="9.85546875" customWidth="1"/>
    <col min="5122" max="5122" width="17.140625" customWidth="1"/>
    <col min="5123" max="5123" width="19.7109375" bestFit="1" customWidth="1"/>
    <col min="5126" max="5126" width="45.42578125" bestFit="1" customWidth="1"/>
    <col min="5377" max="5377" width="9.85546875" customWidth="1"/>
    <col min="5378" max="5378" width="17.140625" customWidth="1"/>
    <col min="5379" max="5379" width="19.7109375" bestFit="1" customWidth="1"/>
    <col min="5382" max="5382" width="45.42578125" bestFit="1" customWidth="1"/>
    <col min="5633" max="5633" width="9.85546875" customWidth="1"/>
    <col min="5634" max="5634" width="17.140625" customWidth="1"/>
    <col min="5635" max="5635" width="19.7109375" bestFit="1" customWidth="1"/>
    <col min="5638" max="5638" width="45.42578125" bestFit="1" customWidth="1"/>
    <col min="5889" max="5889" width="9.85546875" customWidth="1"/>
    <col min="5890" max="5890" width="17.140625" customWidth="1"/>
    <col min="5891" max="5891" width="19.7109375" bestFit="1" customWidth="1"/>
    <col min="5894" max="5894" width="45.42578125" bestFit="1" customWidth="1"/>
    <col min="6145" max="6145" width="9.85546875" customWidth="1"/>
    <col min="6146" max="6146" width="17.140625" customWidth="1"/>
    <col min="6147" max="6147" width="19.7109375" bestFit="1" customWidth="1"/>
    <col min="6150" max="6150" width="45.42578125" bestFit="1" customWidth="1"/>
    <col min="6401" max="6401" width="9.85546875" customWidth="1"/>
    <col min="6402" max="6402" width="17.140625" customWidth="1"/>
    <col min="6403" max="6403" width="19.7109375" bestFit="1" customWidth="1"/>
    <col min="6406" max="6406" width="45.42578125" bestFit="1" customWidth="1"/>
    <col min="6657" max="6657" width="9.85546875" customWidth="1"/>
    <col min="6658" max="6658" width="17.140625" customWidth="1"/>
    <col min="6659" max="6659" width="19.7109375" bestFit="1" customWidth="1"/>
    <col min="6662" max="6662" width="45.42578125" bestFit="1" customWidth="1"/>
    <col min="6913" max="6913" width="9.85546875" customWidth="1"/>
    <col min="6914" max="6914" width="17.140625" customWidth="1"/>
    <col min="6915" max="6915" width="19.7109375" bestFit="1" customWidth="1"/>
    <col min="6918" max="6918" width="45.42578125" bestFit="1" customWidth="1"/>
    <col min="7169" max="7169" width="9.85546875" customWidth="1"/>
    <col min="7170" max="7170" width="17.140625" customWidth="1"/>
    <col min="7171" max="7171" width="19.7109375" bestFit="1" customWidth="1"/>
    <col min="7174" max="7174" width="45.42578125" bestFit="1" customWidth="1"/>
    <col min="7425" max="7425" width="9.85546875" customWidth="1"/>
    <col min="7426" max="7426" width="17.140625" customWidth="1"/>
    <col min="7427" max="7427" width="19.7109375" bestFit="1" customWidth="1"/>
    <col min="7430" max="7430" width="45.42578125" bestFit="1" customWidth="1"/>
    <col min="7681" max="7681" width="9.85546875" customWidth="1"/>
    <col min="7682" max="7682" width="17.140625" customWidth="1"/>
    <col min="7683" max="7683" width="19.7109375" bestFit="1" customWidth="1"/>
    <col min="7686" max="7686" width="45.42578125" bestFit="1" customWidth="1"/>
    <col min="7937" max="7937" width="9.85546875" customWidth="1"/>
    <col min="7938" max="7938" width="17.140625" customWidth="1"/>
    <col min="7939" max="7939" width="19.7109375" bestFit="1" customWidth="1"/>
    <col min="7942" max="7942" width="45.42578125" bestFit="1" customWidth="1"/>
    <col min="8193" max="8193" width="9.85546875" customWidth="1"/>
    <col min="8194" max="8194" width="17.140625" customWidth="1"/>
    <col min="8195" max="8195" width="19.7109375" bestFit="1" customWidth="1"/>
    <col min="8198" max="8198" width="45.42578125" bestFit="1" customWidth="1"/>
    <col min="8449" max="8449" width="9.85546875" customWidth="1"/>
    <col min="8450" max="8450" width="17.140625" customWidth="1"/>
    <col min="8451" max="8451" width="19.7109375" bestFit="1" customWidth="1"/>
    <col min="8454" max="8454" width="45.42578125" bestFit="1" customWidth="1"/>
    <col min="8705" max="8705" width="9.85546875" customWidth="1"/>
    <col min="8706" max="8706" width="17.140625" customWidth="1"/>
    <col min="8707" max="8707" width="19.7109375" bestFit="1" customWidth="1"/>
    <col min="8710" max="8710" width="45.42578125" bestFit="1" customWidth="1"/>
    <col min="8961" max="8961" width="9.85546875" customWidth="1"/>
    <col min="8962" max="8962" width="17.140625" customWidth="1"/>
    <col min="8963" max="8963" width="19.7109375" bestFit="1" customWidth="1"/>
    <col min="8966" max="8966" width="45.42578125" bestFit="1" customWidth="1"/>
    <col min="9217" max="9217" width="9.85546875" customWidth="1"/>
    <col min="9218" max="9218" width="17.140625" customWidth="1"/>
    <col min="9219" max="9219" width="19.7109375" bestFit="1" customWidth="1"/>
    <col min="9222" max="9222" width="45.42578125" bestFit="1" customWidth="1"/>
    <col min="9473" max="9473" width="9.85546875" customWidth="1"/>
    <col min="9474" max="9474" width="17.140625" customWidth="1"/>
    <col min="9475" max="9475" width="19.7109375" bestFit="1" customWidth="1"/>
    <col min="9478" max="9478" width="45.42578125" bestFit="1" customWidth="1"/>
    <col min="9729" max="9729" width="9.85546875" customWidth="1"/>
    <col min="9730" max="9730" width="17.140625" customWidth="1"/>
    <col min="9731" max="9731" width="19.7109375" bestFit="1" customWidth="1"/>
    <col min="9734" max="9734" width="45.42578125" bestFit="1" customWidth="1"/>
    <col min="9985" max="9985" width="9.85546875" customWidth="1"/>
    <col min="9986" max="9986" width="17.140625" customWidth="1"/>
    <col min="9987" max="9987" width="19.7109375" bestFit="1" customWidth="1"/>
    <col min="9990" max="9990" width="45.42578125" bestFit="1" customWidth="1"/>
    <col min="10241" max="10241" width="9.85546875" customWidth="1"/>
    <col min="10242" max="10242" width="17.140625" customWidth="1"/>
    <col min="10243" max="10243" width="19.7109375" bestFit="1" customWidth="1"/>
    <col min="10246" max="10246" width="45.42578125" bestFit="1" customWidth="1"/>
    <col min="10497" max="10497" width="9.85546875" customWidth="1"/>
    <col min="10498" max="10498" width="17.140625" customWidth="1"/>
    <col min="10499" max="10499" width="19.7109375" bestFit="1" customWidth="1"/>
    <col min="10502" max="10502" width="45.42578125" bestFit="1" customWidth="1"/>
    <col min="10753" max="10753" width="9.85546875" customWidth="1"/>
    <col min="10754" max="10754" width="17.140625" customWidth="1"/>
    <col min="10755" max="10755" width="19.7109375" bestFit="1" customWidth="1"/>
    <col min="10758" max="10758" width="45.42578125" bestFit="1" customWidth="1"/>
    <col min="11009" max="11009" width="9.85546875" customWidth="1"/>
    <col min="11010" max="11010" width="17.140625" customWidth="1"/>
    <col min="11011" max="11011" width="19.7109375" bestFit="1" customWidth="1"/>
    <col min="11014" max="11014" width="45.42578125" bestFit="1" customWidth="1"/>
    <col min="11265" max="11265" width="9.85546875" customWidth="1"/>
    <col min="11266" max="11266" width="17.140625" customWidth="1"/>
    <col min="11267" max="11267" width="19.7109375" bestFit="1" customWidth="1"/>
    <col min="11270" max="11270" width="45.42578125" bestFit="1" customWidth="1"/>
    <col min="11521" max="11521" width="9.85546875" customWidth="1"/>
    <col min="11522" max="11522" width="17.140625" customWidth="1"/>
    <col min="11523" max="11523" width="19.7109375" bestFit="1" customWidth="1"/>
    <col min="11526" max="11526" width="45.42578125" bestFit="1" customWidth="1"/>
    <col min="11777" max="11777" width="9.85546875" customWidth="1"/>
    <col min="11778" max="11778" width="17.140625" customWidth="1"/>
    <col min="11779" max="11779" width="19.7109375" bestFit="1" customWidth="1"/>
    <col min="11782" max="11782" width="45.42578125" bestFit="1" customWidth="1"/>
    <col min="12033" max="12033" width="9.85546875" customWidth="1"/>
    <col min="12034" max="12034" width="17.140625" customWidth="1"/>
    <col min="12035" max="12035" width="19.7109375" bestFit="1" customWidth="1"/>
    <col min="12038" max="12038" width="45.42578125" bestFit="1" customWidth="1"/>
    <col min="12289" max="12289" width="9.85546875" customWidth="1"/>
    <col min="12290" max="12290" width="17.140625" customWidth="1"/>
    <col min="12291" max="12291" width="19.7109375" bestFit="1" customWidth="1"/>
    <col min="12294" max="12294" width="45.42578125" bestFit="1" customWidth="1"/>
    <col min="12545" max="12545" width="9.85546875" customWidth="1"/>
    <col min="12546" max="12546" width="17.140625" customWidth="1"/>
    <col min="12547" max="12547" width="19.7109375" bestFit="1" customWidth="1"/>
    <col min="12550" max="12550" width="45.42578125" bestFit="1" customWidth="1"/>
    <col min="12801" max="12801" width="9.85546875" customWidth="1"/>
    <col min="12802" max="12802" width="17.140625" customWidth="1"/>
    <col min="12803" max="12803" width="19.7109375" bestFit="1" customWidth="1"/>
    <col min="12806" max="12806" width="45.42578125" bestFit="1" customWidth="1"/>
    <col min="13057" max="13057" width="9.85546875" customWidth="1"/>
    <col min="13058" max="13058" width="17.140625" customWidth="1"/>
    <col min="13059" max="13059" width="19.7109375" bestFit="1" customWidth="1"/>
    <col min="13062" max="13062" width="45.42578125" bestFit="1" customWidth="1"/>
    <col min="13313" max="13313" width="9.85546875" customWidth="1"/>
    <col min="13314" max="13314" width="17.140625" customWidth="1"/>
    <col min="13315" max="13315" width="19.7109375" bestFit="1" customWidth="1"/>
    <col min="13318" max="13318" width="45.42578125" bestFit="1" customWidth="1"/>
    <col min="13569" max="13569" width="9.85546875" customWidth="1"/>
    <col min="13570" max="13570" width="17.140625" customWidth="1"/>
    <col min="13571" max="13571" width="19.7109375" bestFit="1" customWidth="1"/>
    <col min="13574" max="13574" width="45.42578125" bestFit="1" customWidth="1"/>
    <col min="13825" max="13825" width="9.85546875" customWidth="1"/>
    <col min="13826" max="13826" width="17.140625" customWidth="1"/>
    <col min="13827" max="13827" width="19.7109375" bestFit="1" customWidth="1"/>
    <col min="13830" max="13830" width="45.42578125" bestFit="1" customWidth="1"/>
    <col min="14081" max="14081" width="9.85546875" customWidth="1"/>
    <col min="14082" max="14082" width="17.140625" customWidth="1"/>
    <col min="14083" max="14083" width="19.7109375" bestFit="1" customWidth="1"/>
    <col min="14086" max="14086" width="45.42578125" bestFit="1" customWidth="1"/>
    <col min="14337" max="14337" width="9.85546875" customWidth="1"/>
    <col min="14338" max="14338" width="17.140625" customWidth="1"/>
    <col min="14339" max="14339" width="19.7109375" bestFit="1" customWidth="1"/>
    <col min="14342" max="14342" width="45.42578125" bestFit="1" customWidth="1"/>
    <col min="14593" max="14593" width="9.85546875" customWidth="1"/>
    <col min="14594" max="14594" width="17.140625" customWidth="1"/>
    <col min="14595" max="14595" width="19.7109375" bestFit="1" customWidth="1"/>
    <col min="14598" max="14598" width="45.42578125" bestFit="1" customWidth="1"/>
    <col min="14849" max="14849" width="9.85546875" customWidth="1"/>
    <col min="14850" max="14850" width="17.140625" customWidth="1"/>
    <col min="14851" max="14851" width="19.7109375" bestFit="1" customWidth="1"/>
    <col min="14854" max="14854" width="45.42578125" bestFit="1" customWidth="1"/>
    <col min="15105" max="15105" width="9.85546875" customWidth="1"/>
    <col min="15106" max="15106" width="17.140625" customWidth="1"/>
    <col min="15107" max="15107" width="19.7109375" bestFit="1" customWidth="1"/>
    <col min="15110" max="15110" width="45.42578125" bestFit="1" customWidth="1"/>
    <col min="15361" max="15361" width="9.85546875" customWidth="1"/>
    <col min="15362" max="15362" width="17.140625" customWidth="1"/>
    <col min="15363" max="15363" width="19.7109375" bestFit="1" customWidth="1"/>
    <col min="15366" max="15366" width="45.42578125" bestFit="1" customWidth="1"/>
    <col min="15617" max="15617" width="9.85546875" customWidth="1"/>
    <col min="15618" max="15618" width="17.140625" customWidth="1"/>
    <col min="15619" max="15619" width="19.7109375" bestFit="1" customWidth="1"/>
    <col min="15622" max="15622" width="45.42578125" bestFit="1" customWidth="1"/>
    <col min="15873" max="15873" width="9.85546875" customWidth="1"/>
    <col min="15874" max="15874" width="17.140625" customWidth="1"/>
    <col min="15875" max="15875" width="19.7109375" bestFit="1" customWidth="1"/>
    <col min="15878" max="15878" width="45.42578125" bestFit="1" customWidth="1"/>
    <col min="16129" max="16129" width="9.85546875" customWidth="1"/>
    <col min="16130" max="16130" width="17.140625" customWidth="1"/>
    <col min="16131" max="16131" width="19.7109375" bestFit="1" customWidth="1"/>
    <col min="16134" max="16134" width="45.42578125" bestFit="1" customWidth="1"/>
  </cols>
  <sheetData>
    <row r="1" spans="1:6" ht="16.5" customHeight="1" x14ac:dyDescent="0.25">
      <c r="A1" s="355" t="s">
        <v>1075</v>
      </c>
      <c r="B1" s="355" t="s">
        <v>1076</v>
      </c>
      <c r="C1" s="355" t="s">
        <v>1077</v>
      </c>
      <c r="E1" s="356" t="s">
        <v>1078</v>
      </c>
      <c r="F1" s="356" t="s">
        <v>1079</v>
      </c>
    </row>
    <row r="2" spans="1:6" ht="16.5" customHeight="1" x14ac:dyDescent="0.25">
      <c r="A2" s="138" t="s">
        <v>1080</v>
      </c>
      <c r="B2" s="134" t="s">
        <v>143</v>
      </c>
      <c r="C2" s="217" t="str">
        <f>VLOOKUP(B2,$E$2:$F$45,2,FALSE)</f>
        <v>Democratic</v>
      </c>
      <c r="E2" s="357">
        <v>1</v>
      </c>
      <c r="F2" s="358" t="s">
        <v>1081</v>
      </c>
    </row>
    <row r="3" spans="1:6" ht="16.5" customHeight="1" x14ac:dyDescent="0.25">
      <c r="A3" s="138" t="s">
        <v>1082</v>
      </c>
      <c r="B3" s="134">
        <v>1</v>
      </c>
      <c r="C3" s="217" t="str">
        <f t="shared" ref="C3:C13" si="0">VLOOKUP(B3,$E$2:$F$45,2,FALSE)</f>
        <v>Green</v>
      </c>
      <c r="E3" s="357">
        <v>2</v>
      </c>
      <c r="F3" s="358" t="s">
        <v>1083</v>
      </c>
    </row>
    <row r="4" spans="1:6" ht="16.5" customHeight="1" x14ac:dyDescent="0.25">
      <c r="A4" s="138" t="s">
        <v>1084</v>
      </c>
      <c r="B4" s="134" t="s">
        <v>142</v>
      </c>
      <c r="C4" s="217" t="str">
        <f t="shared" si="0"/>
        <v>Republican</v>
      </c>
      <c r="E4" s="357">
        <v>3</v>
      </c>
      <c r="F4" s="358" t="s">
        <v>1085</v>
      </c>
    </row>
    <row r="5" spans="1:6" ht="16.5" customHeight="1" x14ac:dyDescent="0.25">
      <c r="A5" s="138" t="s">
        <v>1086</v>
      </c>
      <c r="B5" s="134" t="s">
        <v>75</v>
      </c>
      <c r="C5" s="217" t="str">
        <f t="shared" si="0"/>
        <v>American Independent</v>
      </c>
      <c r="E5" s="357">
        <v>4</v>
      </c>
      <c r="F5" s="358" t="s">
        <v>1087</v>
      </c>
    </row>
    <row r="6" spans="1:6" ht="16.5" customHeight="1" x14ac:dyDescent="0.25">
      <c r="A6" s="138" t="s">
        <v>1088</v>
      </c>
      <c r="B6" s="134" t="s">
        <v>75</v>
      </c>
      <c r="C6" s="217" t="str">
        <f t="shared" si="0"/>
        <v>American Independent</v>
      </c>
      <c r="E6" s="357">
        <v>5</v>
      </c>
      <c r="F6" s="358" t="s">
        <v>1089</v>
      </c>
    </row>
    <row r="7" spans="1:6" ht="16.5" customHeight="1" x14ac:dyDescent="0.25">
      <c r="A7" s="138" t="s">
        <v>1090</v>
      </c>
      <c r="B7" s="134">
        <v>7</v>
      </c>
      <c r="C7" s="217" t="str">
        <f t="shared" si="0"/>
        <v>Middle Class Pty</v>
      </c>
      <c r="E7" s="357">
        <v>6</v>
      </c>
      <c r="F7" s="358" t="s">
        <v>1091</v>
      </c>
    </row>
    <row r="8" spans="1:6" ht="16.5" customHeight="1" x14ac:dyDescent="0.25">
      <c r="A8" s="138" t="s">
        <v>1092</v>
      </c>
      <c r="B8" s="134">
        <v>3</v>
      </c>
      <c r="C8" s="217" t="str">
        <f t="shared" si="0"/>
        <v>Whig</v>
      </c>
      <c r="E8" s="357">
        <v>7</v>
      </c>
      <c r="F8" s="358" t="s">
        <v>1093</v>
      </c>
    </row>
    <row r="9" spans="1:6" ht="16.5" customHeight="1" x14ac:dyDescent="0.25">
      <c r="A9" s="138" t="s">
        <v>1094</v>
      </c>
      <c r="B9" s="134" t="s">
        <v>139</v>
      </c>
      <c r="C9" s="217" t="str">
        <f t="shared" si="0"/>
        <v>Communist</v>
      </c>
      <c r="E9" s="357">
        <v>8</v>
      </c>
      <c r="F9" s="358" t="s">
        <v>1095</v>
      </c>
    </row>
    <row r="10" spans="1:6" ht="16.5" customHeight="1" x14ac:dyDescent="0.25">
      <c r="A10" s="138" t="s">
        <v>350</v>
      </c>
      <c r="B10" s="134">
        <v>12</v>
      </c>
      <c r="C10" s="217" t="str">
        <f t="shared" si="0"/>
        <v>United Conscious Builders of the Dream Party</v>
      </c>
      <c r="E10" s="357">
        <v>9</v>
      </c>
      <c r="F10" s="358" t="s">
        <v>1096</v>
      </c>
    </row>
    <row r="11" spans="1:6" ht="16.5" customHeight="1" x14ac:dyDescent="0.25">
      <c r="A11" s="138" t="s">
        <v>1097</v>
      </c>
      <c r="B11" s="359" t="s">
        <v>472</v>
      </c>
      <c r="C11" s="217" t="str">
        <f t="shared" si="0"/>
        <v>Free</v>
      </c>
      <c r="E11" s="357">
        <v>10</v>
      </c>
      <c r="F11" s="358" t="s">
        <v>1098</v>
      </c>
    </row>
    <row r="12" spans="1:6" ht="16.5" customHeight="1" x14ac:dyDescent="0.25">
      <c r="A12" s="138" t="s">
        <v>1099</v>
      </c>
      <c r="B12" s="359">
        <v>4</v>
      </c>
      <c r="C12" s="217" t="str">
        <f t="shared" si="0"/>
        <v>Islamic Political Party of America</v>
      </c>
      <c r="E12" s="357">
        <v>11</v>
      </c>
      <c r="F12" s="358" t="s">
        <v>1100</v>
      </c>
    </row>
    <row r="13" spans="1:6" ht="16.5" customHeight="1" x14ac:dyDescent="0.25">
      <c r="A13" s="138" t="s">
        <v>1101</v>
      </c>
      <c r="B13" s="359">
        <v>5</v>
      </c>
      <c r="C13" s="217" t="str">
        <f t="shared" si="0"/>
        <v>Rock &amp; Roll</v>
      </c>
      <c r="E13" s="357">
        <v>12</v>
      </c>
      <c r="F13" s="358" t="s">
        <v>1102</v>
      </c>
    </row>
    <row r="14" spans="1:6" ht="16.5" customHeight="1" x14ac:dyDescent="0.25">
      <c r="B14" s="19"/>
      <c r="E14" s="357">
        <v>13</v>
      </c>
      <c r="F14" s="358" t="s">
        <v>1103</v>
      </c>
    </row>
    <row r="15" spans="1:6" ht="16.5" customHeight="1" x14ac:dyDescent="0.25">
      <c r="E15" s="357">
        <v>14</v>
      </c>
      <c r="F15" s="358" t="s">
        <v>1104</v>
      </c>
    </row>
    <row r="16" spans="1:6" ht="16.5" customHeight="1" x14ac:dyDescent="0.25">
      <c r="E16" s="357">
        <v>15</v>
      </c>
      <c r="F16" s="358" t="s">
        <v>1105</v>
      </c>
    </row>
    <row r="17" spans="5:6" ht="16.5" customHeight="1" x14ac:dyDescent="0.25">
      <c r="E17" s="357">
        <v>16</v>
      </c>
      <c r="F17" s="358" t="s">
        <v>1106</v>
      </c>
    </row>
    <row r="18" spans="5:6" ht="16.5" customHeight="1" x14ac:dyDescent="0.25">
      <c r="E18" s="357">
        <v>17</v>
      </c>
      <c r="F18" s="358" t="s">
        <v>1107</v>
      </c>
    </row>
    <row r="19" spans="5:6" ht="16.5" customHeight="1" x14ac:dyDescent="0.25">
      <c r="E19" s="357">
        <v>18</v>
      </c>
      <c r="F19" s="358" t="s">
        <v>1108</v>
      </c>
    </row>
    <row r="20" spans="5:6" ht="16.5" customHeight="1" x14ac:dyDescent="0.25">
      <c r="E20" s="357" t="s">
        <v>143</v>
      </c>
      <c r="F20" s="358" t="s">
        <v>1109</v>
      </c>
    </row>
    <row r="21" spans="5:6" ht="16.5" customHeight="1" x14ac:dyDescent="0.25">
      <c r="E21" s="357" t="s">
        <v>142</v>
      </c>
      <c r="F21" s="358" t="s">
        <v>1110</v>
      </c>
    </row>
    <row r="22" spans="5:6" ht="16.5" customHeight="1" x14ac:dyDescent="0.25">
      <c r="E22" s="357" t="s">
        <v>141</v>
      </c>
      <c r="F22" s="358" t="s">
        <v>1111</v>
      </c>
    </row>
    <row r="23" spans="5:6" ht="16.5" customHeight="1" x14ac:dyDescent="0.25">
      <c r="E23" s="357" t="s">
        <v>75</v>
      </c>
      <c r="F23" s="358" t="s">
        <v>1112</v>
      </c>
    </row>
    <row r="24" spans="5:6" ht="16.5" customHeight="1" x14ac:dyDescent="0.25">
      <c r="E24" s="357" t="s">
        <v>297</v>
      </c>
      <c r="F24" s="358" t="s">
        <v>1113</v>
      </c>
    </row>
    <row r="25" spans="5:6" ht="16.5" customHeight="1" x14ac:dyDescent="0.25">
      <c r="E25" s="357" t="s">
        <v>139</v>
      </c>
      <c r="F25" s="358" t="s">
        <v>1114</v>
      </c>
    </row>
    <row r="26" spans="5:6" ht="16.5" customHeight="1" x14ac:dyDescent="0.25">
      <c r="E26" s="357" t="s">
        <v>586</v>
      </c>
      <c r="F26" s="358" t="s">
        <v>1115</v>
      </c>
    </row>
    <row r="27" spans="5:6" ht="16.5" customHeight="1" x14ac:dyDescent="0.25">
      <c r="E27" s="357" t="s">
        <v>566</v>
      </c>
      <c r="F27" s="358" t="s">
        <v>1116</v>
      </c>
    </row>
    <row r="28" spans="5:6" ht="16.5" customHeight="1" x14ac:dyDescent="0.25">
      <c r="E28" s="357" t="s">
        <v>588</v>
      </c>
      <c r="F28" s="358" t="s">
        <v>1117</v>
      </c>
    </row>
    <row r="29" spans="5:6" ht="16.5" customHeight="1" x14ac:dyDescent="0.25">
      <c r="E29" s="357" t="s">
        <v>74</v>
      </c>
      <c r="F29" s="358" t="s">
        <v>1118</v>
      </c>
    </row>
    <row r="30" spans="5:6" ht="16.5" customHeight="1" x14ac:dyDescent="0.25">
      <c r="E30" s="357" t="s">
        <v>467</v>
      </c>
      <c r="F30" s="358" t="s">
        <v>1119</v>
      </c>
    </row>
    <row r="31" spans="5:6" ht="16.5" customHeight="1" x14ac:dyDescent="0.25">
      <c r="E31" s="357" t="s">
        <v>440</v>
      </c>
      <c r="F31" s="358" t="s">
        <v>1120</v>
      </c>
    </row>
    <row r="32" spans="5:6" ht="16.5" customHeight="1" x14ac:dyDescent="0.25">
      <c r="E32" s="357" t="s">
        <v>77</v>
      </c>
      <c r="F32" s="358" t="s">
        <v>1121</v>
      </c>
    </row>
    <row r="33" spans="5:6" ht="16.5" customHeight="1" x14ac:dyDescent="0.25">
      <c r="E33" s="357" t="s">
        <v>573</v>
      </c>
      <c r="F33" s="358" t="s">
        <v>1122</v>
      </c>
    </row>
    <row r="34" spans="5:6" ht="16.5" customHeight="1" x14ac:dyDescent="0.25">
      <c r="E34" s="357" t="s">
        <v>576</v>
      </c>
      <c r="F34" s="358" t="s">
        <v>1123</v>
      </c>
    </row>
    <row r="35" spans="5:6" ht="16.5" customHeight="1" x14ac:dyDescent="0.25">
      <c r="E35" s="357" t="s">
        <v>1124</v>
      </c>
      <c r="F35" s="358" t="s">
        <v>1125</v>
      </c>
    </row>
    <row r="36" spans="5:6" ht="16.5" customHeight="1" x14ac:dyDescent="0.25">
      <c r="E36" s="357" t="s">
        <v>1126</v>
      </c>
      <c r="F36" s="358" t="s">
        <v>1127</v>
      </c>
    </row>
    <row r="37" spans="5:6" ht="16.5" customHeight="1" x14ac:dyDescent="0.25">
      <c r="E37" s="357" t="s">
        <v>1128</v>
      </c>
      <c r="F37" s="358" t="s">
        <v>1129</v>
      </c>
    </row>
    <row r="38" spans="5:6" ht="16.5" customHeight="1" x14ac:dyDescent="0.25">
      <c r="E38" s="357" t="s">
        <v>76</v>
      </c>
      <c r="F38" s="358" t="s">
        <v>1130</v>
      </c>
    </row>
    <row r="39" spans="5:6" ht="16.5" customHeight="1" x14ac:dyDescent="0.25">
      <c r="E39" s="357" t="s">
        <v>472</v>
      </c>
      <c r="F39" s="358" t="s">
        <v>1131</v>
      </c>
    </row>
    <row r="40" spans="5:6" ht="16.5" customHeight="1" x14ac:dyDescent="0.25">
      <c r="E40" s="357" t="s">
        <v>1132</v>
      </c>
      <c r="F40" s="358" t="s">
        <v>1133</v>
      </c>
    </row>
    <row r="41" spans="5:6" ht="16.5" customHeight="1" x14ac:dyDescent="0.25">
      <c r="E41" s="357" t="s">
        <v>1134</v>
      </c>
      <c r="F41" s="358" t="s">
        <v>1135</v>
      </c>
    </row>
    <row r="42" spans="5:6" ht="16.5" customHeight="1" x14ac:dyDescent="0.25">
      <c r="E42" s="357" t="s">
        <v>444</v>
      </c>
      <c r="F42" s="358" t="s">
        <v>1136</v>
      </c>
    </row>
    <row r="43" spans="5:6" ht="16.5" customHeight="1" x14ac:dyDescent="0.25">
      <c r="E43" s="357" t="s">
        <v>1137</v>
      </c>
      <c r="F43" s="358" t="s">
        <v>1138</v>
      </c>
    </row>
    <row r="44" spans="5:6" ht="16.5" customHeight="1" x14ac:dyDescent="0.25">
      <c r="E44" s="357" t="s">
        <v>569</v>
      </c>
      <c r="F44" s="358" t="s">
        <v>1139</v>
      </c>
    </row>
    <row r="45" spans="5:6" ht="16.5" customHeight="1" x14ac:dyDescent="0.25">
      <c r="E45" s="357" t="s">
        <v>442</v>
      </c>
      <c r="F45" s="358" t="s">
        <v>1140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5"/>
  <sheetViews>
    <sheetView workbookViewId="0">
      <selection activeCell="I80" sqref="I80"/>
    </sheetView>
  </sheetViews>
  <sheetFormatPr defaultRowHeight="15" x14ac:dyDescent="0.25"/>
  <cols>
    <col min="1" max="1" width="9.140625" style="19"/>
    <col min="2" max="2" width="12.42578125" customWidth="1"/>
    <col min="3" max="3" width="13.28515625" style="19" customWidth="1"/>
    <col min="4" max="4" width="14.28515625" style="19" customWidth="1"/>
    <col min="5" max="5" width="17.28515625" style="19" customWidth="1"/>
    <col min="6" max="6" width="21.42578125" customWidth="1"/>
    <col min="7" max="7" width="20.85546875" customWidth="1"/>
    <col min="8" max="8" width="11.42578125" customWidth="1"/>
    <col min="9" max="9" width="24.42578125" customWidth="1"/>
    <col min="10" max="10" width="14.7109375" customWidth="1"/>
    <col min="11" max="11" width="26.85546875" customWidth="1"/>
    <col min="12" max="12" width="3.42578125" customWidth="1"/>
    <col min="13" max="13" width="14.140625" customWidth="1"/>
    <col min="14" max="14" width="18.28515625" customWidth="1"/>
    <col min="15" max="15" width="14.85546875" customWidth="1"/>
  </cols>
  <sheetData>
    <row r="1" spans="1:16" ht="32.25" customHeight="1" x14ac:dyDescent="0.25">
      <c r="A1" s="389" t="s">
        <v>289</v>
      </c>
      <c r="B1" s="389"/>
      <c r="C1" s="389"/>
      <c r="D1" s="389"/>
      <c r="E1" s="389"/>
      <c r="F1" s="389"/>
      <c r="G1" s="389"/>
      <c r="H1" s="141"/>
      <c r="I1" s="4"/>
      <c r="J1" s="4"/>
      <c r="K1" s="4"/>
      <c r="L1" s="4"/>
      <c r="M1" s="142"/>
      <c r="N1" s="142"/>
      <c r="O1" s="142"/>
      <c r="P1" s="142"/>
    </row>
    <row r="2" spans="1:16" ht="14.25" customHeight="1" x14ac:dyDescent="0.25">
      <c r="A2" s="389"/>
      <c r="B2" s="389"/>
      <c r="C2" s="389"/>
      <c r="D2" s="389"/>
      <c r="E2" s="389"/>
      <c r="F2" s="389"/>
      <c r="G2" s="389"/>
      <c r="H2" s="141"/>
      <c r="I2" s="4"/>
      <c r="J2" s="4"/>
      <c r="K2" s="4"/>
      <c r="L2" s="4"/>
      <c r="M2" s="142"/>
      <c r="N2" s="142"/>
      <c r="O2" s="142"/>
      <c r="P2" s="142"/>
    </row>
    <row r="3" spans="1:16" ht="15.75" thickBot="1" x14ac:dyDescent="0.3">
      <c r="A3" s="143"/>
      <c r="B3" s="4"/>
      <c r="C3" s="143"/>
      <c r="D3" s="143"/>
      <c r="E3" s="143"/>
      <c r="F3" s="4"/>
      <c r="G3" s="4"/>
      <c r="H3" s="4"/>
      <c r="I3" s="4"/>
      <c r="J3" s="4"/>
      <c r="K3" s="4"/>
      <c r="L3" s="4"/>
      <c r="M3" s="142"/>
      <c r="N3" s="142"/>
      <c r="O3" s="142"/>
      <c r="P3" s="142"/>
    </row>
    <row r="4" spans="1:16" s="155" customFormat="1" ht="15.75" thickBot="1" x14ac:dyDescent="0.3">
      <c r="A4" s="144" t="s">
        <v>25</v>
      </c>
      <c r="B4" s="145" t="s">
        <v>13</v>
      </c>
      <c r="C4" s="146" t="s">
        <v>290</v>
      </c>
      <c r="D4" s="146" t="s">
        <v>291</v>
      </c>
      <c r="E4" s="146" t="s">
        <v>292</v>
      </c>
      <c r="F4" s="147" t="s">
        <v>293</v>
      </c>
      <c r="G4" s="148" t="s">
        <v>294</v>
      </c>
      <c r="H4" s="149"/>
      <c r="I4" s="150" t="s">
        <v>291</v>
      </c>
      <c r="J4" s="151" t="s">
        <v>292</v>
      </c>
      <c r="K4" s="152"/>
      <c r="L4" s="4"/>
      <c r="M4" s="153" t="s">
        <v>291</v>
      </c>
      <c r="N4" s="153" t="s">
        <v>292</v>
      </c>
      <c r="O4" s="154"/>
      <c r="P4" s="154"/>
    </row>
    <row r="5" spans="1:16" s="155" customFormat="1" x14ac:dyDescent="0.25">
      <c r="A5" s="156">
        <v>1</v>
      </c>
      <c r="B5" s="157" t="s">
        <v>30</v>
      </c>
      <c r="C5" s="156" t="s">
        <v>295</v>
      </c>
      <c r="D5" s="156">
        <v>67</v>
      </c>
      <c r="E5" s="156" t="str">
        <f>_xlfn.XLOOKUP(IF(D5&gt;85,$I$9,IF(AND(D5&lt;=85,D5&gt;70),$I$8,IF(AND(D5&lt;=70,D5&gt;50),$I$7,IF(AND(D5&lt;=50,D5&gt;30),$I$6,$I$5)))),$I$5:$I$9,$J$5:$J$9)</f>
        <v>C</v>
      </c>
      <c r="F5" s="158" t="str">
        <f>IF(AND(E5&gt;=$J$9,E5&lt;=$J$7),"LULUS","TIDAK LULUS")</f>
        <v>LULUS</v>
      </c>
      <c r="G5" s="158" t="str">
        <f>_xlfn.XLOOKUP(IF(D5&gt;70,$J$21,IF(AND(D5&gt;=65,D5&lt;71),$J$20,$J$19)),$J$19:$J$21,$I$19:$I$21)</f>
        <v>Optional Les</v>
      </c>
      <c r="H5" s="152"/>
      <c r="I5" s="159" t="s">
        <v>296</v>
      </c>
      <c r="J5" s="160" t="s">
        <v>297</v>
      </c>
      <c r="K5" s="152"/>
      <c r="L5" s="4"/>
      <c r="M5" s="153"/>
      <c r="N5" s="153"/>
      <c r="O5" s="154"/>
      <c r="P5" s="154"/>
    </row>
    <row r="6" spans="1:16" s="155" customFormat="1" x14ac:dyDescent="0.25">
      <c r="A6" s="161">
        <v>2</v>
      </c>
      <c r="B6" s="162" t="s">
        <v>46</v>
      </c>
      <c r="C6" s="161" t="s">
        <v>295</v>
      </c>
      <c r="D6" s="161">
        <v>71</v>
      </c>
      <c r="E6" s="156" t="str">
        <f t="shared" ref="E6:E69" si="0">_xlfn.XLOOKUP(IF(D6&gt;85,$I$9,IF(AND(D6&lt;=85,D6&gt;70),$I$8,IF(AND(D6&lt;=70,D6&gt;50),$I$7,IF(AND(D6&lt;=50,D6&gt;30),$I$6,$I$5)))),$I$5:$I$9,$J$5:$J$9)</f>
        <v>B</v>
      </c>
      <c r="F6" s="158" t="str">
        <f t="shared" ref="F6:F69" si="1">IF(AND(E6&gt;=$J$9,E6&lt;=$J$7),"LULUS","TIDAK LULUS")</f>
        <v>LULUS</v>
      </c>
      <c r="G6" s="158" t="str">
        <f t="shared" ref="G6:G69" si="2">_xlfn.XLOOKUP(IF(D6&gt;70,$J$21,IF(AND(D6&gt;=65,D6&lt;71),$J$20,$J$19)),$J$19:$J$21,$I$19:$I$21)</f>
        <v>Tidak ikut</v>
      </c>
      <c r="H6" s="152"/>
      <c r="I6" s="159" t="s">
        <v>298</v>
      </c>
      <c r="J6" s="160" t="s">
        <v>75</v>
      </c>
      <c r="K6" s="152"/>
      <c r="L6" s="4"/>
      <c r="M6" s="153"/>
      <c r="N6" s="153"/>
      <c r="O6" s="154"/>
      <c r="P6" s="154"/>
    </row>
    <row r="7" spans="1:16" s="155" customFormat="1" x14ac:dyDescent="0.25">
      <c r="A7" s="156">
        <v>3</v>
      </c>
      <c r="B7" s="157" t="s">
        <v>85</v>
      </c>
      <c r="C7" s="156" t="s">
        <v>295</v>
      </c>
      <c r="D7" s="156">
        <v>70</v>
      </c>
      <c r="E7" s="156" t="str">
        <f t="shared" si="0"/>
        <v>C</v>
      </c>
      <c r="F7" s="158" t="str">
        <f t="shared" si="1"/>
        <v>LULUS</v>
      </c>
      <c r="G7" s="158" t="str">
        <f t="shared" si="2"/>
        <v>Optional Les</v>
      </c>
      <c r="H7" s="152"/>
      <c r="I7" s="159" t="s">
        <v>299</v>
      </c>
      <c r="J7" s="160" t="s">
        <v>141</v>
      </c>
      <c r="K7" s="152"/>
      <c r="L7" s="4"/>
      <c r="M7" s="153"/>
      <c r="N7" s="153"/>
      <c r="O7" s="154"/>
      <c r="P7" s="154"/>
    </row>
    <row r="8" spans="1:16" s="155" customFormat="1" x14ac:dyDescent="0.25">
      <c r="A8" s="161">
        <v>4</v>
      </c>
      <c r="B8" s="162" t="s">
        <v>86</v>
      </c>
      <c r="C8" s="161" t="s">
        <v>295</v>
      </c>
      <c r="D8" s="161">
        <v>80</v>
      </c>
      <c r="E8" s="156" t="str">
        <f t="shared" si="0"/>
        <v>B</v>
      </c>
      <c r="F8" s="158" t="str">
        <f t="shared" si="1"/>
        <v>LULUS</v>
      </c>
      <c r="G8" s="158" t="str">
        <f t="shared" si="2"/>
        <v>Tidak ikut</v>
      </c>
      <c r="H8" s="152"/>
      <c r="I8" s="159" t="s">
        <v>300</v>
      </c>
      <c r="J8" s="160" t="s">
        <v>142</v>
      </c>
      <c r="K8" s="152"/>
      <c r="L8" s="4"/>
      <c r="M8" s="153"/>
      <c r="N8" s="153"/>
      <c r="O8" s="154"/>
      <c r="P8" s="154"/>
    </row>
    <row r="9" spans="1:16" s="155" customFormat="1" x14ac:dyDescent="0.25">
      <c r="A9" s="156">
        <v>5</v>
      </c>
      <c r="B9" s="157" t="s">
        <v>87</v>
      </c>
      <c r="C9" s="156" t="s">
        <v>295</v>
      </c>
      <c r="D9" s="156">
        <v>45</v>
      </c>
      <c r="E9" s="156" t="str">
        <f t="shared" si="0"/>
        <v>D</v>
      </c>
      <c r="F9" s="158" t="str">
        <f t="shared" si="1"/>
        <v>TIDAK LULUS</v>
      </c>
      <c r="G9" s="158" t="str">
        <f t="shared" si="2"/>
        <v>Wajib Ikut Les</v>
      </c>
      <c r="H9" s="152"/>
      <c r="I9" s="164" t="s">
        <v>301</v>
      </c>
      <c r="J9" s="165" t="s">
        <v>143</v>
      </c>
      <c r="K9" s="152"/>
      <c r="L9" s="4"/>
      <c r="M9" s="153"/>
      <c r="N9" s="153"/>
      <c r="O9" s="154"/>
      <c r="P9" s="154"/>
    </row>
    <row r="10" spans="1:16" s="155" customFormat="1" x14ac:dyDescent="0.25">
      <c r="A10" s="161">
        <v>6</v>
      </c>
      <c r="B10" s="162" t="s">
        <v>282</v>
      </c>
      <c r="C10" s="161" t="s">
        <v>295</v>
      </c>
      <c r="D10" s="161">
        <v>56</v>
      </c>
      <c r="E10" s="156" t="str">
        <f t="shared" si="0"/>
        <v>C</v>
      </c>
      <c r="F10" s="158" t="str">
        <f t="shared" si="1"/>
        <v>LULUS</v>
      </c>
      <c r="G10" s="158" t="str">
        <f t="shared" si="2"/>
        <v>Wajib Ikut Les</v>
      </c>
      <c r="H10" s="152"/>
      <c r="I10" s="3"/>
      <c r="J10" s="3"/>
      <c r="K10" s="152"/>
      <c r="L10" s="4"/>
      <c r="M10" s="154"/>
      <c r="N10" s="154"/>
      <c r="O10" s="154"/>
      <c r="P10" s="154"/>
    </row>
    <row r="11" spans="1:16" s="155" customFormat="1" x14ac:dyDescent="0.25">
      <c r="A11" s="156">
        <v>7</v>
      </c>
      <c r="B11" s="157" t="s">
        <v>47</v>
      </c>
      <c r="C11" s="156" t="s">
        <v>295</v>
      </c>
      <c r="D11" s="156">
        <v>76</v>
      </c>
      <c r="E11" s="156" t="str">
        <f t="shared" si="0"/>
        <v>B</v>
      </c>
      <c r="F11" s="158" t="str">
        <f t="shared" si="1"/>
        <v>LULUS</v>
      </c>
      <c r="G11" s="158" t="str">
        <f t="shared" si="2"/>
        <v>Tidak ikut</v>
      </c>
      <c r="H11" s="152"/>
      <c r="I11" s="152"/>
      <c r="J11" s="152"/>
      <c r="K11" s="152"/>
      <c r="L11" s="4"/>
      <c r="M11" s="154"/>
      <c r="N11" s="154"/>
      <c r="O11" s="154"/>
      <c r="P11" s="154"/>
    </row>
    <row r="12" spans="1:16" s="155" customFormat="1" x14ac:dyDescent="0.25">
      <c r="A12" s="161">
        <v>8</v>
      </c>
      <c r="B12" s="162" t="s">
        <v>302</v>
      </c>
      <c r="C12" s="161" t="s">
        <v>295</v>
      </c>
      <c r="D12" s="161">
        <v>35</v>
      </c>
      <c r="E12" s="156" t="str">
        <f t="shared" si="0"/>
        <v>D</v>
      </c>
      <c r="F12" s="158" t="str">
        <f t="shared" si="1"/>
        <v>TIDAK LULUS</v>
      </c>
      <c r="G12" s="158" t="str">
        <f t="shared" si="2"/>
        <v>Wajib Ikut Les</v>
      </c>
      <c r="H12" s="152"/>
      <c r="I12" s="166" t="s">
        <v>293</v>
      </c>
      <c r="J12" s="167"/>
      <c r="K12" s="168"/>
      <c r="L12" s="4"/>
      <c r="M12" s="153" t="s">
        <v>291</v>
      </c>
      <c r="N12" s="169" t="s">
        <v>294</v>
      </c>
      <c r="O12" s="154"/>
      <c r="P12" s="154"/>
    </row>
    <row r="13" spans="1:16" s="155" customFormat="1" x14ac:dyDescent="0.25">
      <c r="A13" s="156">
        <v>9</v>
      </c>
      <c r="B13" s="157" t="s">
        <v>303</v>
      </c>
      <c r="C13" s="156" t="s">
        <v>295</v>
      </c>
      <c r="D13" s="156">
        <v>78</v>
      </c>
      <c r="E13" s="156" t="str">
        <f t="shared" si="0"/>
        <v>B</v>
      </c>
      <c r="F13" s="158" t="str">
        <f t="shared" si="1"/>
        <v>LULUS</v>
      </c>
      <c r="G13" s="158" t="str">
        <f t="shared" si="2"/>
        <v>Tidak ikut</v>
      </c>
      <c r="H13" s="152"/>
      <c r="I13" s="170" t="s">
        <v>304</v>
      </c>
      <c r="J13" s="152"/>
      <c r="K13" s="171"/>
      <c r="L13" s="4"/>
      <c r="M13" s="153"/>
      <c r="N13" s="153"/>
      <c r="O13" s="154"/>
      <c r="P13" s="154"/>
    </row>
    <row r="14" spans="1:16" s="155" customFormat="1" x14ac:dyDescent="0.25">
      <c r="A14" s="161">
        <v>10</v>
      </c>
      <c r="B14" s="162" t="s">
        <v>52</v>
      </c>
      <c r="C14" s="161" t="s">
        <v>295</v>
      </c>
      <c r="D14" s="161">
        <v>89</v>
      </c>
      <c r="E14" s="156" t="str">
        <f t="shared" si="0"/>
        <v>A</v>
      </c>
      <c r="F14" s="158" t="str">
        <f t="shared" si="1"/>
        <v>LULUS</v>
      </c>
      <c r="G14" s="158" t="str">
        <f t="shared" si="2"/>
        <v>Tidak ikut</v>
      </c>
      <c r="H14" s="152"/>
      <c r="I14" s="172" t="s">
        <v>305</v>
      </c>
      <c r="J14" s="173"/>
      <c r="K14" s="174"/>
      <c r="L14" s="4"/>
      <c r="M14" s="153"/>
      <c r="N14" s="153"/>
      <c r="O14" s="154"/>
      <c r="P14" s="154"/>
    </row>
    <row r="15" spans="1:16" s="155" customFormat="1" x14ac:dyDescent="0.25">
      <c r="A15" s="156">
        <v>11</v>
      </c>
      <c r="B15" s="157" t="s">
        <v>56</v>
      </c>
      <c r="C15" s="156" t="s">
        <v>295</v>
      </c>
      <c r="D15" s="156">
        <v>54</v>
      </c>
      <c r="E15" s="156" t="str">
        <f t="shared" si="0"/>
        <v>C</v>
      </c>
      <c r="F15" s="158" t="str">
        <f t="shared" si="1"/>
        <v>LULUS</v>
      </c>
      <c r="G15" s="158" t="str">
        <f t="shared" si="2"/>
        <v>Wajib Ikut Les</v>
      </c>
      <c r="H15" s="152"/>
      <c r="I15" s="152"/>
      <c r="J15" s="152"/>
      <c r="K15" s="152"/>
      <c r="L15" s="4"/>
      <c r="M15" s="153"/>
      <c r="N15" s="153"/>
      <c r="O15" s="154"/>
      <c r="P15" s="154"/>
    </row>
    <row r="16" spans="1:16" s="155" customFormat="1" x14ac:dyDescent="0.25">
      <c r="A16" s="161">
        <v>12</v>
      </c>
      <c r="B16" s="162" t="s">
        <v>306</v>
      </c>
      <c r="C16" s="161" t="s">
        <v>295</v>
      </c>
      <c r="D16" s="161">
        <v>34</v>
      </c>
      <c r="E16" s="156" t="str">
        <f t="shared" si="0"/>
        <v>D</v>
      </c>
      <c r="F16" s="158" t="str">
        <f t="shared" si="1"/>
        <v>TIDAK LULUS</v>
      </c>
      <c r="G16" s="158" t="str">
        <f t="shared" si="2"/>
        <v>Wajib Ikut Les</v>
      </c>
      <c r="H16" s="152"/>
      <c r="I16" s="152"/>
      <c r="J16" s="152"/>
      <c r="K16" s="152"/>
      <c r="L16" s="4"/>
      <c r="M16" s="154"/>
      <c r="N16" s="154"/>
      <c r="O16" s="154"/>
      <c r="P16" s="154"/>
    </row>
    <row r="17" spans="1:16" s="155" customFormat="1" x14ac:dyDescent="0.25">
      <c r="A17" s="156">
        <v>13</v>
      </c>
      <c r="B17" s="157" t="s">
        <v>58</v>
      </c>
      <c r="C17" s="156" t="s">
        <v>295</v>
      </c>
      <c r="D17" s="161">
        <v>49</v>
      </c>
      <c r="E17" s="156" t="str">
        <f t="shared" si="0"/>
        <v>D</v>
      </c>
      <c r="F17" s="158" t="str">
        <f t="shared" si="1"/>
        <v>TIDAK LULUS</v>
      </c>
      <c r="G17" s="158" t="str">
        <f t="shared" si="2"/>
        <v>Wajib Ikut Les</v>
      </c>
      <c r="H17" s="152"/>
      <c r="I17" s="166" t="s">
        <v>307</v>
      </c>
      <c r="J17" s="167"/>
      <c r="K17" s="168"/>
      <c r="L17" s="4"/>
      <c r="M17" s="154"/>
      <c r="N17" s="154"/>
      <c r="O17" s="154"/>
      <c r="P17" s="154"/>
    </row>
    <row r="18" spans="1:16" s="155" customFormat="1" x14ac:dyDescent="0.25">
      <c r="A18" s="161">
        <v>14</v>
      </c>
      <c r="B18" s="162" t="s">
        <v>308</v>
      </c>
      <c r="C18" s="161" t="s">
        <v>295</v>
      </c>
      <c r="D18" s="161">
        <v>59</v>
      </c>
      <c r="E18" s="156" t="str">
        <f t="shared" si="0"/>
        <v>C</v>
      </c>
      <c r="F18" s="158" t="str">
        <f t="shared" si="1"/>
        <v>LULUS</v>
      </c>
      <c r="G18" s="158" t="str">
        <f t="shared" si="2"/>
        <v>Wajib Ikut Les</v>
      </c>
      <c r="H18" s="152"/>
      <c r="I18" s="170" t="s">
        <v>309</v>
      </c>
      <c r="J18" s="152"/>
      <c r="K18" s="171"/>
      <c r="L18" s="4"/>
      <c r="M18" s="154"/>
      <c r="N18" s="154"/>
      <c r="O18" s="154"/>
      <c r="P18" s="154"/>
    </row>
    <row r="19" spans="1:16" s="155" customFormat="1" ht="15.75" x14ac:dyDescent="0.25">
      <c r="A19" s="156">
        <v>15</v>
      </c>
      <c r="B19" s="157" t="s">
        <v>57</v>
      </c>
      <c r="C19" s="156" t="s">
        <v>295</v>
      </c>
      <c r="D19" s="161">
        <v>83</v>
      </c>
      <c r="E19" s="156" t="str">
        <f t="shared" si="0"/>
        <v>B</v>
      </c>
      <c r="F19" s="158" t="str">
        <f t="shared" si="1"/>
        <v>LULUS</v>
      </c>
      <c r="G19" s="158" t="str">
        <f t="shared" si="2"/>
        <v>Tidak ikut</v>
      </c>
      <c r="H19" s="152"/>
      <c r="I19" s="175" t="s">
        <v>310</v>
      </c>
      <c r="J19" s="176" t="s">
        <v>311</v>
      </c>
      <c r="K19" s="177"/>
      <c r="L19" s="4"/>
      <c r="M19" s="154"/>
      <c r="N19" s="154"/>
      <c r="O19" s="154"/>
      <c r="P19" s="154"/>
    </row>
    <row r="20" spans="1:16" s="155" customFormat="1" ht="15.75" x14ac:dyDescent="0.25">
      <c r="A20" s="161">
        <v>16</v>
      </c>
      <c r="B20" s="162" t="s">
        <v>312</v>
      </c>
      <c r="C20" s="161" t="s">
        <v>295</v>
      </c>
      <c r="D20" s="161">
        <v>58</v>
      </c>
      <c r="E20" s="156" t="str">
        <f t="shared" si="0"/>
        <v>C</v>
      </c>
      <c r="F20" s="158" t="str">
        <f t="shared" si="1"/>
        <v>LULUS</v>
      </c>
      <c r="G20" s="158" t="str">
        <f t="shared" si="2"/>
        <v>Wajib Ikut Les</v>
      </c>
      <c r="H20" s="152"/>
      <c r="I20" s="175" t="s">
        <v>313</v>
      </c>
      <c r="J20" s="178" t="s">
        <v>314</v>
      </c>
      <c r="K20" s="177"/>
      <c r="L20" s="4"/>
      <c r="M20" s="154"/>
      <c r="N20" s="154"/>
      <c r="O20" s="154"/>
      <c r="P20" s="154"/>
    </row>
    <row r="21" spans="1:16" s="155" customFormat="1" ht="15.75" x14ac:dyDescent="0.25">
      <c r="A21" s="156">
        <v>17</v>
      </c>
      <c r="B21" s="157" t="s">
        <v>44</v>
      </c>
      <c r="C21" s="156" t="s">
        <v>295</v>
      </c>
      <c r="D21" s="161">
        <v>45</v>
      </c>
      <c r="E21" s="156" t="str">
        <f t="shared" si="0"/>
        <v>D</v>
      </c>
      <c r="F21" s="158" t="str">
        <f t="shared" si="1"/>
        <v>TIDAK LULUS</v>
      </c>
      <c r="G21" s="158" t="str">
        <f t="shared" si="2"/>
        <v>Wajib Ikut Les</v>
      </c>
      <c r="H21" s="152"/>
      <c r="I21" s="179" t="s">
        <v>315</v>
      </c>
      <c r="J21" s="180" t="s">
        <v>316</v>
      </c>
      <c r="K21" s="181"/>
      <c r="L21" s="4"/>
      <c r="M21" s="154"/>
      <c r="N21" s="154"/>
      <c r="O21" s="154"/>
      <c r="P21" s="154"/>
    </row>
    <row r="22" spans="1:16" s="155" customFormat="1" x14ac:dyDescent="0.25">
      <c r="A22" s="161">
        <v>18</v>
      </c>
      <c r="B22" s="162" t="s">
        <v>40</v>
      </c>
      <c r="C22" s="161" t="s">
        <v>295</v>
      </c>
      <c r="D22" s="161">
        <v>67</v>
      </c>
      <c r="E22" s="156" t="str">
        <f t="shared" si="0"/>
        <v>C</v>
      </c>
      <c r="F22" s="158" t="str">
        <f t="shared" si="1"/>
        <v>LULUS</v>
      </c>
      <c r="G22" s="158" t="str">
        <f t="shared" si="2"/>
        <v>Optional Les</v>
      </c>
      <c r="H22" s="152"/>
      <c r="I22" s="149"/>
      <c r="J22" s="149"/>
      <c r="K22" s="149"/>
      <c r="L22" s="4"/>
      <c r="M22" s="154"/>
      <c r="N22" s="154"/>
      <c r="O22" s="154"/>
      <c r="P22" s="154"/>
    </row>
    <row r="23" spans="1:16" s="155" customFormat="1" x14ac:dyDescent="0.25">
      <c r="A23" s="156">
        <v>19</v>
      </c>
      <c r="B23" s="157" t="s">
        <v>36</v>
      </c>
      <c r="C23" s="156" t="s">
        <v>295</v>
      </c>
      <c r="D23" s="161">
        <v>84</v>
      </c>
      <c r="E23" s="156" t="str">
        <f t="shared" si="0"/>
        <v>B</v>
      </c>
      <c r="F23" s="158" t="str">
        <f t="shared" si="1"/>
        <v>LULUS</v>
      </c>
      <c r="G23" s="158" t="str">
        <f t="shared" si="2"/>
        <v>Tidak ikut</v>
      </c>
      <c r="H23" s="152"/>
      <c r="I23" s="149"/>
      <c r="J23" s="149"/>
      <c r="K23" s="149"/>
      <c r="L23" s="4"/>
      <c r="M23" s="154"/>
      <c r="N23" s="154"/>
      <c r="O23" s="154"/>
      <c r="P23" s="154"/>
    </row>
    <row r="24" spans="1:16" s="155" customFormat="1" x14ac:dyDescent="0.25">
      <c r="A24" s="161">
        <v>20</v>
      </c>
      <c r="B24" s="162" t="s">
        <v>51</v>
      </c>
      <c r="C24" s="161" t="s">
        <v>295</v>
      </c>
      <c r="D24" s="161">
        <v>83</v>
      </c>
      <c r="E24" s="156" t="str">
        <f t="shared" si="0"/>
        <v>B</v>
      </c>
      <c r="F24" s="158" t="str">
        <f t="shared" si="1"/>
        <v>LULUS</v>
      </c>
      <c r="G24" s="158" t="str">
        <f t="shared" si="2"/>
        <v>Tidak ikut</v>
      </c>
      <c r="H24" s="152"/>
      <c r="I24" s="149"/>
      <c r="J24" s="149"/>
      <c r="K24" s="149"/>
      <c r="L24" s="4"/>
      <c r="M24" s="154"/>
      <c r="N24" s="154"/>
      <c r="O24" s="154"/>
      <c r="P24" s="154"/>
    </row>
    <row r="25" spans="1:16" s="155" customFormat="1" x14ac:dyDescent="0.25">
      <c r="A25" s="156">
        <v>21</v>
      </c>
      <c r="B25" s="157" t="s">
        <v>59</v>
      </c>
      <c r="C25" s="156" t="s">
        <v>295</v>
      </c>
      <c r="D25" s="161">
        <v>56</v>
      </c>
      <c r="E25" s="156" t="str">
        <f t="shared" si="0"/>
        <v>C</v>
      </c>
      <c r="F25" s="158" t="str">
        <f t="shared" si="1"/>
        <v>LULUS</v>
      </c>
      <c r="G25" s="158" t="str">
        <f t="shared" si="2"/>
        <v>Wajib Ikut Les</v>
      </c>
      <c r="H25" s="152"/>
      <c r="I25" s="149"/>
      <c r="J25" s="149"/>
      <c r="K25" s="149"/>
      <c r="L25" s="4"/>
      <c r="M25" s="154"/>
      <c r="N25" s="154"/>
      <c r="O25" s="154"/>
      <c r="P25" s="154"/>
    </row>
    <row r="26" spans="1:16" s="155" customFormat="1" x14ac:dyDescent="0.25">
      <c r="A26" s="161">
        <v>22</v>
      </c>
      <c r="B26" s="162" t="s">
        <v>54</v>
      </c>
      <c r="C26" s="161" t="s">
        <v>295</v>
      </c>
      <c r="D26" s="161">
        <v>94</v>
      </c>
      <c r="E26" s="156" t="str">
        <f t="shared" si="0"/>
        <v>A</v>
      </c>
      <c r="F26" s="158" t="str">
        <f t="shared" si="1"/>
        <v>LULUS</v>
      </c>
      <c r="G26" s="158" t="str">
        <f t="shared" si="2"/>
        <v>Tidak ikut</v>
      </c>
      <c r="H26" s="152"/>
      <c r="I26" s="152"/>
      <c r="J26" s="152"/>
      <c r="K26" s="152"/>
      <c r="L26" s="4"/>
      <c r="M26" s="154"/>
      <c r="N26" s="154"/>
      <c r="O26" s="154"/>
      <c r="P26" s="154"/>
    </row>
    <row r="27" spans="1:16" s="155" customFormat="1" x14ac:dyDescent="0.25">
      <c r="A27" s="156">
        <v>23</v>
      </c>
      <c r="B27" s="157" t="s">
        <v>317</v>
      </c>
      <c r="C27" s="156" t="s">
        <v>295</v>
      </c>
      <c r="D27" s="161">
        <v>85</v>
      </c>
      <c r="E27" s="156" t="str">
        <f t="shared" si="0"/>
        <v>B</v>
      </c>
      <c r="F27" s="158" t="str">
        <f t="shared" si="1"/>
        <v>LULUS</v>
      </c>
      <c r="G27" s="158" t="str">
        <f t="shared" si="2"/>
        <v>Tidak ikut</v>
      </c>
      <c r="H27" s="152"/>
      <c r="I27" s="152"/>
      <c r="J27" s="152"/>
      <c r="K27" s="152"/>
      <c r="L27" s="4"/>
      <c r="M27" s="154"/>
      <c r="N27" s="154"/>
      <c r="O27" s="154"/>
      <c r="P27" s="154"/>
    </row>
    <row r="28" spans="1:16" s="155" customFormat="1" x14ac:dyDescent="0.25">
      <c r="A28" s="161">
        <v>24</v>
      </c>
      <c r="B28" s="163" t="s">
        <v>47</v>
      </c>
      <c r="C28" s="161" t="s">
        <v>295</v>
      </c>
      <c r="D28" s="161">
        <v>79</v>
      </c>
      <c r="E28" s="156" t="str">
        <f t="shared" si="0"/>
        <v>B</v>
      </c>
      <c r="F28" s="158" t="str">
        <f t="shared" si="1"/>
        <v>LULUS</v>
      </c>
      <c r="G28" s="158" t="str">
        <f t="shared" si="2"/>
        <v>Tidak ikut</v>
      </c>
      <c r="H28" s="152"/>
      <c r="I28" s="152"/>
      <c r="J28" s="152"/>
      <c r="K28" s="152"/>
      <c r="L28" s="4"/>
      <c r="M28" s="154"/>
      <c r="N28" s="154"/>
      <c r="O28" s="154"/>
      <c r="P28" s="154"/>
    </row>
    <row r="29" spans="1:16" s="155" customFormat="1" x14ac:dyDescent="0.25">
      <c r="A29" s="156">
        <v>25</v>
      </c>
      <c r="B29" s="158" t="s">
        <v>318</v>
      </c>
      <c r="C29" s="156" t="s">
        <v>295</v>
      </c>
      <c r="D29" s="161">
        <v>89</v>
      </c>
      <c r="E29" s="156" t="str">
        <f t="shared" si="0"/>
        <v>A</v>
      </c>
      <c r="F29" s="158" t="str">
        <f t="shared" si="1"/>
        <v>LULUS</v>
      </c>
      <c r="G29" s="158" t="str">
        <f t="shared" si="2"/>
        <v>Tidak ikut</v>
      </c>
      <c r="H29" s="152"/>
      <c r="I29" s="152"/>
      <c r="J29" s="152"/>
      <c r="K29" s="152"/>
      <c r="L29" s="4"/>
      <c r="M29" s="154"/>
      <c r="N29" s="154"/>
      <c r="O29" s="154"/>
      <c r="P29" s="154"/>
    </row>
    <row r="30" spans="1:16" s="155" customFormat="1" x14ac:dyDescent="0.25">
      <c r="A30" s="161">
        <v>26</v>
      </c>
      <c r="B30" s="163" t="s">
        <v>319</v>
      </c>
      <c r="C30" s="161" t="s">
        <v>295</v>
      </c>
      <c r="D30" s="161">
        <v>76</v>
      </c>
      <c r="E30" s="156" t="str">
        <f t="shared" si="0"/>
        <v>B</v>
      </c>
      <c r="F30" s="158" t="str">
        <f t="shared" si="1"/>
        <v>LULUS</v>
      </c>
      <c r="G30" s="158" t="str">
        <f t="shared" si="2"/>
        <v>Tidak ikut</v>
      </c>
      <c r="H30" s="152"/>
      <c r="I30" s="152"/>
      <c r="J30" s="152"/>
      <c r="K30" s="152"/>
      <c r="L30" s="4"/>
      <c r="M30" s="154"/>
      <c r="N30" s="154"/>
      <c r="O30" s="154"/>
      <c r="P30" s="154"/>
    </row>
    <row r="31" spans="1:16" s="155" customFormat="1" x14ac:dyDescent="0.25">
      <c r="A31" s="156">
        <v>27</v>
      </c>
      <c r="B31" s="158" t="s">
        <v>52</v>
      </c>
      <c r="C31" s="156" t="s">
        <v>320</v>
      </c>
      <c r="D31" s="161">
        <v>45</v>
      </c>
      <c r="E31" s="156" t="str">
        <f t="shared" si="0"/>
        <v>D</v>
      </c>
      <c r="F31" s="158" t="str">
        <f t="shared" si="1"/>
        <v>TIDAK LULUS</v>
      </c>
      <c r="G31" s="158" t="str">
        <f t="shared" si="2"/>
        <v>Wajib Ikut Les</v>
      </c>
      <c r="H31" s="152"/>
      <c r="I31" s="152"/>
      <c r="J31" s="152"/>
      <c r="K31" s="152"/>
      <c r="L31" s="4"/>
      <c r="M31" s="154"/>
      <c r="N31" s="154"/>
      <c r="O31" s="154"/>
      <c r="P31" s="154"/>
    </row>
    <row r="32" spans="1:16" s="155" customFormat="1" x14ac:dyDescent="0.25">
      <c r="A32" s="161">
        <v>28</v>
      </c>
      <c r="B32" s="163" t="s">
        <v>38</v>
      </c>
      <c r="C32" s="161" t="s">
        <v>320</v>
      </c>
      <c r="D32" s="161">
        <v>56</v>
      </c>
      <c r="E32" s="156" t="str">
        <f t="shared" si="0"/>
        <v>C</v>
      </c>
      <c r="F32" s="158" t="str">
        <f t="shared" si="1"/>
        <v>LULUS</v>
      </c>
      <c r="G32" s="158" t="str">
        <f t="shared" si="2"/>
        <v>Wajib Ikut Les</v>
      </c>
      <c r="H32" s="152"/>
      <c r="I32" s="152"/>
      <c r="J32" s="152"/>
      <c r="K32" s="152"/>
      <c r="L32" s="4"/>
      <c r="M32" s="154"/>
      <c r="N32" s="154"/>
      <c r="O32" s="154"/>
      <c r="P32" s="154"/>
    </row>
    <row r="33" spans="1:16" s="155" customFormat="1" x14ac:dyDescent="0.25">
      <c r="A33" s="156">
        <v>29</v>
      </c>
      <c r="B33" s="158" t="s">
        <v>32</v>
      </c>
      <c r="C33" s="156" t="s">
        <v>320</v>
      </c>
      <c r="D33" s="161">
        <v>74</v>
      </c>
      <c r="E33" s="156" t="str">
        <f t="shared" si="0"/>
        <v>B</v>
      </c>
      <c r="F33" s="158" t="str">
        <f t="shared" si="1"/>
        <v>LULUS</v>
      </c>
      <c r="G33" s="158" t="str">
        <f t="shared" si="2"/>
        <v>Tidak ikut</v>
      </c>
      <c r="H33" s="152"/>
      <c r="I33" s="152"/>
      <c r="J33" s="152"/>
      <c r="K33" s="152"/>
      <c r="L33" s="4"/>
      <c r="M33" s="154"/>
      <c r="N33" s="154"/>
      <c r="O33" s="154"/>
      <c r="P33" s="154"/>
    </row>
    <row r="34" spans="1:16" s="155" customFormat="1" x14ac:dyDescent="0.25">
      <c r="A34" s="161">
        <v>30</v>
      </c>
      <c r="B34" s="163" t="s">
        <v>89</v>
      </c>
      <c r="C34" s="161" t="s">
        <v>320</v>
      </c>
      <c r="D34" s="161">
        <v>85</v>
      </c>
      <c r="E34" s="156" t="str">
        <f t="shared" si="0"/>
        <v>B</v>
      </c>
      <c r="F34" s="158" t="str">
        <f t="shared" si="1"/>
        <v>LULUS</v>
      </c>
      <c r="G34" s="158" t="str">
        <f t="shared" si="2"/>
        <v>Tidak ikut</v>
      </c>
      <c r="H34" s="152"/>
      <c r="I34" s="152"/>
      <c r="J34" s="152"/>
      <c r="K34" s="152"/>
      <c r="L34" s="4"/>
      <c r="M34" s="154"/>
      <c r="N34" s="154"/>
      <c r="O34" s="154"/>
      <c r="P34" s="154"/>
    </row>
    <row r="35" spans="1:16" s="155" customFormat="1" x14ac:dyDescent="0.25">
      <c r="A35" s="156">
        <v>31</v>
      </c>
      <c r="B35" s="158" t="s">
        <v>49</v>
      </c>
      <c r="C35" s="156" t="s">
        <v>320</v>
      </c>
      <c r="D35" s="161">
        <v>64</v>
      </c>
      <c r="E35" s="156" t="str">
        <f t="shared" si="0"/>
        <v>C</v>
      </c>
      <c r="F35" s="158" t="str">
        <f t="shared" si="1"/>
        <v>LULUS</v>
      </c>
      <c r="G35" s="158" t="str">
        <f t="shared" si="2"/>
        <v>Wajib Ikut Les</v>
      </c>
      <c r="H35" s="152"/>
      <c r="I35" s="152"/>
      <c r="J35" s="152"/>
      <c r="K35" s="152"/>
      <c r="L35" s="4"/>
      <c r="M35" s="154"/>
      <c r="N35" s="154"/>
      <c r="O35" s="154"/>
      <c r="P35" s="154"/>
    </row>
    <row r="36" spans="1:16" s="155" customFormat="1" x14ac:dyDescent="0.25">
      <c r="A36" s="161">
        <v>32</v>
      </c>
      <c r="B36" s="163" t="s">
        <v>37</v>
      </c>
      <c r="C36" s="161" t="s">
        <v>320</v>
      </c>
      <c r="D36" s="161">
        <v>72</v>
      </c>
      <c r="E36" s="156" t="str">
        <f t="shared" si="0"/>
        <v>B</v>
      </c>
      <c r="F36" s="158" t="str">
        <f t="shared" si="1"/>
        <v>LULUS</v>
      </c>
      <c r="G36" s="158" t="str">
        <f t="shared" si="2"/>
        <v>Tidak ikut</v>
      </c>
      <c r="H36" s="152"/>
      <c r="I36" s="152"/>
      <c r="J36" s="152"/>
      <c r="K36" s="152"/>
      <c r="L36" s="4"/>
      <c r="M36" s="154"/>
      <c r="N36" s="154"/>
      <c r="O36" s="154"/>
      <c r="P36" s="154"/>
    </row>
    <row r="37" spans="1:16" s="155" customFormat="1" x14ac:dyDescent="0.25">
      <c r="A37" s="156">
        <v>33</v>
      </c>
      <c r="B37" s="158" t="s">
        <v>29</v>
      </c>
      <c r="C37" s="156" t="s">
        <v>320</v>
      </c>
      <c r="D37" s="161">
        <v>32</v>
      </c>
      <c r="E37" s="156" t="str">
        <f t="shared" si="0"/>
        <v>D</v>
      </c>
      <c r="F37" s="158" t="str">
        <f t="shared" si="1"/>
        <v>TIDAK LULUS</v>
      </c>
      <c r="G37" s="158" t="str">
        <f t="shared" si="2"/>
        <v>Wajib Ikut Les</v>
      </c>
      <c r="H37" s="152"/>
      <c r="I37" s="152"/>
      <c r="J37" s="152"/>
      <c r="K37" s="152"/>
      <c r="L37" s="4"/>
      <c r="M37" s="154"/>
      <c r="N37" s="154"/>
      <c r="O37" s="154"/>
      <c r="P37" s="154"/>
    </row>
    <row r="38" spans="1:16" s="155" customFormat="1" x14ac:dyDescent="0.25">
      <c r="A38" s="161">
        <v>34</v>
      </c>
      <c r="B38" s="163" t="s">
        <v>35</v>
      </c>
      <c r="C38" s="161" t="s">
        <v>320</v>
      </c>
      <c r="D38" s="161">
        <v>63</v>
      </c>
      <c r="E38" s="156" t="str">
        <f t="shared" si="0"/>
        <v>C</v>
      </c>
      <c r="F38" s="158" t="str">
        <f t="shared" si="1"/>
        <v>LULUS</v>
      </c>
      <c r="G38" s="158" t="str">
        <f t="shared" si="2"/>
        <v>Wajib Ikut Les</v>
      </c>
      <c r="H38" s="152"/>
      <c r="I38" s="152"/>
      <c r="J38" s="152"/>
      <c r="K38" s="152"/>
      <c r="L38" s="4"/>
      <c r="M38" s="154"/>
      <c r="N38" s="154"/>
      <c r="O38" s="154"/>
      <c r="P38" s="154"/>
    </row>
    <row r="39" spans="1:16" s="155" customFormat="1" x14ac:dyDescent="0.25">
      <c r="A39" s="156">
        <v>35</v>
      </c>
      <c r="B39" s="158" t="s">
        <v>53</v>
      </c>
      <c r="C39" s="156" t="s">
        <v>320</v>
      </c>
      <c r="D39" s="161">
        <v>80</v>
      </c>
      <c r="E39" s="156" t="str">
        <f t="shared" si="0"/>
        <v>B</v>
      </c>
      <c r="F39" s="158" t="str">
        <f t="shared" si="1"/>
        <v>LULUS</v>
      </c>
      <c r="G39" s="158" t="str">
        <f t="shared" si="2"/>
        <v>Tidak ikut</v>
      </c>
      <c r="H39" s="152"/>
      <c r="I39" s="152"/>
      <c r="J39" s="152"/>
      <c r="K39" s="152"/>
      <c r="L39" s="4"/>
      <c r="M39" s="154"/>
      <c r="N39" s="154"/>
      <c r="O39" s="154"/>
      <c r="P39" s="154"/>
    </row>
    <row r="40" spans="1:16" s="155" customFormat="1" x14ac:dyDescent="0.25">
      <c r="A40" s="161">
        <v>36</v>
      </c>
      <c r="B40" s="163" t="s">
        <v>39</v>
      </c>
      <c r="C40" s="161" t="s">
        <v>320</v>
      </c>
      <c r="D40" s="161">
        <v>83</v>
      </c>
      <c r="E40" s="156" t="str">
        <f t="shared" si="0"/>
        <v>B</v>
      </c>
      <c r="F40" s="158" t="str">
        <f t="shared" si="1"/>
        <v>LULUS</v>
      </c>
      <c r="G40" s="158" t="str">
        <f t="shared" si="2"/>
        <v>Tidak ikut</v>
      </c>
      <c r="H40" s="152"/>
      <c r="I40" s="152"/>
      <c r="J40" s="152"/>
      <c r="K40" s="152"/>
      <c r="L40" s="4"/>
      <c r="M40" s="154"/>
      <c r="N40" s="154"/>
      <c r="O40" s="154"/>
      <c r="P40" s="154"/>
    </row>
    <row r="41" spans="1:16" s="155" customFormat="1" x14ac:dyDescent="0.25">
      <c r="A41" s="156">
        <v>37</v>
      </c>
      <c r="B41" s="158" t="s">
        <v>42</v>
      </c>
      <c r="C41" s="156" t="s">
        <v>320</v>
      </c>
      <c r="D41" s="161">
        <v>75</v>
      </c>
      <c r="E41" s="156" t="str">
        <f t="shared" si="0"/>
        <v>B</v>
      </c>
      <c r="F41" s="158" t="str">
        <f t="shared" si="1"/>
        <v>LULUS</v>
      </c>
      <c r="G41" s="158" t="str">
        <f t="shared" si="2"/>
        <v>Tidak ikut</v>
      </c>
      <c r="H41" s="152"/>
      <c r="I41" s="152"/>
      <c r="J41" s="152"/>
      <c r="K41" s="152"/>
      <c r="L41" s="4"/>
      <c r="M41" s="154"/>
      <c r="N41" s="154"/>
      <c r="O41" s="154"/>
      <c r="P41" s="154"/>
    </row>
    <row r="42" spans="1:16" s="155" customFormat="1" x14ac:dyDescent="0.25">
      <c r="A42" s="161">
        <v>38</v>
      </c>
      <c r="B42" s="163" t="s">
        <v>48</v>
      </c>
      <c r="C42" s="161" t="s">
        <v>320</v>
      </c>
      <c r="D42" s="161">
        <v>72</v>
      </c>
      <c r="E42" s="156" t="str">
        <f t="shared" si="0"/>
        <v>B</v>
      </c>
      <c r="F42" s="158" t="str">
        <f t="shared" si="1"/>
        <v>LULUS</v>
      </c>
      <c r="G42" s="158" t="str">
        <f t="shared" si="2"/>
        <v>Tidak ikut</v>
      </c>
      <c r="H42" s="152"/>
      <c r="I42" s="152"/>
      <c r="J42" s="152"/>
      <c r="K42" s="152"/>
      <c r="L42" s="4"/>
      <c r="M42" s="154"/>
      <c r="N42" s="154"/>
      <c r="O42" s="154"/>
      <c r="P42" s="154"/>
    </row>
    <row r="43" spans="1:16" s="155" customFormat="1" x14ac:dyDescent="0.25">
      <c r="A43" s="156">
        <v>39</v>
      </c>
      <c r="B43" s="158" t="s">
        <v>33</v>
      </c>
      <c r="C43" s="156" t="s">
        <v>320</v>
      </c>
      <c r="D43" s="161">
        <v>54</v>
      </c>
      <c r="E43" s="156" t="str">
        <f t="shared" si="0"/>
        <v>C</v>
      </c>
      <c r="F43" s="158" t="str">
        <f t="shared" si="1"/>
        <v>LULUS</v>
      </c>
      <c r="G43" s="158" t="str">
        <f t="shared" si="2"/>
        <v>Wajib Ikut Les</v>
      </c>
      <c r="H43" s="152"/>
      <c r="I43" s="152"/>
      <c r="J43" s="152"/>
      <c r="K43" s="152"/>
      <c r="L43" s="4"/>
      <c r="M43" s="154"/>
      <c r="N43" s="154"/>
      <c r="O43" s="154"/>
      <c r="P43" s="154"/>
    </row>
    <row r="44" spans="1:16" s="155" customFormat="1" x14ac:dyDescent="0.25">
      <c r="A44" s="161">
        <v>40</v>
      </c>
      <c r="B44" s="163" t="s">
        <v>41</v>
      </c>
      <c r="C44" s="161" t="s">
        <v>320</v>
      </c>
      <c r="D44" s="161">
        <v>87</v>
      </c>
      <c r="E44" s="156" t="str">
        <f t="shared" si="0"/>
        <v>A</v>
      </c>
      <c r="F44" s="158" t="str">
        <f t="shared" si="1"/>
        <v>LULUS</v>
      </c>
      <c r="G44" s="158" t="str">
        <f t="shared" si="2"/>
        <v>Tidak ikut</v>
      </c>
      <c r="H44" s="152"/>
      <c r="I44" s="152"/>
      <c r="J44" s="152"/>
      <c r="K44" s="152"/>
      <c r="L44" s="4"/>
      <c r="M44" s="154"/>
      <c r="N44" s="154"/>
      <c r="O44" s="154"/>
      <c r="P44" s="154"/>
    </row>
    <row r="45" spans="1:16" s="155" customFormat="1" x14ac:dyDescent="0.25">
      <c r="A45" s="156">
        <v>41</v>
      </c>
      <c r="B45" s="158" t="s">
        <v>45</v>
      </c>
      <c r="C45" s="156" t="s">
        <v>320</v>
      </c>
      <c r="D45" s="161">
        <v>63</v>
      </c>
      <c r="E45" s="156" t="str">
        <f t="shared" si="0"/>
        <v>C</v>
      </c>
      <c r="F45" s="158" t="str">
        <f t="shared" si="1"/>
        <v>LULUS</v>
      </c>
      <c r="G45" s="158" t="str">
        <f t="shared" si="2"/>
        <v>Wajib Ikut Les</v>
      </c>
      <c r="H45" s="152"/>
      <c r="I45" s="152"/>
      <c r="J45" s="152"/>
      <c r="K45" s="152"/>
      <c r="L45" s="4"/>
      <c r="M45" s="154"/>
      <c r="N45" s="154"/>
      <c r="O45" s="154"/>
      <c r="P45" s="154"/>
    </row>
    <row r="46" spans="1:16" s="155" customFormat="1" x14ac:dyDescent="0.25">
      <c r="A46" s="161">
        <v>42</v>
      </c>
      <c r="B46" s="163" t="s">
        <v>43</v>
      </c>
      <c r="C46" s="161" t="s">
        <v>320</v>
      </c>
      <c r="D46" s="161">
        <v>78</v>
      </c>
      <c r="E46" s="156" t="str">
        <f t="shared" si="0"/>
        <v>B</v>
      </c>
      <c r="F46" s="158" t="str">
        <f t="shared" si="1"/>
        <v>LULUS</v>
      </c>
      <c r="G46" s="158" t="str">
        <f t="shared" si="2"/>
        <v>Tidak ikut</v>
      </c>
      <c r="H46" s="152"/>
      <c r="I46" s="152"/>
      <c r="J46" s="152"/>
      <c r="K46" s="152"/>
      <c r="L46" s="4"/>
      <c r="M46" s="154"/>
      <c r="N46" s="154"/>
      <c r="O46" s="154"/>
      <c r="P46" s="154"/>
    </row>
    <row r="47" spans="1:16" s="155" customFormat="1" x14ac:dyDescent="0.25">
      <c r="A47" s="156">
        <v>43</v>
      </c>
      <c r="B47" s="158" t="s">
        <v>50</v>
      </c>
      <c r="C47" s="156" t="s">
        <v>320</v>
      </c>
      <c r="D47" s="161">
        <v>43</v>
      </c>
      <c r="E47" s="156" t="str">
        <f t="shared" si="0"/>
        <v>D</v>
      </c>
      <c r="F47" s="158" t="str">
        <f t="shared" si="1"/>
        <v>TIDAK LULUS</v>
      </c>
      <c r="G47" s="158" t="str">
        <f t="shared" si="2"/>
        <v>Wajib Ikut Les</v>
      </c>
      <c r="H47" s="152"/>
      <c r="I47" s="152"/>
      <c r="J47" s="152"/>
      <c r="K47" s="152"/>
      <c r="L47" s="4"/>
      <c r="M47" s="154"/>
      <c r="N47" s="154"/>
      <c r="O47" s="154"/>
      <c r="P47" s="154"/>
    </row>
    <row r="48" spans="1:16" s="155" customFormat="1" x14ac:dyDescent="0.25">
      <c r="A48" s="161">
        <v>44</v>
      </c>
      <c r="B48" s="163" t="s">
        <v>318</v>
      </c>
      <c r="C48" s="161" t="s">
        <v>320</v>
      </c>
      <c r="D48" s="161">
        <v>67</v>
      </c>
      <c r="E48" s="156" t="str">
        <f t="shared" si="0"/>
        <v>C</v>
      </c>
      <c r="F48" s="158" t="str">
        <f t="shared" si="1"/>
        <v>LULUS</v>
      </c>
      <c r="G48" s="158" t="str">
        <f t="shared" si="2"/>
        <v>Optional Les</v>
      </c>
      <c r="H48" s="152"/>
      <c r="I48" s="152"/>
      <c r="J48" s="152"/>
      <c r="K48" s="152"/>
      <c r="L48" s="4"/>
      <c r="M48" s="154"/>
      <c r="N48" s="154"/>
      <c r="O48" s="154"/>
      <c r="P48" s="154"/>
    </row>
    <row r="49" spans="1:16" s="155" customFormat="1" x14ac:dyDescent="0.25">
      <c r="A49" s="156">
        <v>45</v>
      </c>
      <c r="B49" s="158" t="s">
        <v>319</v>
      </c>
      <c r="C49" s="156" t="s">
        <v>320</v>
      </c>
      <c r="D49" s="161">
        <v>89</v>
      </c>
      <c r="E49" s="156" t="str">
        <f t="shared" si="0"/>
        <v>A</v>
      </c>
      <c r="F49" s="158" t="str">
        <f t="shared" si="1"/>
        <v>LULUS</v>
      </c>
      <c r="G49" s="158" t="str">
        <f t="shared" si="2"/>
        <v>Tidak ikut</v>
      </c>
      <c r="H49" s="152"/>
      <c r="I49" s="152"/>
      <c r="J49" s="152"/>
      <c r="K49" s="152"/>
      <c r="L49" s="4"/>
      <c r="M49" s="154"/>
      <c r="N49" s="154"/>
      <c r="O49" s="154"/>
      <c r="P49" s="154"/>
    </row>
    <row r="50" spans="1:16" s="155" customFormat="1" x14ac:dyDescent="0.25">
      <c r="A50" s="161">
        <v>46</v>
      </c>
      <c r="B50" s="163" t="s">
        <v>52</v>
      </c>
      <c r="C50" s="161" t="s">
        <v>320</v>
      </c>
      <c r="D50" s="161">
        <v>55</v>
      </c>
      <c r="E50" s="156" t="str">
        <f t="shared" si="0"/>
        <v>C</v>
      </c>
      <c r="F50" s="158" t="str">
        <f t="shared" si="1"/>
        <v>LULUS</v>
      </c>
      <c r="G50" s="158" t="str">
        <f t="shared" si="2"/>
        <v>Wajib Ikut Les</v>
      </c>
      <c r="H50" s="152"/>
      <c r="I50" s="152"/>
      <c r="J50" s="152"/>
      <c r="K50" s="152"/>
      <c r="L50" s="4"/>
      <c r="M50" s="154"/>
      <c r="N50" s="154"/>
      <c r="O50" s="154"/>
      <c r="P50" s="154"/>
    </row>
    <row r="51" spans="1:16" s="155" customFormat="1" x14ac:dyDescent="0.25">
      <c r="A51" s="156">
        <v>47</v>
      </c>
      <c r="B51" s="158" t="s">
        <v>38</v>
      </c>
      <c r="C51" s="156" t="s">
        <v>320</v>
      </c>
      <c r="D51" s="161">
        <v>88</v>
      </c>
      <c r="E51" s="156" t="str">
        <f t="shared" si="0"/>
        <v>A</v>
      </c>
      <c r="F51" s="158" t="str">
        <f t="shared" si="1"/>
        <v>LULUS</v>
      </c>
      <c r="G51" s="158" t="str">
        <f t="shared" si="2"/>
        <v>Tidak ikut</v>
      </c>
      <c r="H51" s="152"/>
      <c r="I51" s="152"/>
      <c r="J51" s="152"/>
      <c r="K51" s="152"/>
      <c r="L51" s="4"/>
    </row>
    <row r="52" spans="1:16" s="155" customFormat="1" x14ac:dyDescent="0.25">
      <c r="A52" s="161">
        <v>48</v>
      </c>
      <c r="B52" s="163" t="s">
        <v>32</v>
      </c>
      <c r="C52" s="161" t="s">
        <v>320</v>
      </c>
      <c r="D52" s="161">
        <v>86</v>
      </c>
      <c r="E52" s="156" t="str">
        <f t="shared" si="0"/>
        <v>A</v>
      </c>
      <c r="F52" s="158" t="str">
        <f t="shared" si="1"/>
        <v>LULUS</v>
      </c>
      <c r="G52" s="158" t="str">
        <f t="shared" si="2"/>
        <v>Tidak ikut</v>
      </c>
      <c r="H52" s="152"/>
      <c r="I52" s="152"/>
      <c r="J52" s="152"/>
      <c r="K52" s="152"/>
      <c r="L52" s="4"/>
    </row>
    <row r="53" spans="1:16" s="155" customFormat="1" x14ac:dyDescent="0.25">
      <c r="A53" s="156">
        <v>49</v>
      </c>
      <c r="B53" s="158" t="s">
        <v>89</v>
      </c>
      <c r="C53" s="156" t="s">
        <v>320</v>
      </c>
      <c r="D53" s="161">
        <v>75</v>
      </c>
      <c r="E53" s="156" t="str">
        <f t="shared" si="0"/>
        <v>B</v>
      </c>
      <c r="F53" s="158" t="str">
        <f t="shared" si="1"/>
        <v>LULUS</v>
      </c>
      <c r="G53" s="158" t="str">
        <f t="shared" si="2"/>
        <v>Tidak ikut</v>
      </c>
      <c r="H53" s="152"/>
      <c r="I53" s="152"/>
      <c r="J53" s="152"/>
      <c r="K53" s="152"/>
      <c r="L53" s="4"/>
    </row>
    <row r="54" spans="1:16" s="155" customFormat="1" x14ac:dyDescent="0.25">
      <c r="A54" s="161">
        <v>50</v>
      </c>
      <c r="B54" s="163" t="s">
        <v>49</v>
      </c>
      <c r="C54" s="161" t="s">
        <v>320</v>
      </c>
      <c r="D54" s="161">
        <v>84</v>
      </c>
      <c r="E54" s="156" t="str">
        <f t="shared" si="0"/>
        <v>B</v>
      </c>
      <c r="F54" s="158" t="str">
        <f t="shared" si="1"/>
        <v>LULUS</v>
      </c>
      <c r="G54" s="158" t="str">
        <f t="shared" si="2"/>
        <v>Tidak ikut</v>
      </c>
      <c r="H54" s="152"/>
      <c r="I54" s="152"/>
      <c r="J54" s="152"/>
      <c r="K54" s="152"/>
      <c r="L54" s="4"/>
    </row>
    <row r="55" spans="1:16" s="155" customFormat="1" x14ac:dyDescent="0.25">
      <c r="A55" s="156">
        <v>51</v>
      </c>
      <c r="B55" s="158" t="s">
        <v>37</v>
      </c>
      <c r="C55" s="156" t="s">
        <v>320</v>
      </c>
      <c r="D55" s="161">
        <v>73</v>
      </c>
      <c r="E55" s="156" t="str">
        <f t="shared" si="0"/>
        <v>B</v>
      </c>
      <c r="F55" s="158" t="str">
        <f t="shared" si="1"/>
        <v>LULUS</v>
      </c>
      <c r="G55" s="158" t="str">
        <f t="shared" si="2"/>
        <v>Tidak ikut</v>
      </c>
      <c r="H55" s="152"/>
      <c r="I55" s="152"/>
      <c r="J55" s="152"/>
      <c r="K55" s="152"/>
      <c r="L55" s="4"/>
    </row>
    <row r="56" spans="1:16" s="155" customFormat="1" x14ac:dyDescent="0.25">
      <c r="A56" s="161">
        <v>52</v>
      </c>
      <c r="B56" s="163" t="s">
        <v>29</v>
      </c>
      <c r="C56" s="161" t="s">
        <v>320</v>
      </c>
      <c r="D56" s="161">
        <v>83</v>
      </c>
      <c r="E56" s="156" t="str">
        <f t="shared" si="0"/>
        <v>B</v>
      </c>
      <c r="F56" s="158" t="str">
        <f t="shared" si="1"/>
        <v>LULUS</v>
      </c>
      <c r="G56" s="158" t="str">
        <f t="shared" si="2"/>
        <v>Tidak ikut</v>
      </c>
      <c r="H56" s="152"/>
      <c r="I56" s="152"/>
      <c r="J56" s="152"/>
      <c r="K56" s="152"/>
      <c r="L56" s="4"/>
    </row>
    <row r="57" spans="1:16" s="155" customFormat="1" x14ac:dyDescent="0.25">
      <c r="A57" s="156">
        <v>53</v>
      </c>
      <c r="B57" s="158" t="s">
        <v>35</v>
      </c>
      <c r="C57" s="156" t="s">
        <v>320</v>
      </c>
      <c r="D57" s="161">
        <v>79</v>
      </c>
      <c r="E57" s="156" t="str">
        <f t="shared" si="0"/>
        <v>B</v>
      </c>
      <c r="F57" s="158" t="str">
        <f t="shared" si="1"/>
        <v>LULUS</v>
      </c>
      <c r="G57" s="158" t="str">
        <f t="shared" si="2"/>
        <v>Tidak ikut</v>
      </c>
      <c r="H57" s="152"/>
      <c r="I57" s="152"/>
      <c r="J57" s="152"/>
      <c r="K57" s="152"/>
      <c r="L57" s="4"/>
    </row>
    <row r="58" spans="1:16" s="155" customFormat="1" x14ac:dyDescent="0.25">
      <c r="A58" s="161">
        <v>54</v>
      </c>
      <c r="B58" s="163" t="s">
        <v>53</v>
      </c>
      <c r="C58" s="161" t="s">
        <v>320</v>
      </c>
      <c r="D58" s="161">
        <v>64</v>
      </c>
      <c r="E58" s="156" t="str">
        <f t="shared" si="0"/>
        <v>C</v>
      </c>
      <c r="F58" s="158" t="str">
        <f t="shared" si="1"/>
        <v>LULUS</v>
      </c>
      <c r="G58" s="158" t="str">
        <f t="shared" si="2"/>
        <v>Wajib Ikut Les</v>
      </c>
      <c r="H58" s="152"/>
      <c r="I58" s="152"/>
      <c r="J58" s="152"/>
      <c r="K58" s="152"/>
      <c r="L58" s="4"/>
    </row>
    <row r="59" spans="1:16" s="155" customFormat="1" x14ac:dyDescent="0.25">
      <c r="A59" s="156">
        <v>55</v>
      </c>
      <c r="B59" s="158" t="s">
        <v>39</v>
      </c>
      <c r="C59" s="156" t="s">
        <v>320</v>
      </c>
      <c r="D59" s="161">
        <v>72</v>
      </c>
      <c r="E59" s="156" t="str">
        <f t="shared" si="0"/>
        <v>B</v>
      </c>
      <c r="F59" s="158" t="str">
        <f t="shared" si="1"/>
        <v>LULUS</v>
      </c>
      <c r="G59" s="158" t="str">
        <f t="shared" si="2"/>
        <v>Tidak ikut</v>
      </c>
      <c r="H59" s="152"/>
      <c r="I59" s="152"/>
      <c r="J59" s="152"/>
      <c r="K59" s="152"/>
      <c r="L59" s="4"/>
    </row>
    <row r="60" spans="1:16" s="155" customFormat="1" x14ac:dyDescent="0.25">
      <c r="A60" s="161">
        <v>56</v>
      </c>
      <c r="B60" s="163" t="s">
        <v>42</v>
      </c>
      <c r="C60" s="161" t="s">
        <v>320</v>
      </c>
      <c r="D60" s="161">
        <v>32</v>
      </c>
      <c r="E60" s="156" t="str">
        <f t="shared" si="0"/>
        <v>D</v>
      </c>
      <c r="F60" s="158" t="str">
        <f t="shared" si="1"/>
        <v>TIDAK LULUS</v>
      </c>
      <c r="G60" s="158" t="str">
        <f t="shared" si="2"/>
        <v>Wajib Ikut Les</v>
      </c>
      <c r="H60" s="152"/>
      <c r="I60" s="152"/>
      <c r="J60" s="152"/>
      <c r="K60" s="152"/>
      <c r="L60" s="4"/>
    </row>
    <row r="61" spans="1:16" s="155" customFormat="1" x14ac:dyDescent="0.25">
      <c r="A61" s="156">
        <v>57</v>
      </c>
      <c r="B61" s="158" t="s">
        <v>48</v>
      </c>
      <c r="C61" s="156" t="s">
        <v>320</v>
      </c>
      <c r="D61" s="161">
        <v>63</v>
      </c>
      <c r="E61" s="156" t="str">
        <f t="shared" si="0"/>
        <v>C</v>
      </c>
      <c r="F61" s="158" t="str">
        <f t="shared" si="1"/>
        <v>LULUS</v>
      </c>
      <c r="G61" s="158" t="str">
        <f t="shared" si="2"/>
        <v>Wajib Ikut Les</v>
      </c>
      <c r="H61" s="152"/>
      <c r="I61" s="152"/>
      <c r="J61" s="152"/>
      <c r="K61" s="152"/>
      <c r="L61" s="4"/>
    </row>
    <row r="62" spans="1:16" s="155" customFormat="1" x14ac:dyDescent="0.25">
      <c r="A62" s="161">
        <v>58</v>
      </c>
      <c r="B62" s="163" t="s">
        <v>33</v>
      </c>
      <c r="C62" s="161" t="s">
        <v>320</v>
      </c>
      <c r="D62" s="161">
        <v>80</v>
      </c>
      <c r="E62" s="156" t="str">
        <f t="shared" si="0"/>
        <v>B</v>
      </c>
      <c r="F62" s="158" t="str">
        <f t="shared" si="1"/>
        <v>LULUS</v>
      </c>
      <c r="G62" s="158" t="str">
        <f t="shared" si="2"/>
        <v>Tidak ikut</v>
      </c>
      <c r="H62" s="152"/>
      <c r="I62" s="152"/>
      <c r="J62" s="152"/>
      <c r="K62" s="152"/>
      <c r="L62" s="4"/>
    </row>
    <row r="63" spans="1:16" s="155" customFormat="1" x14ac:dyDescent="0.25">
      <c r="A63" s="156">
        <v>59</v>
      </c>
      <c r="B63" s="158" t="s">
        <v>41</v>
      </c>
      <c r="C63" s="156" t="s">
        <v>320</v>
      </c>
      <c r="D63" s="161">
        <v>83</v>
      </c>
      <c r="E63" s="156" t="str">
        <f t="shared" si="0"/>
        <v>B</v>
      </c>
      <c r="F63" s="158" t="str">
        <f t="shared" si="1"/>
        <v>LULUS</v>
      </c>
      <c r="G63" s="158" t="str">
        <f t="shared" si="2"/>
        <v>Tidak ikut</v>
      </c>
      <c r="H63" s="152"/>
      <c r="I63" s="152"/>
      <c r="J63" s="152"/>
      <c r="K63" s="152"/>
      <c r="L63" s="4"/>
    </row>
    <row r="64" spans="1:16" s="155" customFormat="1" x14ac:dyDescent="0.25">
      <c r="A64" s="161">
        <v>60</v>
      </c>
      <c r="B64" s="163" t="s">
        <v>45</v>
      </c>
      <c r="C64" s="161" t="s">
        <v>320</v>
      </c>
      <c r="D64" s="161">
        <v>75</v>
      </c>
      <c r="E64" s="156" t="str">
        <f t="shared" si="0"/>
        <v>B</v>
      </c>
      <c r="F64" s="158" t="str">
        <f t="shared" si="1"/>
        <v>LULUS</v>
      </c>
      <c r="G64" s="158" t="str">
        <f t="shared" si="2"/>
        <v>Tidak ikut</v>
      </c>
      <c r="H64" s="152"/>
      <c r="I64" s="152"/>
      <c r="J64" s="152"/>
      <c r="K64" s="152"/>
      <c r="L64" s="4"/>
    </row>
    <row r="65" spans="1:12" s="155" customFormat="1" x14ac:dyDescent="0.25">
      <c r="A65" s="156">
        <v>61</v>
      </c>
      <c r="B65" s="158" t="s">
        <v>43</v>
      </c>
      <c r="C65" s="156" t="s">
        <v>321</v>
      </c>
      <c r="D65" s="161">
        <v>72</v>
      </c>
      <c r="E65" s="156" t="str">
        <f t="shared" si="0"/>
        <v>B</v>
      </c>
      <c r="F65" s="158" t="str">
        <f t="shared" si="1"/>
        <v>LULUS</v>
      </c>
      <c r="G65" s="158" t="str">
        <f t="shared" si="2"/>
        <v>Tidak ikut</v>
      </c>
      <c r="H65" s="152"/>
      <c r="I65" s="152"/>
      <c r="J65" s="152"/>
      <c r="K65" s="152"/>
      <c r="L65" s="4"/>
    </row>
    <row r="66" spans="1:12" s="155" customFormat="1" x14ac:dyDescent="0.25">
      <c r="A66" s="161">
        <v>62</v>
      </c>
      <c r="B66" s="163" t="s">
        <v>50</v>
      </c>
      <c r="C66" s="161" t="s">
        <v>321</v>
      </c>
      <c r="D66" s="161">
        <v>54</v>
      </c>
      <c r="E66" s="156" t="str">
        <f t="shared" si="0"/>
        <v>C</v>
      </c>
      <c r="F66" s="158" t="str">
        <f t="shared" si="1"/>
        <v>LULUS</v>
      </c>
      <c r="G66" s="158" t="str">
        <f t="shared" si="2"/>
        <v>Wajib Ikut Les</v>
      </c>
      <c r="H66" s="152"/>
      <c r="I66" s="152"/>
      <c r="J66" s="152"/>
      <c r="K66" s="152"/>
      <c r="L66" s="4"/>
    </row>
    <row r="67" spans="1:12" s="155" customFormat="1" x14ac:dyDescent="0.25">
      <c r="A67" s="156">
        <v>63</v>
      </c>
      <c r="B67" s="158" t="s">
        <v>30</v>
      </c>
      <c r="C67" s="156" t="s">
        <v>321</v>
      </c>
      <c r="D67" s="161">
        <v>87</v>
      </c>
      <c r="E67" s="156" t="str">
        <f t="shared" si="0"/>
        <v>A</v>
      </c>
      <c r="F67" s="158" t="str">
        <f t="shared" si="1"/>
        <v>LULUS</v>
      </c>
      <c r="G67" s="158" t="str">
        <f t="shared" si="2"/>
        <v>Tidak ikut</v>
      </c>
      <c r="H67" s="152"/>
      <c r="I67" s="152"/>
      <c r="J67" s="152"/>
      <c r="K67" s="152"/>
      <c r="L67" s="4"/>
    </row>
    <row r="68" spans="1:12" s="155" customFormat="1" x14ac:dyDescent="0.25">
      <c r="A68" s="161">
        <v>64</v>
      </c>
      <c r="B68" s="163" t="s">
        <v>46</v>
      </c>
      <c r="C68" s="161" t="s">
        <v>321</v>
      </c>
      <c r="D68" s="161">
        <v>63</v>
      </c>
      <c r="E68" s="156" t="str">
        <f t="shared" si="0"/>
        <v>C</v>
      </c>
      <c r="F68" s="158" t="str">
        <f t="shared" si="1"/>
        <v>LULUS</v>
      </c>
      <c r="G68" s="158" t="str">
        <f t="shared" si="2"/>
        <v>Wajib Ikut Les</v>
      </c>
      <c r="H68" s="152"/>
      <c r="I68" s="152"/>
      <c r="J68" s="152"/>
      <c r="K68" s="152"/>
      <c r="L68" s="4"/>
    </row>
    <row r="69" spans="1:12" s="155" customFormat="1" x14ac:dyDescent="0.25">
      <c r="A69" s="156">
        <v>65</v>
      </c>
      <c r="B69" s="158" t="s">
        <v>85</v>
      </c>
      <c r="C69" s="156" t="s">
        <v>321</v>
      </c>
      <c r="D69" s="161">
        <v>78</v>
      </c>
      <c r="E69" s="156" t="str">
        <f t="shared" si="0"/>
        <v>B</v>
      </c>
      <c r="F69" s="158" t="str">
        <f t="shared" si="1"/>
        <v>LULUS</v>
      </c>
      <c r="G69" s="158" t="str">
        <f t="shared" si="2"/>
        <v>Tidak ikut</v>
      </c>
      <c r="H69" s="152"/>
      <c r="I69" s="152"/>
      <c r="J69" s="152"/>
      <c r="K69" s="152"/>
      <c r="L69" s="4"/>
    </row>
    <row r="70" spans="1:12" s="155" customFormat="1" x14ac:dyDescent="0.25">
      <c r="A70" s="161">
        <v>66</v>
      </c>
      <c r="B70" s="163" t="s">
        <v>55</v>
      </c>
      <c r="C70" s="161" t="s">
        <v>321</v>
      </c>
      <c r="D70" s="161">
        <v>43</v>
      </c>
      <c r="E70" s="156" t="str">
        <f t="shared" ref="E70:E89" si="3">_xlfn.XLOOKUP(IF(D70&gt;85,$I$9,IF(AND(D70&lt;=85,D70&gt;70),$I$8,IF(AND(D70&lt;=70,D70&gt;50),$I$7,IF(AND(D70&lt;=50,D70&gt;30),$I$6,$I$5)))),$I$5:$I$9,$J$5:$J$9)</f>
        <v>D</v>
      </c>
      <c r="F70" s="158" t="str">
        <f t="shared" ref="F70:F89" si="4">IF(AND(E70&gt;=$J$9,E70&lt;=$J$7),"LULUS","TIDAK LULUS")</f>
        <v>TIDAK LULUS</v>
      </c>
      <c r="G70" s="158" t="str">
        <f t="shared" ref="G70:G89" si="5">_xlfn.XLOOKUP(IF(D70&gt;70,$J$21,IF(AND(D70&gt;=65,D70&lt;71),$J$20,$J$19)),$J$19:$J$21,$I$19:$I$21)</f>
        <v>Wajib Ikut Les</v>
      </c>
      <c r="H70" s="152"/>
      <c r="I70" s="152"/>
      <c r="J70" s="152"/>
      <c r="K70" s="152"/>
      <c r="L70" s="4"/>
    </row>
    <row r="71" spans="1:12" s="155" customFormat="1" x14ac:dyDescent="0.25">
      <c r="A71" s="156">
        <v>67</v>
      </c>
      <c r="B71" s="158" t="s">
        <v>322</v>
      </c>
      <c r="C71" s="156" t="s">
        <v>321</v>
      </c>
      <c r="D71" s="161">
        <v>67</v>
      </c>
      <c r="E71" s="156" t="str">
        <f t="shared" si="3"/>
        <v>C</v>
      </c>
      <c r="F71" s="158" t="str">
        <f t="shared" si="4"/>
        <v>LULUS</v>
      </c>
      <c r="G71" s="158" t="str">
        <f t="shared" si="5"/>
        <v>Optional Les</v>
      </c>
      <c r="H71" s="152"/>
      <c r="I71" s="152"/>
      <c r="J71" s="152"/>
      <c r="K71" s="152"/>
      <c r="L71" s="4"/>
    </row>
    <row r="72" spans="1:12" s="155" customFormat="1" x14ac:dyDescent="0.25">
      <c r="A72" s="161">
        <v>68</v>
      </c>
      <c r="B72" s="163" t="s">
        <v>32</v>
      </c>
      <c r="C72" s="161" t="s">
        <v>321</v>
      </c>
      <c r="D72" s="161">
        <v>89</v>
      </c>
      <c r="E72" s="156" t="str">
        <f t="shared" si="3"/>
        <v>A</v>
      </c>
      <c r="F72" s="158" t="str">
        <f t="shared" si="4"/>
        <v>LULUS</v>
      </c>
      <c r="G72" s="158" t="str">
        <f t="shared" si="5"/>
        <v>Tidak ikut</v>
      </c>
      <c r="H72" s="152"/>
      <c r="I72" s="152"/>
      <c r="J72" s="152"/>
      <c r="K72" s="152"/>
      <c r="L72" s="4"/>
    </row>
    <row r="73" spans="1:12" s="155" customFormat="1" x14ac:dyDescent="0.25">
      <c r="A73" s="156">
        <v>69</v>
      </c>
      <c r="B73" s="158" t="s">
        <v>89</v>
      </c>
      <c r="C73" s="156" t="s">
        <v>321</v>
      </c>
      <c r="D73" s="161">
        <v>55</v>
      </c>
      <c r="E73" s="156" t="str">
        <f t="shared" si="3"/>
        <v>C</v>
      </c>
      <c r="F73" s="158" t="str">
        <f t="shared" si="4"/>
        <v>LULUS</v>
      </c>
      <c r="G73" s="158" t="str">
        <f t="shared" si="5"/>
        <v>Wajib Ikut Les</v>
      </c>
      <c r="H73" s="152"/>
      <c r="I73" s="152"/>
      <c r="J73" s="152"/>
      <c r="K73" s="152"/>
      <c r="L73" s="4"/>
    </row>
    <row r="74" spans="1:12" s="155" customFormat="1" x14ac:dyDescent="0.25">
      <c r="A74" s="161">
        <v>70</v>
      </c>
      <c r="B74" s="163" t="s">
        <v>53</v>
      </c>
      <c r="C74" s="161" t="s">
        <v>321</v>
      </c>
      <c r="D74" s="161">
        <v>70</v>
      </c>
      <c r="E74" s="156" t="str">
        <f t="shared" si="3"/>
        <v>C</v>
      </c>
      <c r="F74" s="158" t="str">
        <f t="shared" si="4"/>
        <v>LULUS</v>
      </c>
      <c r="G74" s="158" t="str">
        <f t="shared" si="5"/>
        <v>Optional Les</v>
      </c>
      <c r="H74" s="152"/>
      <c r="I74" s="152"/>
      <c r="J74" s="152"/>
      <c r="K74" s="152"/>
      <c r="L74" s="4"/>
    </row>
    <row r="75" spans="1:12" s="155" customFormat="1" x14ac:dyDescent="0.25">
      <c r="A75" s="156">
        <v>71</v>
      </c>
      <c r="B75" s="158" t="s">
        <v>39</v>
      </c>
      <c r="C75" s="156" t="s">
        <v>321</v>
      </c>
      <c r="D75" s="161">
        <v>80</v>
      </c>
      <c r="E75" s="156" t="str">
        <f t="shared" si="3"/>
        <v>B</v>
      </c>
      <c r="F75" s="158" t="str">
        <f t="shared" si="4"/>
        <v>LULUS</v>
      </c>
      <c r="G75" s="158" t="str">
        <f t="shared" si="5"/>
        <v>Tidak ikut</v>
      </c>
      <c r="H75" s="152"/>
      <c r="I75" s="152"/>
      <c r="J75" s="152"/>
      <c r="K75" s="152"/>
      <c r="L75" s="4"/>
    </row>
    <row r="76" spans="1:12" s="155" customFormat="1" x14ac:dyDescent="0.25">
      <c r="A76" s="161">
        <v>72</v>
      </c>
      <c r="B76" s="163" t="s">
        <v>53</v>
      </c>
      <c r="C76" s="161" t="s">
        <v>321</v>
      </c>
      <c r="D76" s="161">
        <v>45</v>
      </c>
      <c r="E76" s="156" t="str">
        <f t="shared" si="3"/>
        <v>D</v>
      </c>
      <c r="F76" s="158" t="str">
        <f t="shared" si="4"/>
        <v>TIDAK LULUS</v>
      </c>
      <c r="G76" s="158" t="str">
        <f t="shared" si="5"/>
        <v>Wajib Ikut Les</v>
      </c>
      <c r="H76" s="152"/>
      <c r="I76" s="152"/>
      <c r="J76" s="152"/>
      <c r="K76" s="152"/>
      <c r="L76" s="4"/>
    </row>
    <row r="77" spans="1:12" s="155" customFormat="1" x14ac:dyDescent="0.25">
      <c r="A77" s="156">
        <v>73</v>
      </c>
      <c r="B77" s="158" t="s">
        <v>39</v>
      </c>
      <c r="C77" s="156" t="s">
        <v>321</v>
      </c>
      <c r="D77" s="161">
        <v>56</v>
      </c>
      <c r="E77" s="156" t="str">
        <f t="shared" si="3"/>
        <v>C</v>
      </c>
      <c r="F77" s="158" t="str">
        <f t="shared" si="4"/>
        <v>LULUS</v>
      </c>
      <c r="G77" s="158" t="str">
        <f t="shared" si="5"/>
        <v>Wajib Ikut Les</v>
      </c>
      <c r="H77" s="152"/>
      <c r="I77" s="152"/>
      <c r="J77" s="152"/>
      <c r="K77" s="152"/>
      <c r="L77" s="4"/>
    </row>
    <row r="78" spans="1:12" s="155" customFormat="1" x14ac:dyDescent="0.25">
      <c r="A78" s="161">
        <v>74</v>
      </c>
      <c r="B78" s="163" t="s">
        <v>42</v>
      </c>
      <c r="C78" s="161" t="s">
        <v>321</v>
      </c>
      <c r="D78" s="161">
        <v>76</v>
      </c>
      <c r="E78" s="156" t="str">
        <f t="shared" si="3"/>
        <v>B</v>
      </c>
      <c r="F78" s="158" t="str">
        <f t="shared" si="4"/>
        <v>LULUS</v>
      </c>
      <c r="G78" s="158" t="str">
        <f t="shared" si="5"/>
        <v>Tidak ikut</v>
      </c>
      <c r="H78" s="152"/>
      <c r="I78" s="152"/>
      <c r="J78" s="152"/>
      <c r="K78" s="152"/>
      <c r="L78" s="4"/>
    </row>
    <row r="79" spans="1:12" s="155" customFormat="1" x14ac:dyDescent="0.25">
      <c r="A79" s="156">
        <v>75</v>
      </c>
      <c r="B79" s="158" t="s">
        <v>48</v>
      </c>
      <c r="C79" s="156" t="s">
        <v>321</v>
      </c>
      <c r="D79" s="161">
        <v>35</v>
      </c>
      <c r="E79" s="156" t="str">
        <f t="shared" si="3"/>
        <v>D</v>
      </c>
      <c r="F79" s="158" t="str">
        <f t="shared" si="4"/>
        <v>TIDAK LULUS</v>
      </c>
      <c r="G79" s="158" t="str">
        <f t="shared" si="5"/>
        <v>Wajib Ikut Les</v>
      </c>
      <c r="H79" s="152"/>
      <c r="I79" s="152"/>
      <c r="J79" s="152"/>
      <c r="K79" s="152"/>
      <c r="L79" s="4"/>
    </row>
    <row r="80" spans="1:12" s="155" customFormat="1" x14ac:dyDescent="0.25">
      <c r="A80" s="161">
        <v>76</v>
      </c>
      <c r="B80" s="163" t="s">
        <v>33</v>
      </c>
      <c r="C80" s="161" t="s">
        <v>321</v>
      </c>
      <c r="D80" s="161">
        <v>78</v>
      </c>
      <c r="E80" s="156" t="str">
        <f t="shared" si="3"/>
        <v>B</v>
      </c>
      <c r="F80" s="158" t="str">
        <f t="shared" si="4"/>
        <v>LULUS</v>
      </c>
      <c r="G80" s="158" t="str">
        <f t="shared" si="5"/>
        <v>Tidak ikut</v>
      </c>
      <c r="H80" s="152"/>
      <c r="I80" s="152"/>
      <c r="J80" s="152"/>
      <c r="K80" s="152"/>
      <c r="L80" s="4"/>
    </row>
    <row r="81" spans="1:12" s="155" customFormat="1" x14ac:dyDescent="0.25">
      <c r="A81" s="156">
        <v>77</v>
      </c>
      <c r="B81" s="158" t="s">
        <v>41</v>
      </c>
      <c r="C81" s="156" t="s">
        <v>321</v>
      </c>
      <c r="D81" s="161">
        <v>89</v>
      </c>
      <c r="E81" s="156" t="str">
        <f t="shared" si="3"/>
        <v>A</v>
      </c>
      <c r="F81" s="158" t="str">
        <f t="shared" si="4"/>
        <v>LULUS</v>
      </c>
      <c r="G81" s="158" t="str">
        <f t="shared" si="5"/>
        <v>Tidak ikut</v>
      </c>
      <c r="H81" s="152"/>
      <c r="I81" s="152"/>
      <c r="J81" s="152"/>
      <c r="K81" s="152"/>
      <c r="L81" s="4"/>
    </row>
    <row r="82" spans="1:12" s="155" customFormat="1" x14ac:dyDescent="0.25">
      <c r="A82" s="161">
        <v>78</v>
      </c>
      <c r="B82" s="163" t="s">
        <v>45</v>
      </c>
      <c r="C82" s="161" t="s">
        <v>321</v>
      </c>
      <c r="D82" s="161">
        <v>54</v>
      </c>
      <c r="E82" s="156" t="str">
        <f t="shared" si="3"/>
        <v>C</v>
      </c>
      <c r="F82" s="158" t="str">
        <f t="shared" si="4"/>
        <v>LULUS</v>
      </c>
      <c r="G82" s="158" t="str">
        <f t="shared" si="5"/>
        <v>Wajib Ikut Les</v>
      </c>
      <c r="H82" s="152"/>
      <c r="I82" s="152"/>
      <c r="J82" s="152"/>
      <c r="K82" s="152"/>
      <c r="L82" s="4"/>
    </row>
    <row r="83" spans="1:12" s="155" customFormat="1" x14ac:dyDescent="0.25">
      <c r="A83" s="156">
        <v>79</v>
      </c>
      <c r="B83" s="158" t="s">
        <v>43</v>
      </c>
      <c r="C83" s="156" t="s">
        <v>321</v>
      </c>
      <c r="D83" s="161">
        <v>34</v>
      </c>
      <c r="E83" s="156" t="str">
        <f t="shared" si="3"/>
        <v>D</v>
      </c>
      <c r="F83" s="158" t="str">
        <f t="shared" si="4"/>
        <v>TIDAK LULUS</v>
      </c>
      <c r="G83" s="158" t="str">
        <f t="shared" si="5"/>
        <v>Wajib Ikut Les</v>
      </c>
      <c r="H83" s="152"/>
      <c r="I83" s="152"/>
      <c r="J83" s="152"/>
      <c r="K83" s="152"/>
      <c r="L83" s="4"/>
    </row>
    <row r="84" spans="1:12" s="155" customFormat="1" x14ac:dyDescent="0.25">
      <c r="A84" s="161">
        <v>80</v>
      </c>
      <c r="B84" s="163" t="s">
        <v>50</v>
      </c>
      <c r="C84" s="161" t="s">
        <v>321</v>
      </c>
      <c r="D84" s="161">
        <v>49</v>
      </c>
      <c r="E84" s="156" t="str">
        <f t="shared" si="3"/>
        <v>D</v>
      </c>
      <c r="F84" s="158" t="str">
        <f t="shared" si="4"/>
        <v>TIDAK LULUS</v>
      </c>
      <c r="G84" s="158" t="str">
        <f t="shared" si="5"/>
        <v>Wajib Ikut Les</v>
      </c>
      <c r="H84" s="152"/>
      <c r="I84" s="152"/>
      <c r="J84" s="152"/>
      <c r="K84" s="152"/>
      <c r="L84" s="4"/>
    </row>
    <row r="85" spans="1:12" s="155" customFormat="1" x14ac:dyDescent="0.25">
      <c r="A85" s="390" t="s">
        <v>323</v>
      </c>
      <c r="B85" s="390"/>
      <c r="C85" s="390"/>
      <c r="D85" s="182">
        <f>AVERAGE(D5:D84)</f>
        <v>67.625</v>
      </c>
      <c r="E85" s="156" t="str">
        <f t="shared" si="3"/>
        <v>C</v>
      </c>
      <c r="F85" s="158" t="str">
        <f t="shared" si="4"/>
        <v>LULUS</v>
      </c>
      <c r="G85" s="158" t="str">
        <f t="shared" si="5"/>
        <v>Optional Les</v>
      </c>
      <c r="H85" s="152"/>
      <c r="I85" s="152"/>
      <c r="J85" s="152"/>
      <c r="K85" s="152"/>
      <c r="L85" s="4"/>
    </row>
    <row r="86" spans="1:12" s="155" customFormat="1" x14ac:dyDescent="0.25">
      <c r="A86" s="390" t="s">
        <v>324</v>
      </c>
      <c r="B86" s="390"/>
      <c r="C86" s="390"/>
      <c r="D86" s="184"/>
      <c r="E86" s="156" t="str">
        <f t="shared" si="3"/>
        <v>E</v>
      </c>
      <c r="F86" s="158" t="str">
        <f t="shared" si="4"/>
        <v>TIDAK LULUS</v>
      </c>
      <c r="G86" s="158" t="str">
        <f t="shared" si="5"/>
        <v>Wajib Ikut Les</v>
      </c>
      <c r="H86" s="152"/>
      <c r="I86" s="152"/>
      <c r="J86" s="152"/>
      <c r="K86" s="152"/>
      <c r="L86" s="4"/>
    </row>
    <row r="87" spans="1:12" s="155" customFormat="1" x14ac:dyDescent="0.25">
      <c r="A87" s="183"/>
      <c r="B87" s="152"/>
      <c r="C87" s="184" t="s">
        <v>295</v>
      </c>
      <c r="D87" s="185">
        <f>AVERAGEIF(C5:C84,C12,D5:D84)</f>
        <v>67.769230769230774</v>
      </c>
      <c r="E87" s="156" t="str">
        <f t="shared" si="3"/>
        <v>C</v>
      </c>
      <c r="F87" s="158" t="str">
        <f t="shared" si="4"/>
        <v>LULUS</v>
      </c>
      <c r="G87" s="158" t="str">
        <f t="shared" si="5"/>
        <v>Optional Les</v>
      </c>
      <c r="H87" s="152"/>
      <c r="I87" s="152"/>
      <c r="J87" s="152"/>
      <c r="K87" s="152"/>
      <c r="L87" s="4"/>
    </row>
    <row r="88" spans="1:12" s="155" customFormat="1" x14ac:dyDescent="0.25">
      <c r="A88" s="183"/>
      <c r="B88" s="152"/>
      <c r="C88" s="184" t="s">
        <v>320</v>
      </c>
      <c r="D88" s="185">
        <f>AVERAGEIF(C5:C84,C64,D5:D84)</f>
        <v>69.82352941176471</v>
      </c>
      <c r="E88" s="156" t="str">
        <f t="shared" si="3"/>
        <v>C</v>
      </c>
      <c r="F88" s="158" t="str">
        <f t="shared" si="4"/>
        <v>LULUS</v>
      </c>
      <c r="G88" s="158" t="str">
        <f t="shared" si="5"/>
        <v>Optional Les</v>
      </c>
      <c r="H88" s="152"/>
      <c r="I88" s="152"/>
      <c r="J88" s="152"/>
      <c r="K88" s="152"/>
      <c r="L88" s="4"/>
    </row>
    <row r="89" spans="1:12" s="155" customFormat="1" x14ac:dyDescent="0.25">
      <c r="A89" s="183"/>
      <c r="B89" s="152"/>
      <c r="C89" s="184" t="s">
        <v>321</v>
      </c>
      <c r="D89" s="185">
        <f>AVERAGEIF(C5:C84,C79,D5:D84)</f>
        <v>63.7</v>
      </c>
      <c r="E89" s="156" t="str">
        <f t="shared" si="3"/>
        <v>C</v>
      </c>
      <c r="F89" s="158" t="str">
        <f t="shared" si="4"/>
        <v>LULUS</v>
      </c>
      <c r="G89" s="158" t="str">
        <f t="shared" si="5"/>
        <v>Wajib Ikut Les</v>
      </c>
      <c r="H89" s="152"/>
      <c r="I89" s="152"/>
      <c r="J89" s="152"/>
      <c r="K89" s="152"/>
      <c r="L89" s="4"/>
    </row>
    <row r="90" spans="1:12" s="155" customFormat="1" x14ac:dyDescent="0.25">
      <c r="A90" s="183"/>
      <c r="B90" s="152"/>
      <c r="C90" s="184"/>
      <c r="D90" s="183"/>
      <c r="E90" s="183"/>
      <c r="F90" s="152"/>
      <c r="G90" s="152"/>
      <c r="H90" s="152"/>
      <c r="I90" s="152"/>
      <c r="J90" s="152"/>
      <c r="K90" s="152"/>
      <c r="L90" s="4"/>
    </row>
    <row r="91" spans="1:12" s="155" customFormat="1" ht="14.25" x14ac:dyDescent="0.2">
      <c r="A91" s="186"/>
      <c r="C91" s="186"/>
      <c r="D91" s="186"/>
      <c r="E91" s="186"/>
    </row>
    <row r="92" spans="1:12" s="155" customFormat="1" ht="14.25" x14ac:dyDescent="0.2">
      <c r="A92" s="186"/>
      <c r="C92" s="186"/>
      <c r="D92" s="186"/>
      <c r="E92" s="186"/>
      <c r="F92" s="187"/>
    </row>
    <row r="93" spans="1:12" s="155" customFormat="1" ht="14.25" x14ac:dyDescent="0.2">
      <c r="A93" s="186"/>
      <c r="C93" s="186"/>
      <c r="D93" s="186"/>
      <c r="E93" s="186"/>
    </row>
    <row r="94" spans="1:12" s="155" customFormat="1" ht="14.25" x14ac:dyDescent="0.2">
      <c r="A94" s="186"/>
      <c r="C94" s="186"/>
      <c r="D94" s="186"/>
      <c r="E94" s="186"/>
    </row>
    <row r="95" spans="1:12" s="155" customFormat="1" ht="14.25" x14ac:dyDescent="0.2">
      <c r="A95" s="186"/>
      <c r="C95" s="186"/>
      <c r="D95" s="186"/>
      <c r="E95" s="186"/>
    </row>
    <row r="96" spans="1:12" s="155" customFormat="1" ht="14.25" x14ac:dyDescent="0.2">
      <c r="A96" s="186"/>
      <c r="C96" s="186"/>
      <c r="D96" s="186"/>
      <c r="E96" s="186"/>
    </row>
    <row r="97" spans="1:5" s="155" customFormat="1" ht="14.25" x14ac:dyDescent="0.2">
      <c r="A97" s="186"/>
      <c r="C97" s="186"/>
      <c r="D97" s="186"/>
      <c r="E97" s="186"/>
    </row>
    <row r="98" spans="1:5" s="155" customFormat="1" ht="14.25" x14ac:dyDescent="0.2">
      <c r="A98" s="186"/>
      <c r="C98" s="186"/>
      <c r="D98" s="186"/>
      <c r="E98" s="186"/>
    </row>
    <row r="99" spans="1:5" s="155" customFormat="1" ht="14.25" x14ac:dyDescent="0.2">
      <c r="A99" s="186"/>
      <c r="C99" s="186"/>
      <c r="D99" s="186"/>
      <c r="E99" s="186"/>
    </row>
    <row r="100" spans="1:5" s="155" customFormat="1" ht="14.25" x14ac:dyDescent="0.2">
      <c r="A100" s="186"/>
      <c r="C100" s="186"/>
      <c r="D100" s="186"/>
      <c r="E100" s="186"/>
    </row>
    <row r="101" spans="1:5" s="155" customFormat="1" ht="14.25" x14ac:dyDescent="0.2">
      <c r="A101" s="186"/>
      <c r="C101" s="186"/>
      <c r="D101" s="186"/>
      <c r="E101" s="186"/>
    </row>
    <row r="102" spans="1:5" s="155" customFormat="1" ht="14.25" x14ac:dyDescent="0.2">
      <c r="A102" s="186"/>
      <c r="C102" s="186"/>
      <c r="D102" s="186"/>
      <c r="E102" s="186"/>
    </row>
    <row r="103" spans="1:5" s="155" customFormat="1" ht="14.25" x14ac:dyDescent="0.2">
      <c r="A103" s="186"/>
      <c r="C103" s="186"/>
      <c r="D103" s="186"/>
      <c r="E103" s="186"/>
    </row>
    <row r="104" spans="1:5" s="155" customFormat="1" ht="14.25" x14ac:dyDescent="0.2">
      <c r="A104" s="186"/>
      <c r="C104" s="186"/>
      <c r="D104" s="186"/>
      <c r="E104" s="186"/>
    </row>
    <row r="105" spans="1:5" s="155" customFormat="1" ht="14.25" x14ac:dyDescent="0.2">
      <c r="A105" s="186"/>
      <c r="C105" s="186"/>
      <c r="D105" s="186"/>
      <c r="E105" s="186"/>
    </row>
    <row r="106" spans="1:5" s="155" customFormat="1" ht="14.25" x14ac:dyDescent="0.2">
      <c r="A106" s="186"/>
      <c r="C106" s="186"/>
      <c r="D106" s="186"/>
      <c r="E106" s="186"/>
    </row>
    <row r="107" spans="1:5" s="155" customFormat="1" ht="14.25" x14ac:dyDescent="0.2">
      <c r="A107" s="186"/>
      <c r="C107" s="186"/>
      <c r="D107" s="186"/>
      <c r="E107" s="186"/>
    </row>
    <row r="108" spans="1:5" s="155" customFormat="1" ht="14.25" x14ac:dyDescent="0.2">
      <c r="A108" s="186"/>
      <c r="C108" s="186"/>
      <c r="D108" s="186"/>
      <c r="E108" s="186"/>
    </row>
    <row r="109" spans="1:5" s="155" customFormat="1" ht="14.25" x14ac:dyDescent="0.2">
      <c r="A109" s="186"/>
      <c r="C109" s="186"/>
      <c r="D109" s="186"/>
      <c r="E109" s="186"/>
    </row>
    <row r="110" spans="1:5" s="155" customFormat="1" ht="14.25" x14ac:dyDescent="0.2">
      <c r="A110" s="186"/>
      <c r="C110" s="186"/>
      <c r="D110" s="186"/>
      <c r="E110" s="186"/>
    </row>
    <row r="111" spans="1:5" s="155" customFormat="1" ht="14.25" x14ac:dyDescent="0.2">
      <c r="A111" s="186"/>
      <c r="C111" s="186"/>
      <c r="D111" s="186"/>
      <c r="E111" s="186"/>
    </row>
    <row r="112" spans="1:5" s="155" customFormat="1" ht="14.25" x14ac:dyDescent="0.2">
      <c r="A112" s="186"/>
      <c r="C112" s="186"/>
      <c r="D112" s="186"/>
      <c r="E112" s="186"/>
    </row>
    <row r="113" spans="1:9" s="155" customFormat="1" ht="14.25" x14ac:dyDescent="0.2">
      <c r="A113" s="186"/>
      <c r="C113" s="186"/>
      <c r="D113" s="186"/>
      <c r="E113" s="186"/>
      <c r="F113" s="188"/>
      <c r="G113" s="188"/>
    </row>
    <row r="114" spans="1:9" s="155" customFormat="1" ht="14.25" x14ac:dyDescent="0.2">
      <c r="A114" s="186"/>
      <c r="C114" s="186"/>
      <c r="D114" s="186"/>
      <c r="E114" s="186"/>
      <c r="G114" s="189"/>
    </row>
    <row r="115" spans="1:9" s="155" customFormat="1" ht="14.25" x14ac:dyDescent="0.2">
      <c r="A115" s="186"/>
      <c r="C115" s="186"/>
      <c r="D115" s="186"/>
      <c r="E115" s="186"/>
    </row>
    <row r="116" spans="1:9" s="155" customFormat="1" ht="14.25" x14ac:dyDescent="0.2">
      <c r="A116" s="186"/>
      <c r="C116" s="186"/>
      <c r="D116" s="186"/>
      <c r="E116" s="186"/>
      <c r="F116" s="188"/>
      <c r="G116" s="189"/>
      <c r="I116" s="189"/>
    </row>
    <row r="117" spans="1:9" s="155" customFormat="1" ht="14.25" x14ac:dyDescent="0.2">
      <c r="A117" s="186"/>
      <c r="C117" s="186"/>
      <c r="D117" s="186"/>
      <c r="E117" s="186"/>
    </row>
    <row r="118" spans="1:9" s="155" customFormat="1" ht="14.25" x14ac:dyDescent="0.2">
      <c r="A118" s="186"/>
      <c r="C118" s="186"/>
      <c r="D118" s="186"/>
      <c r="E118" s="186"/>
    </row>
    <row r="119" spans="1:9" s="155" customFormat="1" ht="14.25" x14ac:dyDescent="0.2">
      <c r="A119" s="186"/>
      <c r="C119" s="186"/>
      <c r="D119" s="186"/>
      <c r="E119" s="186"/>
    </row>
    <row r="120" spans="1:9" s="155" customFormat="1" ht="14.25" x14ac:dyDescent="0.2">
      <c r="A120" s="186"/>
      <c r="C120" s="186"/>
      <c r="D120" s="186"/>
      <c r="E120" s="186"/>
    </row>
    <row r="121" spans="1:9" s="155" customFormat="1" ht="14.25" x14ac:dyDescent="0.2">
      <c r="A121" s="186"/>
      <c r="C121" s="186"/>
      <c r="D121" s="186"/>
      <c r="E121" s="186"/>
      <c r="G121" s="190"/>
      <c r="I121" s="191"/>
    </row>
    <row r="122" spans="1:9" s="155" customFormat="1" ht="14.25" x14ac:dyDescent="0.2">
      <c r="A122" s="186"/>
      <c r="C122" s="186"/>
      <c r="D122" s="186"/>
      <c r="E122" s="186"/>
      <c r="H122" s="189"/>
    </row>
    <row r="123" spans="1:9" s="155" customFormat="1" ht="14.25" x14ac:dyDescent="0.2">
      <c r="A123" s="186"/>
      <c r="C123" s="186"/>
      <c r="D123" s="186"/>
      <c r="E123" s="186"/>
    </row>
    <row r="124" spans="1:9" s="155" customFormat="1" ht="14.25" x14ac:dyDescent="0.2">
      <c r="A124" s="186"/>
      <c r="C124" s="186"/>
      <c r="D124" s="186"/>
      <c r="E124" s="186"/>
    </row>
    <row r="125" spans="1:9" s="155" customFormat="1" ht="14.25" x14ac:dyDescent="0.2">
      <c r="A125" s="186"/>
      <c r="C125" s="186"/>
      <c r="D125" s="186"/>
      <c r="E125" s="186"/>
    </row>
    <row r="126" spans="1:9" s="155" customFormat="1" ht="14.25" x14ac:dyDescent="0.2">
      <c r="A126" s="186"/>
      <c r="C126" s="186"/>
      <c r="D126" s="186"/>
      <c r="E126" s="186"/>
    </row>
    <row r="127" spans="1:9" s="155" customFormat="1" ht="14.25" x14ac:dyDescent="0.2">
      <c r="A127" s="186"/>
      <c r="C127" s="186"/>
      <c r="D127" s="186"/>
      <c r="E127" s="186"/>
    </row>
    <row r="128" spans="1:9" s="155" customFormat="1" ht="14.25" x14ac:dyDescent="0.2">
      <c r="A128" s="186"/>
      <c r="C128" s="186"/>
      <c r="D128" s="186"/>
      <c r="E128" s="186"/>
      <c r="F128" s="155">
        <f>DAY(F116-F113)</f>
        <v>0</v>
      </c>
      <c r="G128" s="155">
        <f>HOUR(F116-F113)</f>
        <v>0</v>
      </c>
      <c r="H128" s="155">
        <f>MINUTE(F116-F113)</f>
        <v>0</v>
      </c>
      <c r="I128" s="155" t="str">
        <f>DAY(F116-F113)&amp;" hari "&amp;HOUR(F116-F113)&amp;" jam "&amp;MINUTE(F116-F113)&amp;" menit"</f>
        <v>0 hari 0 jam 0 menit</v>
      </c>
    </row>
    <row r="129" spans="1:5" s="155" customFormat="1" ht="14.25" x14ac:dyDescent="0.2">
      <c r="A129" s="186"/>
      <c r="C129" s="186"/>
      <c r="D129" s="186"/>
      <c r="E129" s="186"/>
    </row>
    <row r="130" spans="1:5" s="155" customFormat="1" ht="14.25" x14ac:dyDescent="0.2">
      <c r="A130" s="186"/>
      <c r="C130" s="186"/>
      <c r="D130" s="186"/>
      <c r="E130" s="186"/>
    </row>
    <row r="131" spans="1:5" s="155" customFormat="1" ht="14.25" x14ac:dyDescent="0.2">
      <c r="A131" s="186"/>
      <c r="C131" s="186"/>
      <c r="D131" s="186"/>
      <c r="E131" s="186"/>
    </row>
    <row r="132" spans="1:5" s="155" customFormat="1" ht="14.25" x14ac:dyDescent="0.2">
      <c r="A132" s="186"/>
      <c r="C132" s="186"/>
      <c r="D132" s="186"/>
      <c r="E132" s="186"/>
    </row>
    <row r="133" spans="1:5" s="155" customFormat="1" ht="14.25" x14ac:dyDescent="0.2">
      <c r="A133" s="186"/>
      <c r="C133" s="186"/>
      <c r="D133" s="186"/>
      <c r="E133" s="186"/>
    </row>
    <row r="134" spans="1:5" s="155" customFormat="1" ht="14.25" x14ac:dyDescent="0.2">
      <c r="A134" s="186"/>
      <c r="C134" s="186"/>
      <c r="D134" s="186"/>
      <c r="E134" s="186"/>
    </row>
    <row r="135" spans="1:5" s="155" customFormat="1" ht="14.25" x14ac:dyDescent="0.2">
      <c r="A135" s="186"/>
      <c r="C135" s="186"/>
      <c r="D135" s="186"/>
      <c r="E135" s="186"/>
    </row>
    <row r="136" spans="1:5" s="155" customFormat="1" ht="14.25" x14ac:dyDescent="0.2">
      <c r="A136" s="186"/>
      <c r="C136" s="186"/>
      <c r="D136" s="186"/>
      <c r="E136" s="186"/>
    </row>
    <row r="137" spans="1:5" s="155" customFormat="1" ht="14.25" x14ac:dyDescent="0.2">
      <c r="A137" s="186"/>
      <c r="C137" s="186"/>
      <c r="D137" s="186"/>
      <c r="E137" s="186"/>
    </row>
    <row r="138" spans="1:5" s="155" customFormat="1" ht="14.25" x14ac:dyDescent="0.2">
      <c r="A138" s="186"/>
      <c r="C138" s="186"/>
      <c r="D138" s="186"/>
      <c r="E138" s="186"/>
    </row>
    <row r="139" spans="1:5" s="155" customFormat="1" ht="14.25" x14ac:dyDescent="0.2">
      <c r="A139" s="186"/>
      <c r="C139" s="186"/>
      <c r="D139" s="186"/>
      <c r="E139" s="186"/>
    </row>
    <row r="140" spans="1:5" s="155" customFormat="1" ht="14.25" x14ac:dyDescent="0.2">
      <c r="A140" s="186"/>
      <c r="C140" s="186"/>
      <c r="D140" s="186"/>
      <c r="E140" s="186"/>
    </row>
    <row r="141" spans="1:5" s="155" customFormat="1" ht="14.25" x14ac:dyDescent="0.2">
      <c r="A141" s="186"/>
      <c r="C141" s="186"/>
      <c r="D141" s="186"/>
      <c r="E141" s="186"/>
    </row>
    <row r="142" spans="1:5" s="155" customFormat="1" ht="14.25" x14ac:dyDescent="0.2">
      <c r="A142" s="186"/>
      <c r="C142" s="186"/>
      <c r="D142" s="186"/>
      <c r="E142" s="186"/>
    </row>
    <row r="143" spans="1:5" s="155" customFormat="1" ht="14.25" x14ac:dyDescent="0.2">
      <c r="A143" s="186"/>
      <c r="C143" s="186"/>
      <c r="D143" s="186"/>
      <c r="E143" s="186"/>
    </row>
    <row r="144" spans="1:5" s="155" customFormat="1" ht="14.25" x14ac:dyDescent="0.2">
      <c r="A144" s="186"/>
      <c r="C144" s="186"/>
      <c r="D144" s="186"/>
      <c r="E144" s="186"/>
    </row>
    <row r="145" spans="1:5" s="155" customFormat="1" ht="14.25" x14ac:dyDescent="0.2">
      <c r="A145" s="186"/>
      <c r="C145" s="186"/>
      <c r="D145" s="186"/>
      <c r="E145" s="186"/>
    </row>
    <row r="146" spans="1:5" s="155" customFormat="1" ht="14.25" x14ac:dyDescent="0.2">
      <c r="A146" s="186"/>
      <c r="C146" s="186"/>
      <c r="D146" s="186"/>
      <c r="E146" s="186"/>
    </row>
    <row r="147" spans="1:5" s="155" customFormat="1" ht="14.25" x14ac:dyDescent="0.2">
      <c r="A147" s="186"/>
      <c r="C147" s="186"/>
      <c r="D147" s="186"/>
      <c r="E147" s="186"/>
    </row>
    <row r="148" spans="1:5" s="155" customFormat="1" ht="14.25" x14ac:dyDescent="0.2">
      <c r="A148" s="186"/>
      <c r="C148" s="186"/>
      <c r="D148" s="186"/>
      <c r="E148" s="186"/>
    </row>
    <row r="149" spans="1:5" s="155" customFormat="1" ht="14.25" x14ac:dyDescent="0.2">
      <c r="A149" s="186"/>
      <c r="C149" s="186"/>
      <c r="D149" s="186"/>
      <c r="E149" s="186"/>
    </row>
    <row r="150" spans="1:5" s="155" customFormat="1" ht="14.25" x14ac:dyDescent="0.2">
      <c r="A150" s="186"/>
      <c r="C150" s="186"/>
      <c r="D150" s="186"/>
      <c r="E150" s="186"/>
    </row>
    <row r="151" spans="1:5" s="155" customFormat="1" ht="14.25" x14ac:dyDescent="0.2">
      <c r="A151" s="186"/>
      <c r="C151" s="186"/>
      <c r="D151" s="186"/>
      <c r="E151" s="186"/>
    </row>
    <row r="152" spans="1:5" s="155" customFormat="1" ht="14.25" x14ac:dyDescent="0.2">
      <c r="A152" s="186"/>
      <c r="C152" s="186"/>
      <c r="D152" s="186"/>
      <c r="E152" s="186"/>
    </row>
    <row r="153" spans="1:5" s="155" customFormat="1" ht="14.25" x14ac:dyDescent="0.2">
      <c r="A153" s="186"/>
      <c r="C153" s="186"/>
      <c r="D153" s="186"/>
      <c r="E153" s="186"/>
    </row>
    <row r="154" spans="1:5" s="155" customFormat="1" ht="14.25" x14ac:dyDescent="0.2">
      <c r="A154" s="186"/>
      <c r="C154" s="186"/>
      <c r="D154" s="186"/>
      <c r="E154" s="186"/>
    </row>
    <row r="155" spans="1:5" s="155" customFormat="1" ht="14.25" x14ac:dyDescent="0.2">
      <c r="A155" s="186"/>
      <c r="C155" s="186"/>
      <c r="D155" s="186"/>
      <c r="E155" s="186"/>
    </row>
    <row r="156" spans="1:5" s="155" customFormat="1" ht="14.25" x14ac:dyDescent="0.2">
      <c r="A156" s="186"/>
      <c r="C156" s="186"/>
      <c r="D156" s="186"/>
      <c r="E156" s="186"/>
    </row>
    <row r="157" spans="1:5" s="155" customFormat="1" ht="14.25" x14ac:dyDescent="0.2">
      <c r="A157" s="186"/>
      <c r="C157" s="186"/>
      <c r="D157" s="186"/>
      <c r="E157" s="186"/>
    </row>
    <row r="158" spans="1:5" s="155" customFormat="1" ht="14.25" x14ac:dyDescent="0.2">
      <c r="A158" s="186"/>
      <c r="C158" s="186"/>
      <c r="D158" s="186"/>
      <c r="E158" s="186"/>
    </row>
    <row r="159" spans="1:5" s="155" customFormat="1" ht="14.25" x14ac:dyDescent="0.2">
      <c r="A159" s="186"/>
      <c r="C159" s="186"/>
      <c r="D159" s="186"/>
      <c r="E159" s="186"/>
    </row>
    <row r="160" spans="1:5" s="155" customFormat="1" ht="14.25" x14ac:dyDescent="0.2">
      <c r="A160" s="186"/>
      <c r="C160" s="186"/>
      <c r="D160" s="186"/>
      <c r="E160" s="186"/>
    </row>
    <row r="161" spans="1:5" s="155" customFormat="1" ht="14.25" x14ac:dyDescent="0.2">
      <c r="A161" s="186"/>
      <c r="C161" s="186"/>
      <c r="D161" s="186"/>
      <c r="E161" s="186"/>
    </row>
    <row r="162" spans="1:5" s="155" customFormat="1" ht="14.25" x14ac:dyDescent="0.2">
      <c r="A162" s="186"/>
      <c r="C162" s="186"/>
      <c r="D162" s="186"/>
      <c r="E162" s="186"/>
    </row>
    <row r="163" spans="1:5" s="155" customFormat="1" ht="14.25" x14ac:dyDescent="0.2">
      <c r="A163" s="186"/>
      <c r="C163" s="186"/>
      <c r="D163" s="186"/>
      <c r="E163" s="186"/>
    </row>
    <row r="164" spans="1:5" s="155" customFormat="1" ht="14.25" x14ac:dyDescent="0.2">
      <c r="A164" s="186"/>
      <c r="C164" s="186"/>
      <c r="D164" s="186"/>
      <c r="E164" s="186"/>
    </row>
    <row r="165" spans="1:5" s="155" customFormat="1" ht="14.25" x14ac:dyDescent="0.2">
      <c r="A165" s="186"/>
      <c r="C165" s="186"/>
      <c r="D165" s="186"/>
      <c r="E165" s="186"/>
    </row>
    <row r="166" spans="1:5" s="155" customFormat="1" ht="14.25" x14ac:dyDescent="0.2">
      <c r="A166" s="186"/>
      <c r="C166" s="186"/>
      <c r="D166" s="186"/>
      <c r="E166" s="186"/>
    </row>
    <row r="167" spans="1:5" s="155" customFormat="1" ht="14.25" x14ac:dyDescent="0.2">
      <c r="A167" s="186"/>
      <c r="C167" s="186"/>
      <c r="D167" s="186"/>
      <c r="E167" s="186"/>
    </row>
    <row r="168" spans="1:5" s="155" customFormat="1" ht="14.25" x14ac:dyDescent="0.2">
      <c r="A168" s="186"/>
      <c r="C168" s="186"/>
      <c r="D168" s="186"/>
      <c r="E168" s="186"/>
    </row>
    <row r="169" spans="1:5" s="155" customFormat="1" ht="14.25" x14ac:dyDescent="0.2">
      <c r="A169" s="186"/>
      <c r="C169" s="186"/>
      <c r="D169" s="186"/>
      <c r="E169" s="186"/>
    </row>
    <row r="170" spans="1:5" s="155" customFormat="1" ht="14.25" x14ac:dyDescent="0.2">
      <c r="A170" s="186"/>
      <c r="C170" s="186"/>
      <c r="D170" s="186"/>
      <c r="E170" s="186"/>
    </row>
    <row r="171" spans="1:5" s="155" customFormat="1" ht="14.25" x14ac:dyDescent="0.2">
      <c r="A171" s="186"/>
      <c r="C171" s="186"/>
      <c r="D171" s="186"/>
      <c r="E171" s="186"/>
    </row>
    <row r="172" spans="1:5" s="155" customFormat="1" ht="14.25" x14ac:dyDescent="0.2">
      <c r="A172" s="186"/>
      <c r="C172" s="186"/>
      <c r="D172" s="186"/>
      <c r="E172" s="186"/>
    </row>
    <row r="173" spans="1:5" s="155" customFormat="1" ht="14.25" x14ac:dyDescent="0.2">
      <c r="A173" s="186"/>
      <c r="C173" s="186"/>
      <c r="D173" s="186"/>
      <c r="E173" s="186"/>
    </row>
    <row r="174" spans="1:5" s="155" customFormat="1" ht="14.25" x14ac:dyDescent="0.2">
      <c r="A174" s="186"/>
      <c r="C174" s="186"/>
      <c r="D174" s="186"/>
      <c r="E174" s="186"/>
    </row>
    <row r="175" spans="1:5" s="155" customFormat="1" ht="14.25" x14ac:dyDescent="0.2">
      <c r="A175" s="186"/>
      <c r="C175" s="186"/>
      <c r="D175" s="186"/>
      <c r="E175" s="186"/>
    </row>
    <row r="176" spans="1:5" s="155" customFormat="1" ht="14.25" x14ac:dyDescent="0.2">
      <c r="A176" s="186"/>
      <c r="C176" s="186"/>
      <c r="D176" s="186"/>
      <c r="E176" s="186"/>
    </row>
    <row r="177" spans="1:5" s="155" customFormat="1" ht="14.25" x14ac:dyDescent="0.2">
      <c r="A177" s="186"/>
      <c r="C177" s="186"/>
      <c r="D177" s="186"/>
      <c r="E177" s="186"/>
    </row>
    <row r="178" spans="1:5" s="155" customFormat="1" ht="14.25" x14ac:dyDescent="0.2">
      <c r="A178" s="186"/>
      <c r="C178" s="186"/>
      <c r="D178" s="186"/>
      <c r="E178" s="186"/>
    </row>
    <row r="179" spans="1:5" s="155" customFormat="1" ht="14.25" x14ac:dyDescent="0.2">
      <c r="A179" s="186"/>
      <c r="C179" s="186"/>
      <c r="D179" s="186"/>
      <c r="E179" s="186"/>
    </row>
    <row r="180" spans="1:5" s="155" customFormat="1" ht="14.25" x14ac:dyDescent="0.2">
      <c r="A180" s="186"/>
      <c r="C180" s="186"/>
      <c r="D180" s="186"/>
      <c r="E180" s="186"/>
    </row>
    <row r="181" spans="1:5" s="155" customFormat="1" ht="14.25" x14ac:dyDescent="0.2">
      <c r="A181" s="186"/>
      <c r="C181" s="186"/>
      <c r="D181" s="186"/>
      <c r="E181" s="186"/>
    </row>
    <row r="182" spans="1:5" s="155" customFormat="1" ht="14.25" x14ac:dyDescent="0.2">
      <c r="A182" s="186"/>
      <c r="C182" s="186"/>
      <c r="D182" s="186"/>
      <c r="E182" s="186"/>
    </row>
    <row r="183" spans="1:5" s="155" customFormat="1" ht="14.25" x14ac:dyDescent="0.2">
      <c r="A183" s="186"/>
      <c r="C183" s="186"/>
      <c r="D183" s="186"/>
      <c r="E183" s="186"/>
    </row>
    <row r="184" spans="1:5" s="155" customFormat="1" ht="14.25" x14ac:dyDescent="0.2">
      <c r="A184" s="186"/>
      <c r="C184" s="186"/>
      <c r="D184" s="186"/>
      <c r="E184" s="186"/>
    </row>
    <row r="185" spans="1:5" s="155" customFormat="1" ht="14.25" x14ac:dyDescent="0.2">
      <c r="A185" s="186"/>
      <c r="C185" s="186"/>
      <c r="D185" s="186"/>
      <c r="E185" s="186"/>
    </row>
  </sheetData>
  <mergeCells count="3">
    <mergeCell ref="A1:G2"/>
    <mergeCell ref="A85:C85"/>
    <mergeCell ref="A86:C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T34"/>
  <sheetViews>
    <sheetView topLeftCell="C1" workbookViewId="0">
      <selection activeCell="I15" sqref="I15"/>
    </sheetView>
  </sheetViews>
  <sheetFormatPr defaultRowHeight="15" x14ac:dyDescent="0.25"/>
  <cols>
    <col min="2" max="2" width="11.140625" bestFit="1" customWidth="1"/>
    <col min="3" max="3" width="19.5703125" bestFit="1" customWidth="1"/>
    <col min="4" max="4" width="11.140625" bestFit="1" customWidth="1"/>
    <col min="6" max="6" width="11.140625" bestFit="1" customWidth="1"/>
    <col min="7" max="7" width="8.85546875" bestFit="1" customWidth="1"/>
    <col min="8" max="8" width="6.42578125" bestFit="1" customWidth="1"/>
    <col min="9" max="9" width="10.42578125" bestFit="1" customWidth="1"/>
    <col min="10" max="10" width="14.28515625" bestFit="1" customWidth="1"/>
    <col min="11" max="11" width="12.140625" bestFit="1" customWidth="1"/>
    <col min="12" max="12" width="5.7109375" bestFit="1" customWidth="1"/>
    <col min="13" max="13" width="8.85546875" bestFit="1" customWidth="1"/>
    <col min="14" max="14" width="10.85546875" bestFit="1" customWidth="1"/>
    <col min="15" max="15" width="7.5703125" bestFit="1" customWidth="1"/>
    <col min="16" max="16" width="7.28515625" bestFit="1" customWidth="1"/>
    <col min="17" max="17" width="10.7109375" bestFit="1" customWidth="1"/>
    <col min="18" max="18" width="9.28515625" bestFit="1" customWidth="1"/>
    <col min="19" max="19" width="9.85546875" bestFit="1" customWidth="1"/>
    <col min="20" max="20" width="4.85546875" bestFit="1" customWidth="1"/>
  </cols>
  <sheetData>
    <row r="2" spans="1:20" x14ac:dyDescent="0.25">
      <c r="A2" s="80" t="s">
        <v>435</v>
      </c>
      <c r="B2" s="80"/>
      <c r="C2" s="80"/>
      <c r="D2" s="91"/>
      <c r="E2" s="91"/>
    </row>
    <row r="3" spans="1:20" x14ac:dyDescent="0.25">
      <c r="A3" s="80"/>
      <c r="B3" s="80"/>
      <c r="C3" s="80"/>
      <c r="D3" s="91"/>
      <c r="E3" s="91"/>
    </row>
    <row r="4" spans="1:20" x14ac:dyDescent="0.25">
      <c r="A4" s="202" t="s">
        <v>436</v>
      </c>
      <c r="B4" s="88" t="s">
        <v>437</v>
      </c>
      <c r="C4" s="88" t="s">
        <v>438</v>
      </c>
      <c r="D4" s="202" t="s">
        <v>78</v>
      </c>
      <c r="E4" s="80"/>
    </row>
    <row r="5" spans="1:20" x14ac:dyDescent="0.25">
      <c r="A5" s="218">
        <v>1</v>
      </c>
      <c r="B5" s="219" t="s">
        <v>52</v>
      </c>
      <c r="C5" s="218" t="s">
        <v>439</v>
      </c>
      <c r="D5" s="224" t="str">
        <f>HLOOKUP(C5,$G$6:$T$7,2,FALSE)</f>
        <v>BABEL</v>
      </c>
      <c r="E5" s="218"/>
      <c r="F5" s="221" t="s">
        <v>83</v>
      </c>
      <c r="G5" s="221">
        <v>1</v>
      </c>
      <c r="H5" s="221">
        <v>2</v>
      </c>
      <c r="I5" s="221">
        <v>3</v>
      </c>
      <c r="J5" s="221">
        <v>4</v>
      </c>
      <c r="K5" s="221">
        <v>5</v>
      </c>
      <c r="L5" s="221">
        <v>6</v>
      </c>
      <c r="M5" s="221">
        <v>7</v>
      </c>
      <c r="N5" s="221">
        <v>8</v>
      </c>
      <c r="O5" s="221">
        <v>9</v>
      </c>
      <c r="P5" s="221">
        <v>10</v>
      </c>
      <c r="Q5" s="221">
        <v>11</v>
      </c>
      <c r="R5" s="221">
        <v>12</v>
      </c>
      <c r="S5" s="221">
        <v>13</v>
      </c>
      <c r="T5" s="221">
        <v>14</v>
      </c>
    </row>
    <row r="6" spans="1:20" x14ac:dyDescent="0.25">
      <c r="A6" s="91">
        <v>2</v>
      </c>
      <c r="B6" s="80" t="s">
        <v>38</v>
      </c>
      <c r="C6" s="91" t="s">
        <v>440</v>
      </c>
      <c r="D6" s="224" t="str">
        <f t="shared" ref="D6:D33" si="0">HLOOKUP(C6,$G$6:$T$7,2,FALSE)</f>
        <v>SURABAYA</v>
      </c>
      <c r="E6" s="91"/>
      <c r="F6" s="222" t="s">
        <v>1</v>
      </c>
      <c r="G6" s="222" t="s">
        <v>142</v>
      </c>
      <c r="H6" s="222" t="s">
        <v>439</v>
      </c>
      <c r="I6" s="222" t="s">
        <v>75</v>
      </c>
      <c r="J6" s="222" t="s">
        <v>441</v>
      </c>
      <c r="K6" s="222" t="s">
        <v>446</v>
      </c>
      <c r="L6" s="222" t="s">
        <v>447</v>
      </c>
      <c r="M6" s="222" t="s">
        <v>445</v>
      </c>
      <c r="N6" s="222" t="s">
        <v>448</v>
      </c>
      <c r="O6" s="222" t="s">
        <v>139</v>
      </c>
      <c r="P6" s="222" t="s">
        <v>442</v>
      </c>
      <c r="Q6" s="222" t="s">
        <v>440</v>
      </c>
      <c r="R6" s="222" t="s">
        <v>77</v>
      </c>
      <c r="S6" s="222" t="s">
        <v>444</v>
      </c>
      <c r="T6" s="222" t="s">
        <v>443</v>
      </c>
    </row>
    <row r="7" spans="1:20" x14ac:dyDescent="0.25">
      <c r="A7" s="91">
        <v>3</v>
      </c>
      <c r="B7" s="80" t="s">
        <v>32</v>
      </c>
      <c r="C7" s="91" t="s">
        <v>441</v>
      </c>
      <c r="D7" s="224" t="str">
        <f t="shared" si="0"/>
        <v>BANJARMASIN</v>
      </c>
      <c r="E7" s="91"/>
      <c r="F7" s="223" t="s">
        <v>78</v>
      </c>
      <c r="G7" s="223" t="s">
        <v>449</v>
      </c>
      <c r="H7" s="223" t="s">
        <v>1017</v>
      </c>
      <c r="I7" s="223" t="s">
        <v>450</v>
      </c>
      <c r="J7" s="223" t="s">
        <v>451</v>
      </c>
      <c r="K7" s="223" t="s">
        <v>452</v>
      </c>
      <c r="L7" s="223" t="s">
        <v>453</v>
      </c>
      <c r="M7" s="223" t="s">
        <v>454</v>
      </c>
      <c r="N7" s="223" t="s">
        <v>455</v>
      </c>
      <c r="O7" s="223" t="s">
        <v>456</v>
      </c>
      <c r="P7" s="223" t="s">
        <v>457</v>
      </c>
      <c r="Q7" s="223" t="s">
        <v>458</v>
      </c>
      <c r="R7" s="223" t="s">
        <v>459</v>
      </c>
      <c r="S7" s="223" t="s">
        <v>460</v>
      </c>
      <c r="T7" s="223" t="s">
        <v>461</v>
      </c>
    </row>
    <row r="8" spans="1:20" x14ac:dyDescent="0.25">
      <c r="A8" s="91">
        <v>4</v>
      </c>
      <c r="B8" s="80" t="s">
        <v>89</v>
      </c>
      <c r="C8" s="91" t="s">
        <v>439</v>
      </c>
      <c r="D8" s="224" t="str">
        <f t="shared" si="0"/>
        <v>BABEL</v>
      </c>
      <c r="E8" s="91"/>
    </row>
    <row r="9" spans="1:20" x14ac:dyDescent="0.25">
      <c r="A9" s="91">
        <v>5</v>
      </c>
      <c r="B9" s="80" t="s">
        <v>49</v>
      </c>
      <c r="C9" s="91" t="s">
        <v>439</v>
      </c>
      <c r="D9" s="224" t="str">
        <f t="shared" si="0"/>
        <v>BABEL</v>
      </c>
      <c r="E9" s="91"/>
    </row>
    <row r="10" spans="1:20" x14ac:dyDescent="0.25">
      <c r="A10" s="91">
        <v>6</v>
      </c>
      <c r="B10" s="80" t="s">
        <v>37</v>
      </c>
      <c r="C10" s="91" t="s">
        <v>77</v>
      </c>
      <c r="D10" s="224" t="str">
        <f t="shared" si="0"/>
        <v>MADURA</v>
      </c>
      <c r="E10" s="91"/>
    </row>
    <row r="11" spans="1:20" x14ac:dyDescent="0.25">
      <c r="A11" s="91">
        <v>7</v>
      </c>
      <c r="B11" s="80" t="s">
        <v>29</v>
      </c>
      <c r="C11" s="91" t="s">
        <v>75</v>
      </c>
      <c r="D11" s="224" t="str">
        <f t="shared" si="0"/>
        <v>BANDUNG</v>
      </c>
      <c r="E11" s="91"/>
    </row>
    <row r="12" spans="1:20" x14ac:dyDescent="0.25">
      <c r="A12" s="91">
        <v>8</v>
      </c>
      <c r="B12" s="80" t="s">
        <v>35</v>
      </c>
      <c r="C12" s="91" t="s">
        <v>442</v>
      </c>
      <c r="D12" s="224" t="str">
        <f t="shared" si="0"/>
        <v>GARUT</v>
      </c>
      <c r="E12" s="91"/>
    </row>
    <row r="13" spans="1:20" x14ac:dyDescent="0.25">
      <c r="A13" s="91">
        <v>9</v>
      </c>
      <c r="B13" s="80" t="s">
        <v>53</v>
      </c>
      <c r="C13" s="91" t="s">
        <v>443</v>
      </c>
      <c r="D13" s="224" t="str">
        <f t="shared" si="0"/>
        <v>BALI</v>
      </c>
      <c r="E13" s="91"/>
      <c r="F13" s="220"/>
      <c r="H13" s="220"/>
      <c r="J13" s="220"/>
      <c r="K13" s="220"/>
      <c r="L13" s="220"/>
      <c r="M13" s="220"/>
      <c r="N13" s="220"/>
      <c r="O13" s="220"/>
      <c r="P13" s="220"/>
    </row>
    <row r="14" spans="1:20" x14ac:dyDescent="0.25">
      <c r="A14" s="91">
        <v>10</v>
      </c>
      <c r="B14" s="80" t="s">
        <v>39</v>
      </c>
      <c r="C14" s="91" t="s">
        <v>444</v>
      </c>
      <c r="D14" s="224" t="str">
        <f t="shared" si="0"/>
        <v>SIDOARJO</v>
      </c>
      <c r="E14" s="91"/>
    </row>
    <row r="15" spans="1:20" x14ac:dyDescent="0.25">
      <c r="A15" s="91">
        <v>11</v>
      </c>
      <c r="B15" s="80" t="s">
        <v>42</v>
      </c>
      <c r="C15" s="91" t="s">
        <v>445</v>
      </c>
      <c r="D15" s="224" t="str">
        <f t="shared" si="0"/>
        <v>PADANG</v>
      </c>
      <c r="E15" s="91"/>
    </row>
    <row r="16" spans="1:20" x14ac:dyDescent="0.25">
      <c r="A16" s="91">
        <v>12</v>
      </c>
      <c r="B16" s="80" t="s">
        <v>48</v>
      </c>
      <c r="C16" s="91" t="s">
        <v>446</v>
      </c>
      <c r="D16" s="224" t="str">
        <f t="shared" si="0"/>
        <v>SAMARINDA</v>
      </c>
      <c r="E16" s="91"/>
      <c r="G16" s="220"/>
    </row>
    <row r="17" spans="1:5" x14ac:dyDescent="0.25">
      <c r="A17" s="91">
        <v>13</v>
      </c>
      <c r="B17" s="80" t="s">
        <v>33</v>
      </c>
      <c r="C17" s="91" t="s">
        <v>75</v>
      </c>
      <c r="D17" s="224" t="str">
        <f t="shared" si="0"/>
        <v>BANDUNG</v>
      </c>
      <c r="E17" s="91"/>
    </row>
    <row r="18" spans="1:5" x14ac:dyDescent="0.25">
      <c r="A18" s="91">
        <v>14</v>
      </c>
      <c r="B18" s="80" t="s">
        <v>41</v>
      </c>
      <c r="C18" s="91" t="s">
        <v>77</v>
      </c>
      <c r="D18" s="224" t="str">
        <f t="shared" si="0"/>
        <v>MADURA</v>
      </c>
      <c r="E18" s="91"/>
    </row>
    <row r="19" spans="1:5" x14ac:dyDescent="0.25">
      <c r="A19" s="91">
        <v>15</v>
      </c>
      <c r="B19" s="80" t="s">
        <v>45</v>
      </c>
      <c r="C19" s="91" t="s">
        <v>142</v>
      </c>
      <c r="D19" s="224" t="str">
        <f t="shared" si="0"/>
        <v>JAKARTA</v>
      </c>
      <c r="E19" s="91"/>
    </row>
    <row r="20" spans="1:5" x14ac:dyDescent="0.25">
      <c r="A20" s="91">
        <v>16</v>
      </c>
      <c r="B20" s="80" t="s">
        <v>43</v>
      </c>
      <c r="C20" s="91" t="s">
        <v>442</v>
      </c>
      <c r="D20" s="224" t="str">
        <f t="shared" si="0"/>
        <v>GARUT</v>
      </c>
      <c r="E20" s="91"/>
    </row>
    <row r="21" spans="1:5" x14ac:dyDescent="0.25">
      <c r="A21" s="91">
        <v>17</v>
      </c>
      <c r="B21" s="80" t="s">
        <v>46</v>
      </c>
      <c r="C21" s="91" t="s">
        <v>445</v>
      </c>
      <c r="D21" s="224" t="str">
        <f t="shared" si="0"/>
        <v>PADANG</v>
      </c>
      <c r="E21" s="91"/>
    </row>
    <row r="22" spans="1:5" x14ac:dyDescent="0.25">
      <c r="A22" s="91">
        <v>18</v>
      </c>
      <c r="B22" s="80" t="s">
        <v>85</v>
      </c>
      <c r="C22" s="91" t="s">
        <v>445</v>
      </c>
      <c r="D22" s="224" t="str">
        <f t="shared" si="0"/>
        <v>PADANG</v>
      </c>
      <c r="E22" s="91"/>
    </row>
    <row r="23" spans="1:5" x14ac:dyDescent="0.25">
      <c r="A23" s="91">
        <v>19</v>
      </c>
      <c r="B23" s="80" t="s">
        <v>86</v>
      </c>
      <c r="C23" s="91" t="s">
        <v>447</v>
      </c>
      <c r="D23" s="224" t="str">
        <f t="shared" si="0"/>
        <v>ACEH</v>
      </c>
      <c r="E23" s="91"/>
    </row>
    <row r="24" spans="1:5" x14ac:dyDescent="0.25">
      <c r="A24" s="91">
        <v>20</v>
      </c>
      <c r="B24" s="80" t="s">
        <v>87</v>
      </c>
      <c r="C24" s="91" t="s">
        <v>139</v>
      </c>
      <c r="D24" s="224" t="str">
        <f t="shared" si="0"/>
        <v>BOGOR</v>
      </c>
      <c r="E24" s="91"/>
    </row>
    <row r="25" spans="1:5" x14ac:dyDescent="0.25">
      <c r="A25" s="91">
        <v>21</v>
      </c>
      <c r="B25" s="80" t="s">
        <v>88</v>
      </c>
      <c r="C25" s="91" t="s">
        <v>139</v>
      </c>
      <c r="D25" s="224" t="str">
        <f t="shared" si="0"/>
        <v>BOGOR</v>
      </c>
      <c r="E25" s="91"/>
    </row>
    <row r="26" spans="1:5" x14ac:dyDescent="0.25">
      <c r="A26" s="91">
        <v>22</v>
      </c>
      <c r="B26" s="80" t="s">
        <v>89</v>
      </c>
      <c r="C26" s="91" t="s">
        <v>444</v>
      </c>
      <c r="D26" s="224" t="str">
        <f t="shared" si="0"/>
        <v>SIDOARJO</v>
      </c>
      <c r="E26" s="91"/>
    </row>
    <row r="27" spans="1:5" x14ac:dyDescent="0.25">
      <c r="A27" s="91">
        <v>23</v>
      </c>
      <c r="B27" s="80" t="s">
        <v>49</v>
      </c>
      <c r="C27" s="91" t="s">
        <v>77</v>
      </c>
      <c r="D27" s="224" t="str">
        <f t="shared" si="0"/>
        <v>MADURA</v>
      </c>
      <c r="E27" s="91"/>
    </row>
    <row r="28" spans="1:5" x14ac:dyDescent="0.25">
      <c r="A28" s="91">
        <v>24</v>
      </c>
      <c r="B28" s="80" t="s">
        <v>37</v>
      </c>
      <c r="C28" s="91" t="s">
        <v>443</v>
      </c>
      <c r="D28" s="224" t="str">
        <f t="shared" si="0"/>
        <v>BALI</v>
      </c>
      <c r="E28" s="91"/>
    </row>
    <row r="29" spans="1:5" x14ac:dyDescent="0.25">
      <c r="A29" s="91">
        <v>25</v>
      </c>
      <c r="B29" s="80" t="s">
        <v>29</v>
      </c>
      <c r="C29" s="91" t="s">
        <v>142</v>
      </c>
      <c r="D29" s="224" t="str">
        <f t="shared" si="0"/>
        <v>JAKARTA</v>
      </c>
      <c r="E29" s="91"/>
    </row>
    <row r="30" spans="1:5" x14ac:dyDescent="0.25">
      <c r="A30" s="91">
        <v>26</v>
      </c>
      <c r="B30" s="80" t="s">
        <v>35</v>
      </c>
      <c r="C30" s="91" t="s">
        <v>75</v>
      </c>
      <c r="D30" s="224" t="str">
        <f t="shared" si="0"/>
        <v>BANDUNG</v>
      </c>
      <c r="E30" s="91"/>
    </row>
    <row r="31" spans="1:5" x14ac:dyDescent="0.25">
      <c r="A31" s="91">
        <v>27</v>
      </c>
      <c r="B31" s="80" t="s">
        <v>53</v>
      </c>
      <c r="C31" s="91" t="s">
        <v>439</v>
      </c>
      <c r="D31" s="224" t="str">
        <f t="shared" si="0"/>
        <v>BABEL</v>
      </c>
      <c r="E31" s="91"/>
    </row>
    <row r="32" spans="1:5" x14ac:dyDescent="0.25">
      <c r="A32" s="91">
        <v>28</v>
      </c>
      <c r="B32" s="80" t="s">
        <v>39</v>
      </c>
      <c r="C32" s="91" t="s">
        <v>442</v>
      </c>
      <c r="D32" s="224" t="str">
        <f t="shared" si="0"/>
        <v>GARUT</v>
      </c>
      <c r="E32" s="91"/>
    </row>
    <row r="33" spans="1:5" ht="30" x14ac:dyDescent="0.25">
      <c r="A33" s="91">
        <v>29</v>
      </c>
      <c r="B33" s="80" t="s">
        <v>42</v>
      </c>
      <c r="C33" s="91" t="s">
        <v>446</v>
      </c>
      <c r="D33" s="224" t="str">
        <f t="shared" si="0"/>
        <v>SAMARINDA</v>
      </c>
      <c r="E33" s="91"/>
    </row>
    <row r="34" spans="1:5" x14ac:dyDescent="0.25">
      <c r="A34" s="6"/>
      <c r="B34" s="6"/>
      <c r="C34" s="6"/>
      <c r="D34" s="6"/>
      <c r="E3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80"/>
  <sheetViews>
    <sheetView topLeftCell="B1" zoomScaleNormal="100" workbookViewId="0">
      <selection activeCell="G5" sqref="G5"/>
    </sheetView>
  </sheetViews>
  <sheetFormatPr defaultRowHeight="15" x14ac:dyDescent="0.25"/>
  <cols>
    <col min="1" max="1" width="4.85546875" customWidth="1"/>
    <col min="2" max="2" width="11.7109375" customWidth="1"/>
    <col min="4" max="4" width="9.85546875" bestFit="1" customWidth="1"/>
    <col min="5" max="5" width="11.5703125" customWidth="1"/>
    <col min="6" max="6" width="14.140625" customWidth="1"/>
    <col min="7" max="7" width="12" customWidth="1"/>
    <col min="9" max="9" width="12.5703125" customWidth="1"/>
    <col min="11" max="11" width="14.42578125" customWidth="1"/>
    <col min="16" max="16" width="14.7109375" customWidth="1"/>
  </cols>
  <sheetData>
    <row r="1" spans="1:22" x14ac:dyDescent="0.25">
      <c r="A1" t="s">
        <v>462</v>
      </c>
    </row>
    <row r="3" spans="1:22" s="220" customFormat="1" x14ac:dyDescent="0.25">
      <c r="A3" s="27" t="s">
        <v>25</v>
      </c>
      <c r="B3" s="28" t="s">
        <v>26</v>
      </c>
      <c r="C3" s="28" t="s">
        <v>27</v>
      </c>
      <c r="D3" s="28" t="s">
        <v>28</v>
      </c>
      <c r="E3" s="28" t="s">
        <v>463</v>
      </c>
      <c r="F3" s="28" t="s">
        <v>464</v>
      </c>
      <c r="G3" s="28" t="s">
        <v>465</v>
      </c>
      <c r="H3" s="28" t="s">
        <v>110</v>
      </c>
      <c r="I3" s="225" t="s">
        <v>466</v>
      </c>
    </row>
    <row r="4" spans="1:22" x14ac:dyDescent="0.25">
      <c r="A4" s="29">
        <v>1</v>
      </c>
      <c r="B4" s="29" t="s">
        <v>29</v>
      </c>
      <c r="C4" s="29" t="s">
        <v>5</v>
      </c>
      <c r="D4" s="30">
        <f>HLOOKUP(C4,$Q$5:$V$6,2,FALSE)</f>
        <v>500</v>
      </c>
      <c r="E4" s="29">
        <v>32</v>
      </c>
      <c r="F4" s="29" t="s">
        <v>467</v>
      </c>
      <c r="G4" s="30">
        <f>IF(F4="K",D4+(D4*30%),D4+(D4*10%))</f>
        <v>650</v>
      </c>
      <c r="H4" s="30">
        <f>IF(E4&gt;50,20%,IF(AND(E4&gt;29,E4&lt;51),15%,IF(AND(E4&gt;19,E4&lt;30),10%,0%)))</f>
        <v>0.15</v>
      </c>
      <c r="I4" s="30">
        <f>IF(E4&gt;50,(D4-(D4*20%))*E4,IF(AND(E4&gt;29,E4&lt;51),(D4-(D4*15%))*E4,IF(AND(E4&gt;19,E4&lt;30),(D4-(D4*10%))*E4,D4*E4)))</f>
        <v>13600</v>
      </c>
      <c r="K4" t="s">
        <v>468</v>
      </c>
    </row>
    <row r="5" spans="1:22" x14ac:dyDescent="0.25">
      <c r="A5" s="31">
        <v>2</v>
      </c>
      <c r="B5" s="31" t="s">
        <v>30</v>
      </c>
      <c r="C5" s="31" t="s">
        <v>31</v>
      </c>
      <c r="D5" s="30">
        <f t="shared" ref="D5:D68" si="0">HLOOKUP(C5,$Q$5:$V$6,2,FALSE)</f>
        <v>400</v>
      </c>
      <c r="E5" s="31">
        <v>80</v>
      </c>
      <c r="F5" s="31" t="s">
        <v>467</v>
      </c>
      <c r="G5" s="30">
        <f t="shared" ref="G5:G68" si="1">IF(F5="K",D5+(D5*30%),D5+(D5*10%))</f>
        <v>520</v>
      </c>
      <c r="H5" s="30">
        <f t="shared" ref="H5:H68" si="2">IF(E5&gt;50,20%,IF(AND(E5&gt;29,E5&lt;51),15%,IF(AND(E5&gt;19,E5&lt;30),10%,0%)))</f>
        <v>0.2</v>
      </c>
      <c r="I5" s="30">
        <f t="shared" ref="I5:I68" si="3">IF(E5&gt;50,(D5-(D5*20%))*E5,IF(AND(E5&gt;29,E5&lt;51),(D5-(D5*15%))*E5,IF(AND(E5&gt;19,E5&lt;30),(D5-(D5*10%))*E5,D5*E5)))</f>
        <v>25600</v>
      </c>
      <c r="K5" s="226" t="s">
        <v>469</v>
      </c>
      <c r="P5" s="138" t="s">
        <v>60</v>
      </c>
      <c r="Q5" s="138" t="s">
        <v>5</v>
      </c>
      <c r="R5" s="138" t="s">
        <v>6</v>
      </c>
      <c r="S5" s="138" t="s">
        <v>4</v>
      </c>
      <c r="T5" s="138" t="s">
        <v>31</v>
      </c>
      <c r="U5" s="138" t="s">
        <v>1184</v>
      </c>
      <c r="V5" s="138" t="s">
        <v>34</v>
      </c>
    </row>
    <row r="6" spans="1:22" x14ac:dyDescent="0.25">
      <c r="A6" s="29">
        <v>3</v>
      </c>
      <c r="B6" s="29" t="s">
        <v>32</v>
      </c>
      <c r="C6" s="29" t="s">
        <v>31</v>
      </c>
      <c r="D6" s="30">
        <f t="shared" si="0"/>
        <v>400</v>
      </c>
      <c r="E6" s="29">
        <v>84</v>
      </c>
      <c r="F6" s="29" t="s">
        <v>467</v>
      </c>
      <c r="G6" s="30">
        <f t="shared" si="1"/>
        <v>520</v>
      </c>
      <c r="H6" s="30">
        <f t="shared" si="2"/>
        <v>0.2</v>
      </c>
      <c r="I6" s="30">
        <f t="shared" si="3"/>
        <v>26880</v>
      </c>
      <c r="K6" s="226" t="s">
        <v>470</v>
      </c>
      <c r="P6" s="138" t="s">
        <v>3</v>
      </c>
      <c r="Q6" s="138">
        <v>500</v>
      </c>
      <c r="R6" s="138">
        <v>500</v>
      </c>
      <c r="S6" s="138">
        <v>400</v>
      </c>
      <c r="T6" s="138">
        <v>400</v>
      </c>
      <c r="U6" s="138">
        <v>450</v>
      </c>
      <c r="V6" s="138">
        <v>450</v>
      </c>
    </row>
    <row r="7" spans="1:22" x14ac:dyDescent="0.25">
      <c r="A7" s="31">
        <v>4</v>
      </c>
      <c r="B7" s="31" t="s">
        <v>33</v>
      </c>
      <c r="C7" s="31" t="s">
        <v>34</v>
      </c>
      <c r="D7" s="30">
        <f t="shared" si="0"/>
        <v>450</v>
      </c>
      <c r="E7" s="31">
        <v>54</v>
      </c>
      <c r="F7" s="31" t="s">
        <v>467</v>
      </c>
      <c r="G7" s="30">
        <f t="shared" si="1"/>
        <v>585</v>
      </c>
      <c r="H7" s="30">
        <f t="shared" si="2"/>
        <v>0.2</v>
      </c>
      <c r="I7" s="30">
        <f t="shared" si="3"/>
        <v>19440</v>
      </c>
      <c r="K7" s="226" t="s">
        <v>1183</v>
      </c>
    </row>
    <row r="8" spans="1:22" x14ac:dyDescent="0.25">
      <c r="A8" s="29">
        <v>5</v>
      </c>
      <c r="B8" s="29" t="s">
        <v>35</v>
      </c>
      <c r="C8" s="29" t="s">
        <v>5</v>
      </c>
      <c r="D8" s="30">
        <f t="shared" si="0"/>
        <v>500</v>
      </c>
      <c r="E8" s="29">
        <v>63</v>
      </c>
      <c r="F8" s="29" t="s">
        <v>467</v>
      </c>
      <c r="G8" s="30">
        <f t="shared" si="1"/>
        <v>650</v>
      </c>
      <c r="H8" s="30">
        <f t="shared" si="2"/>
        <v>0.2</v>
      </c>
      <c r="I8" s="30">
        <f t="shared" si="3"/>
        <v>25200</v>
      </c>
      <c r="K8" s="226"/>
    </row>
    <row r="9" spans="1:22" x14ac:dyDescent="0.25">
      <c r="A9" s="31">
        <v>6</v>
      </c>
      <c r="B9" s="31" t="s">
        <v>32</v>
      </c>
      <c r="C9" s="31" t="s">
        <v>34</v>
      </c>
      <c r="D9" s="30">
        <f t="shared" si="0"/>
        <v>450</v>
      </c>
      <c r="E9" s="31">
        <v>10</v>
      </c>
      <c r="F9" s="31" t="s">
        <v>467</v>
      </c>
      <c r="G9" s="30">
        <f t="shared" si="1"/>
        <v>585</v>
      </c>
      <c r="H9" s="30">
        <f t="shared" si="2"/>
        <v>0</v>
      </c>
      <c r="I9" s="30">
        <f t="shared" si="3"/>
        <v>4500</v>
      </c>
      <c r="K9" t="s">
        <v>471</v>
      </c>
    </row>
    <row r="10" spans="1:22" x14ac:dyDescent="0.25">
      <c r="A10" s="29">
        <v>7</v>
      </c>
      <c r="B10" s="29" t="s">
        <v>36</v>
      </c>
      <c r="C10" s="29" t="s">
        <v>7</v>
      </c>
      <c r="D10" s="30">
        <f t="shared" si="0"/>
        <v>450</v>
      </c>
      <c r="E10" s="29">
        <v>33</v>
      </c>
      <c r="F10" s="29" t="s">
        <v>472</v>
      </c>
      <c r="G10" s="30">
        <f t="shared" si="1"/>
        <v>495</v>
      </c>
      <c r="H10" s="30">
        <f t="shared" si="2"/>
        <v>0.15</v>
      </c>
      <c r="I10" s="30">
        <f t="shared" si="3"/>
        <v>12622.5</v>
      </c>
      <c r="K10" s="227" t="s">
        <v>473</v>
      </c>
    </row>
    <row r="11" spans="1:22" x14ac:dyDescent="0.25">
      <c r="A11" s="31">
        <v>8</v>
      </c>
      <c r="B11" s="31" t="s">
        <v>37</v>
      </c>
      <c r="C11" s="31" t="s">
        <v>5</v>
      </c>
      <c r="D11" s="30">
        <f t="shared" si="0"/>
        <v>500</v>
      </c>
      <c r="E11" s="31">
        <v>72</v>
      </c>
      <c r="F11" s="31" t="s">
        <v>472</v>
      </c>
      <c r="G11" s="30">
        <f t="shared" si="1"/>
        <v>550</v>
      </c>
      <c r="H11" s="30">
        <f t="shared" si="2"/>
        <v>0.2</v>
      </c>
      <c r="I11" s="30">
        <f t="shared" si="3"/>
        <v>28800</v>
      </c>
      <c r="K11" s="227" t="s">
        <v>474</v>
      </c>
    </row>
    <row r="12" spans="1:22" x14ac:dyDescent="0.25">
      <c r="A12" s="29">
        <v>9</v>
      </c>
      <c r="B12" s="29" t="s">
        <v>38</v>
      </c>
      <c r="C12" s="29" t="s">
        <v>34</v>
      </c>
      <c r="D12" s="30">
        <f t="shared" si="0"/>
        <v>450</v>
      </c>
      <c r="E12" s="29">
        <v>25</v>
      </c>
      <c r="F12" s="29" t="s">
        <v>467</v>
      </c>
      <c r="G12" s="30">
        <f t="shared" si="1"/>
        <v>585</v>
      </c>
      <c r="H12" s="30">
        <f t="shared" si="2"/>
        <v>0.1</v>
      </c>
      <c r="I12" s="30">
        <f t="shared" si="3"/>
        <v>10125</v>
      </c>
    </row>
    <row r="13" spans="1:22" x14ac:dyDescent="0.25">
      <c r="A13" s="31">
        <v>10</v>
      </c>
      <c r="B13" s="31" t="s">
        <v>39</v>
      </c>
      <c r="C13" s="31" t="s">
        <v>4</v>
      </c>
      <c r="D13" s="30">
        <f t="shared" si="0"/>
        <v>400</v>
      </c>
      <c r="E13" s="31">
        <v>94</v>
      </c>
      <c r="F13" s="31" t="s">
        <v>467</v>
      </c>
      <c r="G13" s="30">
        <f t="shared" si="1"/>
        <v>520</v>
      </c>
      <c r="H13" s="30">
        <f t="shared" si="2"/>
        <v>0.2</v>
      </c>
      <c r="I13" s="30">
        <f t="shared" si="3"/>
        <v>30080</v>
      </c>
      <c r="K13" t="s">
        <v>475</v>
      </c>
    </row>
    <row r="14" spans="1:22" x14ac:dyDescent="0.25">
      <c r="A14" s="29">
        <v>11</v>
      </c>
      <c r="B14" s="29" t="s">
        <v>40</v>
      </c>
      <c r="C14" s="29" t="s">
        <v>7</v>
      </c>
      <c r="D14" s="30">
        <f t="shared" si="0"/>
        <v>450</v>
      </c>
      <c r="E14" s="29">
        <v>30</v>
      </c>
      <c r="F14" s="29" t="s">
        <v>467</v>
      </c>
      <c r="G14" s="30">
        <f t="shared" si="1"/>
        <v>585</v>
      </c>
      <c r="H14" s="30">
        <f t="shared" si="2"/>
        <v>0.15</v>
      </c>
      <c r="I14" s="30">
        <f t="shared" si="3"/>
        <v>11475</v>
      </c>
      <c r="K14" s="227" t="s">
        <v>476</v>
      </c>
    </row>
    <row r="15" spans="1:22" x14ac:dyDescent="0.25">
      <c r="A15" s="31">
        <v>12</v>
      </c>
      <c r="B15" s="31" t="s">
        <v>41</v>
      </c>
      <c r="C15" s="31" t="s">
        <v>34</v>
      </c>
      <c r="D15" s="30">
        <f t="shared" si="0"/>
        <v>450</v>
      </c>
      <c r="E15" s="31">
        <v>87</v>
      </c>
      <c r="F15" s="31" t="s">
        <v>467</v>
      </c>
      <c r="G15" s="30">
        <f t="shared" si="1"/>
        <v>585</v>
      </c>
      <c r="H15" s="30">
        <f t="shared" si="2"/>
        <v>0.2</v>
      </c>
      <c r="I15" s="30">
        <f t="shared" si="3"/>
        <v>31320</v>
      </c>
      <c r="K15" s="227" t="s">
        <v>477</v>
      </c>
    </row>
    <row r="16" spans="1:22" x14ac:dyDescent="0.25">
      <c r="A16" s="29">
        <v>13</v>
      </c>
      <c r="B16" s="29" t="s">
        <v>41</v>
      </c>
      <c r="C16" s="29" t="s">
        <v>31</v>
      </c>
      <c r="D16" s="30">
        <f t="shared" si="0"/>
        <v>400</v>
      </c>
      <c r="E16" s="29">
        <v>28</v>
      </c>
      <c r="F16" s="29" t="s">
        <v>467</v>
      </c>
      <c r="G16" s="30">
        <f t="shared" si="1"/>
        <v>520</v>
      </c>
      <c r="H16" s="30">
        <f t="shared" si="2"/>
        <v>0.1</v>
      </c>
      <c r="I16" s="30">
        <f t="shared" si="3"/>
        <v>10080</v>
      </c>
      <c r="K16" s="227" t="s">
        <v>478</v>
      </c>
    </row>
    <row r="17" spans="1:11" x14ac:dyDescent="0.25">
      <c r="A17" s="31">
        <v>14</v>
      </c>
      <c r="B17" s="31" t="s">
        <v>39</v>
      </c>
      <c r="C17" s="31" t="s">
        <v>5</v>
      </c>
      <c r="D17" s="30">
        <f t="shared" si="0"/>
        <v>500</v>
      </c>
      <c r="E17" s="31">
        <v>30</v>
      </c>
      <c r="F17" s="31" t="s">
        <v>467</v>
      </c>
      <c r="G17" s="30">
        <f t="shared" si="1"/>
        <v>650</v>
      </c>
      <c r="H17" s="30">
        <f t="shared" si="2"/>
        <v>0.15</v>
      </c>
      <c r="I17" s="30">
        <f t="shared" si="3"/>
        <v>12750</v>
      </c>
    </row>
    <row r="18" spans="1:11" x14ac:dyDescent="0.25">
      <c r="A18" s="29">
        <v>15</v>
      </c>
      <c r="B18" s="29" t="s">
        <v>42</v>
      </c>
      <c r="C18" s="29" t="s">
        <v>5</v>
      </c>
      <c r="D18" s="30">
        <f t="shared" si="0"/>
        <v>500</v>
      </c>
      <c r="E18" s="29">
        <v>75</v>
      </c>
      <c r="F18" s="29" t="s">
        <v>472</v>
      </c>
      <c r="G18" s="30">
        <f t="shared" si="1"/>
        <v>550</v>
      </c>
      <c r="H18" s="30">
        <f t="shared" si="2"/>
        <v>0.2</v>
      </c>
      <c r="I18" s="30">
        <f t="shared" si="3"/>
        <v>30000</v>
      </c>
      <c r="K18" t="s">
        <v>479</v>
      </c>
    </row>
    <row r="19" spans="1:11" x14ac:dyDescent="0.25">
      <c r="A19" s="31">
        <v>16</v>
      </c>
      <c r="B19" s="31" t="s">
        <v>43</v>
      </c>
      <c r="C19" s="31" t="s">
        <v>31</v>
      </c>
      <c r="D19" s="30">
        <f t="shared" si="0"/>
        <v>400</v>
      </c>
      <c r="E19" s="31">
        <v>33</v>
      </c>
      <c r="F19" s="31" t="s">
        <v>472</v>
      </c>
      <c r="G19" s="30">
        <f t="shared" si="1"/>
        <v>440</v>
      </c>
      <c r="H19" s="30">
        <f t="shared" si="2"/>
        <v>0.15</v>
      </c>
      <c r="I19" s="30">
        <f t="shared" si="3"/>
        <v>11220</v>
      </c>
      <c r="K19" s="227" t="s">
        <v>480</v>
      </c>
    </row>
    <row r="20" spans="1:11" x14ac:dyDescent="0.25">
      <c r="A20" s="29">
        <v>17</v>
      </c>
      <c r="B20" s="29" t="s">
        <v>44</v>
      </c>
      <c r="C20" s="29" t="s">
        <v>7</v>
      </c>
      <c r="D20" s="30">
        <f t="shared" si="0"/>
        <v>450</v>
      </c>
      <c r="E20" s="29">
        <v>40</v>
      </c>
      <c r="F20" s="29" t="s">
        <v>467</v>
      </c>
      <c r="G20" s="30">
        <f t="shared" si="1"/>
        <v>585</v>
      </c>
      <c r="H20" s="30">
        <f t="shared" si="2"/>
        <v>0.15</v>
      </c>
      <c r="I20" s="30">
        <f t="shared" si="3"/>
        <v>15300</v>
      </c>
    </row>
    <row r="21" spans="1:11" x14ac:dyDescent="0.25">
      <c r="A21" s="31">
        <v>18</v>
      </c>
      <c r="B21" s="31" t="s">
        <v>45</v>
      </c>
      <c r="C21" s="31" t="s">
        <v>34</v>
      </c>
      <c r="D21" s="30">
        <f t="shared" si="0"/>
        <v>450</v>
      </c>
      <c r="E21" s="31">
        <v>63</v>
      </c>
      <c r="F21" s="31" t="s">
        <v>467</v>
      </c>
      <c r="G21" s="30">
        <f t="shared" si="1"/>
        <v>585</v>
      </c>
      <c r="H21" s="30">
        <f t="shared" si="2"/>
        <v>0.2</v>
      </c>
      <c r="I21" s="30">
        <f t="shared" si="3"/>
        <v>22680</v>
      </c>
    </row>
    <row r="22" spans="1:11" x14ac:dyDescent="0.25">
      <c r="A22" s="29">
        <v>19</v>
      </c>
      <c r="B22" s="29" t="s">
        <v>46</v>
      </c>
      <c r="C22" s="29" t="s">
        <v>31</v>
      </c>
      <c r="D22" s="30">
        <f t="shared" si="0"/>
        <v>400</v>
      </c>
      <c r="E22" s="29">
        <v>83</v>
      </c>
      <c r="F22" s="29" t="s">
        <v>467</v>
      </c>
      <c r="G22" s="30">
        <f t="shared" si="1"/>
        <v>520</v>
      </c>
      <c r="H22" s="30">
        <f t="shared" si="2"/>
        <v>0.2</v>
      </c>
      <c r="I22" s="30">
        <f t="shared" si="3"/>
        <v>26560</v>
      </c>
    </row>
    <row r="23" spans="1:11" x14ac:dyDescent="0.25">
      <c r="A23" s="31">
        <v>20</v>
      </c>
      <c r="B23" s="31" t="s">
        <v>47</v>
      </c>
      <c r="C23" s="31" t="s">
        <v>4</v>
      </c>
      <c r="D23" s="30">
        <f t="shared" si="0"/>
        <v>400</v>
      </c>
      <c r="E23" s="31">
        <v>33</v>
      </c>
      <c r="F23" s="31" t="s">
        <v>467</v>
      </c>
      <c r="G23" s="30">
        <f t="shared" si="1"/>
        <v>520</v>
      </c>
      <c r="H23" s="30">
        <f t="shared" si="2"/>
        <v>0.15</v>
      </c>
      <c r="I23" s="30">
        <f t="shared" si="3"/>
        <v>11220</v>
      </c>
    </row>
    <row r="24" spans="1:11" x14ac:dyDescent="0.25">
      <c r="A24" s="29">
        <v>21</v>
      </c>
      <c r="B24" s="29" t="s">
        <v>47</v>
      </c>
      <c r="C24" s="29" t="s">
        <v>31</v>
      </c>
      <c r="D24" s="30">
        <f t="shared" si="0"/>
        <v>400</v>
      </c>
      <c r="E24" s="29">
        <v>40</v>
      </c>
      <c r="F24" s="29" t="s">
        <v>467</v>
      </c>
      <c r="G24" s="30">
        <f t="shared" si="1"/>
        <v>520</v>
      </c>
      <c r="H24" s="30">
        <f t="shared" si="2"/>
        <v>0.15</v>
      </c>
      <c r="I24" s="30">
        <f t="shared" si="3"/>
        <v>13600</v>
      </c>
    </row>
    <row r="25" spans="1:11" x14ac:dyDescent="0.25">
      <c r="A25" s="31">
        <v>22</v>
      </c>
      <c r="B25" s="31" t="s">
        <v>48</v>
      </c>
      <c r="C25" s="31" t="s">
        <v>6</v>
      </c>
      <c r="D25" s="30">
        <f t="shared" si="0"/>
        <v>500</v>
      </c>
      <c r="E25" s="31">
        <v>76</v>
      </c>
      <c r="F25" s="31" t="s">
        <v>472</v>
      </c>
      <c r="G25" s="30">
        <f>IF(F25="K",D25+(D25*30%),D25+(D25*10%))</f>
        <v>550</v>
      </c>
      <c r="H25" s="30">
        <f t="shared" si="2"/>
        <v>0.2</v>
      </c>
      <c r="I25" s="30">
        <f t="shared" si="3"/>
        <v>30400</v>
      </c>
    </row>
    <row r="26" spans="1:11" x14ac:dyDescent="0.25">
      <c r="A26" s="29">
        <v>23</v>
      </c>
      <c r="B26" s="29" t="s">
        <v>49</v>
      </c>
      <c r="C26" s="29" t="s">
        <v>4</v>
      </c>
      <c r="D26" s="30">
        <f t="shared" si="0"/>
        <v>400</v>
      </c>
      <c r="E26" s="29">
        <v>30</v>
      </c>
      <c r="F26" s="29" t="s">
        <v>467</v>
      </c>
      <c r="G26" s="30">
        <f t="shared" si="1"/>
        <v>520</v>
      </c>
      <c r="H26" s="30">
        <f t="shared" si="2"/>
        <v>0.15</v>
      </c>
      <c r="I26" s="30">
        <f t="shared" si="3"/>
        <v>10200</v>
      </c>
    </row>
    <row r="27" spans="1:11" x14ac:dyDescent="0.25">
      <c r="A27" s="31">
        <v>24</v>
      </c>
      <c r="B27" s="31" t="s">
        <v>50</v>
      </c>
      <c r="C27" s="31" t="s">
        <v>34</v>
      </c>
      <c r="D27" s="30">
        <f t="shared" si="0"/>
        <v>450</v>
      </c>
      <c r="E27" s="31">
        <v>47</v>
      </c>
      <c r="F27" s="31" t="s">
        <v>467</v>
      </c>
      <c r="G27" s="30">
        <f t="shared" si="1"/>
        <v>585</v>
      </c>
      <c r="H27" s="30">
        <f t="shared" si="2"/>
        <v>0.15</v>
      </c>
      <c r="I27" s="30">
        <f t="shared" si="3"/>
        <v>17977.5</v>
      </c>
    </row>
    <row r="28" spans="1:11" x14ac:dyDescent="0.25">
      <c r="A28" s="29">
        <v>25</v>
      </c>
      <c r="B28" s="29" t="s">
        <v>51</v>
      </c>
      <c r="C28" s="29" t="s">
        <v>7</v>
      </c>
      <c r="D28" s="30">
        <f t="shared" si="0"/>
        <v>450</v>
      </c>
      <c r="E28" s="29">
        <v>25</v>
      </c>
      <c r="F28" s="29" t="s">
        <v>467</v>
      </c>
      <c r="G28" s="30">
        <f t="shared" si="1"/>
        <v>585</v>
      </c>
      <c r="H28" s="30">
        <f t="shared" si="2"/>
        <v>0.1</v>
      </c>
      <c r="I28" s="30">
        <f t="shared" si="3"/>
        <v>10125</v>
      </c>
    </row>
    <row r="29" spans="1:11" x14ac:dyDescent="0.25">
      <c r="A29" s="31">
        <v>26</v>
      </c>
      <c r="B29" s="31" t="s">
        <v>52</v>
      </c>
      <c r="C29" s="31" t="s">
        <v>4</v>
      </c>
      <c r="D29" s="30">
        <f t="shared" si="0"/>
        <v>400</v>
      </c>
      <c r="E29" s="31">
        <v>83</v>
      </c>
      <c r="F29" s="31" t="s">
        <v>472</v>
      </c>
      <c r="G29" s="30">
        <f t="shared" si="1"/>
        <v>440</v>
      </c>
      <c r="H29" s="30">
        <f t="shared" si="2"/>
        <v>0.2</v>
      </c>
      <c r="I29" s="30">
        <f t="shared" si="3"/>
        <v>26560</v>
      </c>
    </row>
    <row r="30" spans="1:11" x14ac:dyDescent="0.25">
      <c r="A30" s="29">
        <v>27</v>
      </c>
      <c r="B30" s="29" t="s">
        <v>53</v>
      </c>
      <c r="C30" s="29" t="s">
        <v>4</v>
      </c>
      <c r="D30" s="30">
        <f t="shared" si="0"/>
        <v>400</v>
      </c>
      <c r="E30" s="29">
        <v>40</v>
      </c>
      <c r="F30" s="29" t="s">
        <v>467</v>
      </c>
      <c r="G30" s="30">
        <f t="shared" si="1"/>
        <v>520</v>
      </c>
      <c r="H30" s="30">
        <f t="shared" si="2"/>
        <v>0.15</v>
      </c>
      <c r="I30" s="30">
        <f t="shared" si="3"/>
        <v>13600</v>
      </c>
    </row>
    <row r="31" spans="1:11" x14ac:dyDescent="0.25">
      <c r="A31" s="31">
        <v>28</v>
      </c>
      <c r="B31" s="31" t="s">
        <v>54</v>
      </c>
      <c r="C31" s="31" t="s">
        <v>7</v>
      </c>
      <c r="D31" s="30">
        <f t="shared" si="0"/>
        <v>450</v>
      </c>
      <c r="E31" s="31">
        <v>28</v>
      </c>
      <c r="F31" s="31" t="s">
        <v>467</v>
      </c>
      <c r="G31" s="30">
        <f t="shared" si="1"/>
        <v>585</v>
      </c>
      <c r="H31" s="30">
        <f t="shared" si="2"/>
        <v>0.1</v>
      </c>
      <c r="I31" s="30">
        <f t="shared" si="3"/>
        <v>11340</v>
      </c>
    </row>
    <row r="32" spans="1:11" x14ac:dyDescent="0.25">
      <c r="A32" s="29">
        <v>29</v>
      </c>
      <c r="B32" s="29" t="s">
        <v>33</v>
      </c>
      <c r="C32" s="29" t="s">
        <v>5</v>
      </c>
      <c r="D32" s="30">
        <f t="shared" si="0"/>
        <v>500</v>
      </c>
      <c r="E32" s="29">
        <v>10</v>
      </c>
      <c r="F32" s="29" t="s">
        <v>467</v>
      </c>
      <c r="G32" s="30">
        <f t="shared" si="1"/>
        <v>650</v>
      </c>
      <c r="H32" s="30">
        <f t="shared" si="2"/>
        <v>0</v>
      </c>
      <c r="I32" s="30">
        <f t="shared" si="3"/>
        <v>5000</v>
      </c>
    </row>
    <row r="33" spans="1:9" x14ac:dyDescent="0.25">
      <c r="A33" s="31">
        <v>30</v>
      </c>
      <c r="B33" s="31" t="s">
        <v>48</v>
      </c>
      <c r="C33" s="31" t="s">
        <v>5</v>
      </c>
      <c r="D33" s="30">
        <f t="shared" si="0"/>
        <v>500</v>
      </c>
      <c r="E33" s="31">
        <v>72</v>
      </c>
      <c r="F33" s="31" t="s">
        <v>467</v>
      </c>
      <c r="G33" s="30">
        <f t="shared" si="1"/>
        <v>650</v>
      </c>
      <c r="H33" s="30">
        <f t="shared" si="2"/>
        <v>0.2</v>
      </c>
      <c r="I33" s="30">
        <f t="shared" si="3"/>
        <v>28800</v>
      </c>
    </row>
    <row r="34" spans="1:9" x14ac:dyDescent="0.25">
      <c r="A34" s="29">
        <v>31</v>
      </c>
      <c r="B34" s="29" t="s">
        <v>55</v>
      </c>
      <c r="C34" s="29" t="s">
        <v>31</v>
      </c>
      <c r="D34" s="30">
        <f t="shared" si="0"/>
        <v>400</v>
      </c>
      <c r="E34" s="29">
        <v>45</v>
      </c>
      <c r="F34" s="29" t="s">
        <v>472</v>
      </c>
      <c r="G34" s="30">
        <f t="shared" si="1"/>
        <v>440</v>
      </c>
      <c r="H34" s="30">
        <f t="shared" si="2"/>
        <v>0.15</v>
      </c>
      <c r="I34" s="30">
        <f t="shared" si="3"/>
        <v>15300</v>
      </c>
    </row>
    <row r="35" spans="1:9" x14ac:dyDescent="0.25">
      <c r="A35" s="31">
        <v>32</v>
      </c>
      <c r="B35" s="31" t="s">
        <v>32</v>
      </c>
      <c r="C35" s="31" t="s">
        <v>4</v>
      </c>
      <c r="D35" s="30">
        <f t="shared" si="0"/>
        <v>400</v>
      </c>
      <c r="E35" s="31">
        <v>72</v>
      </c>
      <c r="F35" s="31" t="s">
        <v>467</v>
      </c>
      <c r="G35" s="30">
        <f t="shared" si="1"/>
        <v>520</v>
      </c>
      <c r="H35" s="30">
        <f t="shared" si="2"/>
        <v>0.2</v>
      </c>
      <c r="I35" s="30">
        <f t="shared" si="3"/>
        <v>23040</v>
      </c>
    </row>
    <row r="36" spans="1:9" x14ac:dyDescent="0.25">
      <c r="A36" s="29">
        <v>33</v>
      </c>
      <c r="B36" s="29" t="s">
        <v>56</v>
      </c>
      <c r="C36" s="29" t="s">
        <v>31</v>
      </c>
      <c r="D36" s="30">
        <f t="shared" si="0"/>
        <v>400</v>
      </c>
      <c r="E36" s="29">
        <v>10</v>
      </c>
      <c r="F36" s="29" t="s">
        <v>467</v>
      </c>
      <c r="G36" s="30">
        <f t="shared" si="1"/>
        <v>520</v>
      </c>
      <c r="H36" s="30">
        <f t="shared" si="2"/>
        <v>0</v>
      </c>
      <c r="I36" s="30">
        <f t="shared" si="3"/>
        <v>4000</v>
      </c>
    </row>
    <row r="37" spans="1:9" x14ac:dyDescent="0.25">
      <c r="A37" s="31">
        <v>34</v>
      </c>
      <c r="B37" s="31" t="s">
        <v>57</v>
      </c>
      <c r="C37" s="31" t="s">
        <v>34</v>
      </c>
      <c r="D37" s="30">
        <f t="shared" si="0"/>
        <v>450</v>
      </c>
      <c r="E37" s="31">
        <v>59</v>
      </c>
      <c r="F37" s="31" t="s">
        <v>472</v>
      </c>
      <c r="G37" s="30">
        <f t="shared" si="1"/>
        <v>495</v>
      </c>
      <c r="H37" s="30">
        <f t="shared" si="2"/>
        <v>0.2</v>
      </c>
      <c r="I37" s="30">
        <f t="shared" si="3"/>
        <v>21240</v>
      </c>
    </row>
    <row r="38" spans="1:9" x14ac:dyDescent="0.25">
      <c r="A38" s="29">
        <v>35</v>
      </c>
      <c r="B38" s="29" t="s">
        <v>45</v>
      </c>
      <c r="C38" s="29" t="s">
        <v>31</v>
      </c>
      <c r="D38" s="30">
        <f t="shared" si="0"/>
        <v>400</v>
      </c>
      <c r="E38" s="29">
        <v>30</v>
      </c>
      <c r="F38" s="29" t="s">
        <v>467</v>
      </c>
      <c r="G38" s="30">
        <f t="shared" si="1"/>
        <v>520</v>
      </c>
      <c r="H38" s="30">
        <f t="shared" si="2"/>
        <v>0.15</v>
      </c>
      <c r="I38" s="30">
        <f t="shared" si="3"/>
        <v>10200</v>
      </c>
    </row>
    <row r="39" spans="1:9" x14ac:dyDescent="0.25">
      <c r="A39" s="31">
        <v>36</v>
      </c>
      <c r="B39" s="31" t="s">
        <v>58</v>
      </c>
      <c r="C39" s="31" t="s">
        <v>34</v>
      </c>
      <c r="D39" s="30">
        <f t="shared" si="0"/>
        <v>450</v>
      </c>
      <c r="E39" s="31">
        <v>30</v>
      </c>
      <c r="F39" s="31" t="s">
        <v>467</v>
      </c>
      <c r="G39" s="30">
        <f t="shared" si="1"/>
        <v>585</v>
      </c>
      <c r="H39" s="30">
        <f t="shared" si="2"/>
        <v>0.15</v>
      </c>
      <c r="I39" s="30">
        <f t="shared" si="3"/>
        <v>11475</v>
      </c>
    </row>
    <row r="40" spans="1:9" x14ac:dyDescent="0.25">
      <c r="A40" s="29">
        <v>37</v>
      </c>
      <c r="B40" s="29" t="s">
        <v>52</v>
      </c>
      <c r="C40" s="29" t="s">
        <v>31</v>
      </c>
      <c r="D40" s="30">
        <f t="shared" si="0"/>
        <v>400</v>
      </c>
      <c r="E40" s="29">
        <v>25</v>
      </c>
      <c r="F40" s="29" t="s">
        <v>467</v>
      </c>
      <c r="G40" s="30">
        <f t="shared" si="1"/>
        <v>520</v>
      </c>
      <c r="H40" s="30">
        <f t="shared" si="2"/>
        <v>0.1</v>
      </c>
      <c r="I40" s="30">
        <f t="shared" si="3"/>
        <v>9000</v>
      </c>
    </row>
    <row r="41" spans="1:9" x14ac:dyDescent="0.25">
      <c r="A41" s="31">
        <v>38</v>
      </c>
      <c r="B41" s="31" t="s">
        <v>50</v>
      </c>
      <c r="C41" s="31" t="s">
        <v>31</v>
      </c>
      <c r="D41" s="30">
        <f t="shared" si="0"/>
        <v>400</v>
      </c>
      <c r="E41" s="31">
        <v>63</v>
      </c>
      <c r="F41" s="31" t="s">
        <v>467</v>
      </c>
      <c r="G41" s="30">
        <f t="shared" si="1"/>
        <v>520</v>
      </c>
      <c r="H41" s="30">
        <f t="shared" si="2"/>
        <v>0.2</v>
      </c>
      <c r="I41" s="30">
        <f t="shared" si="3"/>
        <v>20160</v>
      </c>
    </row>
    <row r="42" spans="1:9" x14ac:dyDescent="0.25">
      <c r="A42" s="29">
        <v>39</v>
      </c>
      <c r="B42" s="29" t="s">
        <v>45</v>
      </c>
      <c r="C42" s="29" t="s">
        <v>6</v>
      </c>
      <c r="D42" s="30">
        <f t="shared" si="0"/>
        <v>500</v>
      </c>
      <c r="E42" s="29">
        <v>74</v>
      </c>
      <c r="F42" s="29" t="s">
        <v>472</v>
      </c>
      <c r="G42" s="30">
        <f t="shared" si="1"/>
        <v>550</v>
      </c>
      <c r="H42" s="30">
        <f t="shared" si="2"/>
        <v>0.2</v>
      </c>
      <c r="I42" s="30">
        <f t="shared" si="3"/>
        <v>29600</v>
      </c>
    </row>
    <row r="43" spans="1:9" x14ac:dyDescent="0.25">
      <c r="A43" s="31">
        <v>40</v>
      </c>
      <c r="B43" s="31" t="s">
        <v>59</v>
      </c>
      <c r="C43" s="31" t="s">
        <v>7</v>
      </c>
      <c r="D43" s="30">
        <f t="shared" si="0"/>
        <v>450</v>
      </c>
      <c r="E43" s="31">
        <v>10</v>
      </c>
      <c r="F43" s="31" t="s">
        <v>467</v>
      </c>
      <c r="G43" s="30">
        <f t="shared" si="1"/>
        <v>585</v>
      </c>
      <c r="H43" s="30">
        <f t="shared" si="2"/>
        <v>0</v>
      </c>
      <c r="I43" s="30">
        <f t="shared" si="3"/>
        <v>4500</v>
      </c>
    </row>
    <row r="44" spans="1:9" x14ac:dyDescent="0.25">
      <c r="A44" s="29">
        <v>41</v>
      </c>
      <c r="B44" s="29" t="s">
        <v>41</v>
      </c>
      <c r="C44" s="29" t="s">
        <v>6</v>
      </c>
      <c r="D44" s="30">
        <f t="shared" si="0"/>
        <v>500</v>
      </c>
      <c r="E44" s="29">
        <v>56</v>
      </c>
      <c r="F44" s="29" t="s">
        <v>472</v>
      </c>
      <c r="G44" s="30">
        <f t="shared" si="1"/>
        <v>550</v>
      </c>
      <c r="H44" s="30">
        <f t="shared" si="2"/>
        <v>0.2</v>
      </c>
      <c r="I44" s="30">
        <f t="shared" si="3"/>
        <v>22400</v>
      </c>
    </row>
    <row r="45" spans="1:9" x14ac:dyDescent="0.25">
      <c r="A45" s="31">
        <v>42</v>
      </c>
      <c r="B45" s="31" t="s">
        <v>29</v>
      </c>
      <c r="C45" s="31" t="s">
        <v>4</v>
      </c>
      <c r="D45" s="30">
        <f t="shared" si="0"/>
        <v>400</v>
      </c>
      <c r="E45" s="31">
        <v>59</v>
      </c>
      <c r="F45" s="31" t="s">
        <v>472</v>
      </c>
      <c r="G45" s="30">
        <f t="shared" si="1"/>
        <v>440</v>
      </c>
      <c r="H45" s="30">
        <f t="shared" si="2"/>
        <v>0.2</v>
      </c>
      <c r="I45" s="30">
        <f t="shared" si="3"/>
        <v>18880</v>
      </c>
    </row>
    <row r="46" spans="1:9" x14ac:dyDescent="0.25">
      <c r="A46" s="29">
        <v>43</v>
      </c>
      <c r="B46" s="29" t="s">
        <v>85</v>
      </c>
      <c r="C46" s="29" t="s">
        <v>31</v>
      </c>
      <c r="D46" s="30">
        <f t="shared" si="0"/>
        <v>400</v>
      </c>
      <c r="E46" s="29">
        <v>58</v>
      </c>
      <c r="F46" s="29" t="s">
        <v>467</v>
      </c>
      <c r="G46" s="30">
        <f t="shared" si="1"/>
        <v>520</v>
      </c>
      <c r="H46" s="30">
        <f t="shared" si="2"/>
        <v>0.2</v>
      </c>
      <c r="I46" s="30">
        <f t="shared" si="3"/>
        <v>18560</v>
      </c>
    </row>
    <row r="47" spans="1:9" x14ac:dyDescent="0.25">
      <c r="A47" s="31">
        <v>44</v>
      </c>
      <c r="B47" s="31" t="s">
        <v>308</v>
      </c>
      <c r="C47" s="31" t="s">
        <v>34</v>
      </c>
      <c r="D47" s="30">
        <f t="shared" si="0"/>
        <v>450</v>
      </c>
      <c r="E47" s="31">
        <v>33</v>
      </c>
      <c r="F47" s="31" t="s">
        <v>467</v>
      </c>
      <c r="G47" s="30">
        <f t="shared" si="1"/>
        <v>585</v>
      </c>
      <c r="H47" s="30">
        <f t="shared" si="2"/>
        <v>0.15</v>
      </c>
      <c r="I47" s="30">
        <f t="shared" si="3"/>
        <v>12622.5</v>
      </c>
    </row>
    <row r="48" spans="1:9" x14ac:dyDescent="0.25">
      <c r="A48" s="29">
        <v>45</v>
      </c>
      <c r="B48" s="29" t="s">
        <v>50</v>
      </c>
      <c r="C48" s="29" t="s">
        <v>6</v>
      </c>
      <c r="D48" s="30">
        <f t="shared" si="0"/>
        <v>500</v>
      </c>
      <c r="E48" s="29">
        <v>64</v>
      </c>
      <c r="F48" s="29" t="s">
        <v>467</v>
      </c>
      <c r="G48" s="30">
        <f t="shared" si="1"/>
        <v>650</v>
      </c>
      <c r="H48" s="30">
        <f t="shared" si="2"/>
        <v>0.2</v>
      </c>
      <c r="I48" s="30">
        <f t="shared" si="3"/>
        <v>25600</v>
      </c>
    </row>
    <row r="49" spans="1:9" x14ac:dyDescent="0.25">
      <c r="A49" s="31">
        <v>46</v>
      </c>
      <c r="B49" s="31" t="s">
        <v>42</v>
      </c>
      <c r="C49" s="31" t="s">
        <v>6</v>
      </c>
      <c r="D49" s="30">
        <f t="shared" si="0"/>
        <v>500</v>
      </c>
      <c r="E49" s="31">
        <v>89</v>
      </c>
      <c r="F49" s="31" t="s">
        <v>472</v>
      </c>
      <c r="G49" s="30">
        <f t="shared" si="1"/>
        <v>550</v>
      </c>
      <c r="H49" s="30">
        <f t="shared" si="2"/>
        <v>0.2</v>
      </c>
      <c r="I49" s="30">
        <f t="shared" si="3"/>
        <v>35600</v>
      </c>
    </row>
    <row r="50" spans="1:9" x14ac:dyDescent="0.25">
      <c r="A50" s="29">
        <v>47</v>
      </c>
      <c r="B50" s="29" t="s">
        <v>322</v>
      </c>
      <c r="C50" s="29" t="s">
        <v>31</v>
      </c>
      <c r="D50" s="30">
        <f t="shared" si="0"/>
        <v>400</v>
      </c>
      <c r="E50" s="29">
        <v>67</v>
      </c>
      <c r="F50" s="29" t="s">
        <v>467</v>
      </c>
      <c r="G50" s="30">
        <f t="shared" si="1"/>
        <v>520</v>
      </c>
      <c r="H50" s="30">
        <f t="shared" si="2"/>
        <v>0.2</v>
      </c>
      <c r="I50" s="30">
        <f t="shared" si="3"/>
        <v>21440</v>
      </c>
    </row>
    <row r="51" spans="1:9" x14ac:dyDescent="0.25">
      <c r="A51" s="31">
        <v>48</v>
      </c>
      <c r="B51" s="31" t="s">
        <v>89</v>
      </c>
      <c r="C51" s="31" t="s">
        <v>31</v>
      </c>
      <c r="D51" s="30">
        <f t="shared" si="0"/>
        <v>400</v>
      </c>
      <c r="E51" s="31">
        <v>83</v>
      </c>
      <c r="F51" s="31" t="s">
        <v>467</v>
      </c>
      <c r="G51" s="30">
        <f t="shared" si="1"/>
        <v>520</v>
      </c>
      <c r="H51" s="30">
        <f t="shared" si="2"/>
        <v>0.2</v>
      </c>
      <c r="I51" s="30">
        <f t="shared" si="3"/>
        <v>26560</v>
      </c>
    </row>
    <row r="52" spans="1:9" x14ac:dyDescent="0.25">
      <c r="A52" s="29">
        <v>49</v>
      </c>
      <c r="B52" s="29" t="s">
        <v>319</v>
      </c>
      <c r="C52" s="29" t="s">
        <v>4</v>
      </c>
      <c r="D52" s="30">
        <f t="shared" si="0"/>
        <v>400</v>
      </c>
      <c r="E52" s="29">
        <v>80</v>
      </c>
      <c r="F52" s="29" t="s">
        <v>467</v>
      </c>
      <c r="G52" s="30">
        <f t="shared" si="1"/>
        <v>520</v>
      </c>
      <c r="H52" s="30">
        <f t="shared" si="2"/>
        <v>0.2</v>
      </c>
      <c r="I52" s="30">
        <f t="shared" si="3"/>
        <v>25600</v>
      </c>
    </row>
    <row r="53" spans="1:9" x14ac:dyDescent="0.25">
      <c r="A53" s="31">
        <v>50</v>
      </c>
      <c r="B53" s="31" t="s">
        <v>53</v>
      </c>
      <c r="C53" s="31" t="s">
        <v>6</v>
      </c>
      <c r="D53" s="30">
        <f t="shared" si="0"/>
        <v>500</v>
      </c>
      <c r="E53" s="31">
        <v>85</v>
      </c>
      <c r="F53" s="31" t="s">
        <v>472</v>
      </c>
      <c r="G53" s="30">
        <f t="shared" si="1"/>
        <v>550</v>
      </c>
      <c r="H53" s="30">
        <f t="shared" si="2"/>
        <v>0.2</v>
      </c>
      <c r="I53" s="30">
        <f t="shared" si="3"/>
        <v>34000</v>
      </c>
    </row>
    <row r="54" spans="1:9" x14ac:dyDescent="0.25">
      <c r="A54" s="29">
        <v>51</v>
      </c>
      <c r="B54" s="29" t="s">
        <v>318</v>
      </c>
      <c r="C54" s="29" t="s">
        <v>34</v>
      </c>
      <c r="D54" s="30">
        <f t="shared" si="0"/>
        <v>450</v>
      </c>
      <c r="E54" s="29">
        <v>40</v>
      </c>
      <c r="F54" s="29" t="s">
        <v>472</v>
      </c>
      <c r="G54" s="30">
        <f t="shared" si="1"/>
        <v>495</v>
      </c>
      <c r="H54" s="30">
        <f t="shared" si="2"/>
        <v>0.15</v>
      </c>
      <c r="I54" s="30">
        <f t="shared" si="3"/>
        <v>15300</v>
      </c>
    </row>
    <row r="55" spans="1:9" x14ac:dyDescent="0.25">
      <c r="A55" s="31">
        <v>52</v>
      </c>
      <c r="B55" s="31" t="s">
        <v>312</v>
      </c>
      <c r="C55" s="31" t="s">
        <v>7</v>
      </c>
      <c r="D55" s="30">
        <f t="shared" si="0"/>
        <v>450</v>
      </c>
      <c r="E55" s="31">
        <v>47</v>
      </c>
      <c r="F55" s="31" t="s">
        <v>467</v>
      </c>
      <c r="G55" s="30">
        <f t="shared" si="1"/>
        <v>585</v>
      </c>
      <c r="H55" s="30">
        <f t="shared" si="2"/>
        <v>0.15</v>
      </c>
      <c r="I55" s="30">
        <f t="shared" si="3"/>
        <v>17977.5</v>
      </c>
    </row>
    <row r="56" spans="1:9" x14ac:dyDescent="0.25">
      <c r="A56" s="29">
        <v>53</v>
      </c>
      <c r="B56" s="29" t="s">
        <v>42</v>
      </c>
      <c r="C56" s="29" t="s">
        <v>5</v>
      </c>
      <c r="D56" s="30">
        <f t="shared" si="0"/>
        <v>500</v>
      </c>
      <c r="E56" s="29">
        <v>33</v>
      </c>
      <c r="F56" s="29" t="s">
        <v>472</v>
      </c>
      <c r="G56" s="30">
        <f t="shared" si="1"/>
        <v>550</v>
      </c>
      <c r="H56" s="30">
        <f t="shared" si="2"/>
        <v>0.15</v>
      </c>
      <c r="I56" s="30">
        <f t="shared" si="3"/>
        <v>14025</v>
      </c>
    </row>
    <row r="57" spans="1:9" x14ac:dyDescent="0.25">
      <c r="A57" s="31">
        <v>54</v>
      </c>
      <c r="B57" s="31" t="s">
        <v>39</v>
      </c>
      <c r="C57" s="31" t="s">
        <v>6</v>
      </c>
      <c r="D57" s="30">
        <f t="shared" si="0"/>
        <v>500</v>
      </c>
      <c r="E57" s="31">
        <v>79</v>
      </c>
      <c r="F57" s="31" t="s">
        <v>467</v>
      </c>
      <c r="G57" s="30">
        <f t="shared" si="1"/>
        <v>650</v>
      </c>
      <c r="H57" s="30">
        <f t="shared" si="2"/>
        <v>0.2</v>
      </c>
      <c r="I57" s="30">
        <f t="shared" si="3"/>
        <v>31600</v>
      </c>
    </row>
    <row r="58" spans="1:9" x14ac:dyDescent="0.25">
      <c r="A58" s="29">
        <v>55</v>
      </c>
      <c r="B58" s="29" t="s">
        <v>317</v>
      </c>
      <c r="C58" s="29" t="s">
        <v>4</v>
      </c>
      <c r="D58" s="30">
        <f t="shared" si="0"/>
        <v>400</v>
      </c>
      <c r="E58" s="29">
        <v>30</v>
      </c>
      <c r="F58" s="29" t="s">
        <v>472</v>
      </c>
      <c r="G58" s="30">
        <f t="shared" si="1"/>
        <v>440</v>
      </c>
      <c r="H58" s="30">
        <f t="shared" si="2"/>
        <v>0.15</v>
      </c>
      <c r="I58" s="30">
        <f t="shared" si="3"/>
        <v>10200</v>
      </c>
    </row>
    <row r="59" spans="1:9" x14ac:dyDescent="0.25">
      <c r="A59" s="31">
        <v>56</v>
      </c>
      <c r="B59" s="31" t="s">
        <v>35</v>
      </c>
      <c r="C59" s="31" t="s">
        <v>4</v>
      </c>
      <c r="D59" s="30">
        <f t="shared" si="0"/>
        <v>400</v>
      </c>
      <c r="E59" s="31">
        <v>47</v>
      </c>
      <c r="F59" s="31" t="s">
        <v>467</v>
      </c>
      <c r="G59" s="30">
        <f t="shared" si="1"/>
        <v>520</v>
      </c>
      <c r="H59" s="30">
        <f t="shared" si="2"/>
        <v>0.15</v>
      </c>
      <c r="I59" s="30">
        <f t="shared" si="3"/>
        <v>15980</v>
      </c>
    </row>
    <row r="60" spans="1:9" x14ac:dyDescent="0.25">
      <c r="A60" s="29">
        <v>57</v>
      </c>
      <c r="B60" s="29" t="s">
        <v>43</v>
      </c>
      <c r="C60" s="29" t="s">
        <v>6</v>
      </c>
      <c r="D60" s="30">
        <f t="shared" si="0"/>
        <v>500</v>
      </c>
      <c r="E60" s="29">
        <v>85</v>
      </c>
      <c r="F60" s="29" t="s">
        <v>472</v>
      </c>
      <c r="G60" s="30">
        <f t="shared" si="1"/>
        <v>550</v>
      </c>
      <c r="H60" s="30">
        <f t="shared" si="2"/>
        <v>0.2</v>
      </c>
      <c r="I60" s="30">
        <f t="shared" si="3"/>
        <v>34000</v>
      </c>
    </row>
    <row r="61" spans="1:9" x14ac:dyDescent="0.25">
      <c r="A61" s="31">
        <v>58</v>
      </c>
      <c r="B61" s="31" t="s">
        <v>87</v>
      </c>
      <c r="C61" s="31" t="s">
        <v>6</v>
      </c>
      <c r="D61" s="30">
        <f t="shared" si="0"/>
        <v>500</v>
      </c>
      <c r="E61" s="31">
        <v>59</v>
      </c>
      <c r="F61" s="31" t="s">
        <v>467</v>
      </c>
      <c r="G61" s="30">
        <f t="shared" si="1"/>
        <v>650</v>
      </c>
      <c r="H61" s="30">
        <f t="shared" si="2"/>
        <v>0.2</v>
      </c>
      <c r="I61" s="30">
        <f t="shared" si="3"/>
        <v>23600</v>
      </c>
    </row>
    <row r="62" spans="1:9" x14ac:dyDescent="0.25">
      <c r="A62" s="29">
        <v>59</v>
      </c>
      <c r="B62" s="29" t="s">
        <v>318</v>
      </c>
      <c r="C62" s="29" t="s">
        <v>4</v>
      </c>
      <c r="D62" s="30">
        <f t="shared" si="0"/>
        <v>400</v>
      </c>
      <c r="E62" s="29">
        <v>63</v>
      </c>
      <c r="F62" s="29" t="s">
        <v>467</v>
      </c>
      <c r="G62" s="30">
        <f t="shared" si="1"/>
        <v>520</v>
      </c>
      <c r="H62" s="30">
        <f t="shared" si="2"/>
        <v>0.2</v>
      </c>
      <c r="I62" s="30">
        <f t="shared" si="3"/>
        <v>20160</v>
      </c>
    </row>
    <row r="63" spans="1:9" x14ac:dyDescent="0.25">
      <c r="A63" s="31">
        <v>60</v>
      </c>
      <c r="B63" s="31" t="s">
        <v>48</v>
      </c>
      <c r="C63" s="31" t="s">
        <v>5</v>
      </c>
      <c r="D63" s="30">
        <f t="shared" si="0"/>
        <v>500</v>
      </c>
      <c r="E63" s="31">
        <v>25</v>
      </c>
      <c r="F63" s="31" t="s">
        <v>467</v>
      </c>
      <c r="G63" s="30">
        <f t="shared" si="1"/>
        <v>650</v>
      </c>
      <c r="H63" s="30">
        <f t="shared" si="2"/>
        <v>0.1</v>
      </c>
      <c r="I63" s="30">
        <f t="shared" si="3"/>
        <v>11250</v>
      </c>
    </row>
    <row r="64" spans="1:9" x14ac:dyDescent="0.25">
      <c r="A64" s="29">
        <v>61</v>
      </c>
      <c r="B64" s="29" t="s">
        <v>302</v>
      </c>
      <c r="C64" s="29" t="s">
        <v>31</v>
      </c>
      <c r="D64" s="30">
        <f t="shared" si="0"/>
        <v>400</v>
      </c>
      <c r="E64" s="29">
        <v>30</v>
      </c>
      <c r="F64" s="29" t="s">
        <v>472</v>
      </c>
      <c r="G64" s="30">
        <f t="shared" si="1"/>
        <v>440</v>
      </c>
      <c r="H64" s="30">
        <f t="shared" si="2"/>
        <v>0.15</v>
      </c>
      <c r="I64" s="30">
        <f t="shared" si="3"/>
        <v>10200</v>
      </c>
    </row>
    <row r="65" spans="1:9" x14ac:dyDescent="0.25">
      <c r="A65" s="31">
        <v>62</v>
      </c>
      <c r="B65" s="31" t="s">
        <v>38</v>
      </c>
      <c r="C65" s="31" t="s">
        <v>4</v>
      </c>
      <c r="D65" s="30">
        <f t="shared" si="0"/>
        <v>400</v>
      </c>
      <c r="E65" s="31">
        <v>75</v>
      </c>
      <c r="F65" s="31" t="s">
        <v>467</v>
      </c>
      <c r="G65" s="30">
        <f t="shared" si="1"/>
        <v>520</v>
      </c>
      <c r="H65" s="30">
        <f t="shared" si="2"/>
        <v>0.2</v>
      </c>
      <c r="I65" s="30">
        <f t="shared" si="3"/>
        <v>24000</v>
      </c>
    </row>
    <row r="66" spans="1:9" x14ac:dyDescent="0.25">
      <c r="A66" s="29">
        <v>63</v>
      </c>
      <c r="B66" s="29" t="s">
        <v>89</v>
      </c>
      <c r="C66" s="29" t="s">
        <v>34</v>
      </c>
      <c r="D66" s="30">
        <f t="shared" si="0"/>
        <v>450</v>
      </c>
      <c r="E66" s="29">
        <v>28</v>
      </c>
      <c r="F66" s="29" t="s">
        <v>472</v>
      </c>
      <c r="G66" s="30">
        <f t="shared" si="1"/>
        <v>495</v>
      </c>
      <c r="H66" s="30">
        <f t="shared" si="2"/>
        <v>0.1</v>
      </c>
      <c r="I66" s="30">
        <f t="shared" si="3"/>
        <v>11340</v>
      </c>
    </row>
    <row r="67" spans="1:9" x14ac:dyDescent="0.25">
      <c r="A67" s="31">
        <v>64</v>
      </c>
      <c r="B67" s="31" t="s">
        <v>53</v>
      </c>
      <c r="C67" s="31" t="s">
        <v>5</v>
      </c>
      <c r="D67" s="30">
        <f t="shared" si="0"/>
        <v>500</v>
      </c>
      <c r="E67" s="31">
        <v>80</v>
      </c>
      <c r="F67" s="31" t="s">
        <v>472</v>
      </c>
      <c r="G67" s="30">
        <f t="shared" si="1"/>
        <v>550</v>
      </c>
      <c r="H67" s="30">
        <f t="shared" si="2"/>
        <v>0.2</v>
      </c>
      <c r="I67" s="30">
        <f t="shared" si="3"/>
        <v>32000</v>
      </c>
    </row>
    <row r="68" spans="1:9" x14ac:dyDescent="0.25">
      <c r="A68" s="29">
        <v>65</v>
      </c>
      <c r="B68" s="29" t="s">
        <v>52</v>
      </c>
      <c r="C68" s="29" t="s">
        <v>34</v>
      </c>
      <c r="D68" s="30">
        <f t="shared" si="0"/>
        <v>450</v>
      </c>
      <c r="E68" s="29">
        <v>33</v>
      </c>
      <c r="F68" s="29" t="s">
        <v>472</v>
      </c>
      <c r="G68" s="30">
        <f t="shared" si="1"/>
        <v>495</v>
      </c>
      <c r="H68" s="30">
        <f t="shared" si="2"/>
        <v>0.15</v>
      </c>
      <c r="I68" s="30">
        <f t="shared" si="3"/>
        <v>12622.5</v>
      </c>
    </row>
    <row r="69" spans="1:9" x14ac:dyDescent="0.25">
      <c r="A69" s="31">
        <v>66</v>
      </c>
      <c r="B69" s="31" t="s">
        <v>86</v>
      </c>
      <c r="C69" s="31" t="s">
        <v>31</v>
      </c>
      <c r="D69" s="30">
        <f t="shared" ref="D69:D80" si="4">HLOOKUP(C69,$Q$5:$V$6,2,FALSE)</f>
        <v>400</v>
      </c>
      <c r="E69" s="31">
        <v>40</v>
      </c>
      <c r="F69" s="31" t="s">
        <v>467</v>
      </c>
      <c r="G69" s="30">
        <f t="shared" ref="G69:G80" si="5">IF(F69="K",D69+(D69*30%),D69+(D69*10%))</f>
        <v>520</v>
      </c>
      <c r="H69" s="30">
        <f t="shared" ref="H69:H80" si="6">IF(E69&gt;50,20%,IF(AND(E69&gt;29,E69&lt;51),15%,IF(AND(E69&gt;19,E69&lt;30),10%,0%)))</f>
        <v>0.15</v>
      </c>
      <c r="I69" s="30">
        <f t="shared" ref="I69:I80" si="7">IF(E69&gt;50,(D69-(D69*20%))*E69,IF(AND(E69&gt;29,E69&lt;51),(D69-(D69*15%))*E69,IF(AND(E69&gt;19,E69&lt;30),(D69-(D69*10%))*E69,D69*E69)))</f>
        <v>13600</v>
      </c>
    </row>
    <row r="70" spans="1:9" x14ac:dyDescent="0.25">
      <c r="A70" s="29">
        <v>67</v>
      </c>
      <c r="B70" s="29" t="s">
        <v>49</v>
      </c>
      <c r="C70" s="29" t="s">
        <v>5</v>
      </c>
      <c r="D70" s="30">
        <f t="shared" si="4"/>
        <v>500</v>
      </c>
      <c r="E70" s="29">
        <v>87</v>
      </c>
      <c r="F70" s="29" t="s">
        <v>467</v>
      </c>
      <c r="G70" s="30">
        <f t="shared" si="5"/>
        <v>650</v>
      </c>
      <c r="H70" s="30">
        <f t="shared" si="6"/>
        <v>0.2</v>
      </c>
      <c r="I70" s="30">
        <f t="shared" si="7"/>
        <v>34800</v>
      </c>
    </row>
    <row r="71" spans="1:9" x14ac:dyDescent="0.25">
      <c r="A71" s="31">
        <v>68</v>
      </c>
      <c r="B71" s="31" t="s">
        <v>303</v>
      </c>
      <c r="C71" s="31" t="s">
        <v>31</v>
      </c>
      <c r="D71" s="30">
        <f t="shared" si="4"/>
        <v>400</v>
      </c>
      <c r="E71" s="31">
        <v>33</v>
      </c>
      <c r="F71" s="31" t="s">
        <v>467</v>
      </c>
      <c r="G71" s="30">
        <f t="shared" si="5"/>
        <v>520</v>
      </c>
      <c r="H71" s="30">
        <f t="shared" si="6"/>
        <v>0.15</v>
      </c>
      <c r="I71" s="30">
        <f t="shared" si="7"/>
        <v>11220</v>
      </c>
    </row>
    <row r="72" spans="1:9" x14ac:dyDescent="0.25">
      <c r="A72" s="29">
        <v>69</v>
      </c>
      <c r="B72" s="29" t="s">
        <v>282</v>
      </c>
      <c r="C72" s="29" t="s">
        <v>31</v>
      </c>
      <c r="D72" s="30">
        <f t="shared" si="4"/>
        <v>400</v>
      </c>
      <c r="E72" s="29">
        <v>47</v>
      </c>
      <c r="F72" s="29" t="s">
        <v>472</v>
      </c>
      <c r="G72" s="30">
        <f t="shared" si="5"/>
        <v>440</v>
      </c>
      <c r="H72" s="30">
        <f t="shared" si="6"/>
        <v>0.15</v>
      </c>
      <c r="I72" s="30">
        <f t="shared" si="7"/>
        <v>15980</v>
      </c>
    </row>
    <row r="73" spans="1:9" x14ac:dyDescent="0.25">
      <c r="A73" s="31">
        <v>70</v>
      </c>
      <c r="B73" s="31" t="s">
        <v>39</v>
      </c>
      <c r="C73" s="31" t="s">
        <v>5</v>
      </c>
      <c r="D73" s="30">
        <f t="shared" si="4"/>
        <v>500</v>
      </c>
      <c r="E73" s="31">
        <v>83</v>
      </c>
      <c r="F73" s="31" t="s">
        <v>467</v>
      </c>
      <c r="G73" s="30">
        <f t="shared" si="5"/>
        <v>650</v>
      </c>
      <c r="H73" s="30">
        <f t="shared" si="6"/>
        <v>0.2</v>
      </c>
      <c r="I73" s="30">
        <f t="shared" si="7"/>
        <v>33200</v>
      </c>
    </row>
    <row r="74" spans="1:9" x14ac:dyDescent="0.25">
      <c r="A74" s="29">
        <v>71</v>
      </c>
      <c r="B74" s="29" t="s">
        <v>43</v>
      </c>
      <c r="C74" s="29" t="s">
        <v>34</v>
      </c>
      <c r="D74" s="30">
        <f t="shared" si="4"/>
        <v>450</v>
      </c>
      <c r="E74" s="29">
        <v>73</v>
      </c>
      <c r="F74" s="29" t="s">
        <v>467</v>
      </c>
      <c r="G74" s="30">
        <f t="shared" si="5"/>
        <v>585</v>
      </c>
      <c r="H74" s="30">
        <f t="shared" si="6"/>
        <v>0.2</v>
      </c>
      <c r="I74" s="30">
        <f t="shared" si="7"/>
        <v>26280</v>
      </c>
    </row>
    <row r="75" spans="1:9" x14ac:dyDescent="0.25">
      <c r="A75" s="31">
        <v>72</v>
      </c>
      <c r="B75" s="31" t="s">
        <v>89</v>
      </c>
      <c r="C75" s="31" t="s">
        <v>5</v>
      </c>
      <c r="D75" s="30">
        <f t="shared" si="4"/>
        <v>500</v>
      </c>
      <c r="E75" s="31">
        <v>54</v>
      </c>
      <c r="F75" s="31" t="s">
        <v>467</v>
      </c>
      <c r="G75" s="30">
        <f t="shared" si="5"/>
        <v>650</v>
      </c>
      <c r="H75" s="30">
        <f t="shared" si="6"/>
        <v>0.2</v>
      </c>
      <c r="I75" s="30">
        <f t="shared" si="7"/>
        <v>21600</v>
      </c>
    </row>
    <row r="76" spans="1:9" x14ac:dyDescent="0.25">
      <c r="A76" s="29">
        <v>73</v>
      </c>
      <c r="B76" s="29" t="s">
        <v>53</v>
      </c>
      <c r="C76" s="29" t="s">
        <v>31</v>
      </c>
      <c r="D76" s="30">
        <f t="shared" si="4"/>
        <v>400</v>
      </c>
      <c r="E76" s="29">
        <v>56</v>
      </c>
      <c r="F76" s="29" t="s">
        <v>467</v>
      </c>
      <c r="G76" s="30">
        <f t="shared" si="5"/>
        <v>520</v>
      </c>
      <c r="H76" s="30">
        <f t="shared" si="6"/>
        <v>0.2</v>
      </c>
      <c r="I76" s="30">
        <f t="shared" si="7"/>
        <v>17920</v>
      </c>
    </row>
    <row r="77" spans="1:9" x14ac:dyDescent="0.25">
      <c r="A77" s="31">
        <v>74</v>
      </c>
      <c r="B77" s="31" t="s">
        <v>319</v>
      </c>
      <c r="C77" s="31" t="s">
        <v>34</v>
      </c>
      <c r="D77" s="30">
        <f t="shared" si="4"/>
        <v>450</v>
      </c>
      <c r="E77" s="31">
        <v>30</v>
      </c>
      <c r="F77" s="31" t="s">
        <v>467</v>
      </c>
      <c r="G77" s="30">
        <f t="shared" si="5"/>
        <v>585</v>
      </c>
      <c r="H77" s="30">
        <f t="shared" si="6"/>
        <v>0.15</v>
      </c>
      <c r="I77" s="30">
        <f t="shared" si="7"/>
        <v>11475</v>
      </c>
    </row>
    <row r="78" spans="1:9" x14ac:dyDescent="0.25">
      <c r="A78" s="29">
        <v>75</v>
      </c>
      <c r="B78" s="29" t="s">
        <v>306</v>
      </c>
      <c r="C78" s="29" t="s">
        <v>31</v>
      </c>
      <c r="D78" s="30">
        <f t="shared" si="4"/>
        <v>400</v>
      </c>
      <c r="E78" s="29">
        <v>28</v>
      </c>
      <c r="F78" s="29" t="s">
        <v>467</v>
      </c>
      <c r="G78" s="30">
        <f t="shared" si="5"/>
        <v>520</v>
      </c>
      <c r="H78" s="30">
        <f t="shared" si="6"/>
        <v>0.1</v>
      </c>
      <c r="I78" s="30">
        <f t="shared" si="7"/>
        <v>10080</v>
      </c>
    </row>
    <row r="79" spans="1:9" x14ac:dyDescent="0.25">
      <c r="A79" s="31">
        <v>76</v>
      </c>
      <c r="B79" s="31" t="s">
        <v>33</v>
      </c>
      <c r="C79" s="31" t="s">
        <v>6</v>
      </c>
      <c r="D79" s="30">
        <f t="shared" si="4"/>
        <v>500</v>
      </c>
      <c r="E79" s="31">
        <v>45</v>
      </c>
      <c r="F79" s="31" t="s">
        <v>472</v>
      </c>
      <c r="G79" s="30">
        <f t="shared" si="5"/>
        <v>550</v>
      </c>
      <c r="H79" s="30">
        <f t="shared" si="6"/>
        <v>0.15</v>
      </c>
      <c r="I79" s="30">
        <f t="shared" si="7"/>
        <v>19125</v>
      </c>
    </row>
    <row r="80" spans="1:9" x14ac:dyDescent="0.25">
      <c r="A80" s="228">
        <v>77</v>
      </c>
      <c r="B80" s="228" t="s">
        <v>37</v>
      </c>
      <c r="C80" s="228" t="s">
        <v>4</v>
      </c>
      <c r="D80" s="30">
        <f t="shared" si="4"/>
        <v>400</v>
      </c>
      <c r="E80" s="228">
        <v>33</v>
      </c>
      <c r="F80" s="228" t="s">
        <v>467</v>
      </c>
      <c r="G80" s="30">
        <f t="shared" si="5"/>
        <v>520</v>
      </c>
      <c r="H80" s="30">
        <f t="shared" si="6"/>
        <v>0.15</v>
      </c>
      <c r="I80" s="30">
        <f t="shared" si="7"/>
        <v>11220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I12" sqref="I12"/>
    </sheetView>
  </sheetViews>
  <sheetFormatPr defaultRowHeight="15" x14ac:dyDescent="0.25"/>
  <cols>
    <col min="1" max="1" width="12.28515625" customWidth="1"/>
    <col min="2" max="2" width="22.42578125" customWidth="1"/>
    <col min="3" max="3" width="11" customWidth="1"/>
    <col min="4" max="5" width="13.28515625" customWidth="1"/>
  </cols>
  <sheetData>
    <row r="1" spans="1:7" ht="15.75" x14ac:dyDescent="0.25">
      <c r="A1" s="119" t="s">
        <v>171</v>
      </c>
    </row>
    <row r="3" spans="1:7" x14ac:dyDescent="0.25">
      <c r="A3" s="121" t="s">
        <v>182</v>
      </c>
      <c r="B3" s="121" t="s">
        <v>172</v>
      </c>
      <c r="C3" s="121" t="s">
        <v>8</v>
      </c>
      <c r="D3" s="121" t="s">
        <v>3</v>
      </c>
      <c r="E3" s="121" t="s">
        <v>173</v>
      </c>
      <c r="F3" s="8"/>
      <c r="G3" s="8"/>
    </row>
    <row r="4" spans="1:7" x14ac:dyDescent="0.25">
      <c r="A4" s="102" t="s">
        <v>174</v>
      </c>
      <c r="B4" s="122" t="str">
        <f>VLOOKUP(A4,$A$11:$C$15,2,FALSE)</f>
        <v>Widgets-2 per pack</v>
      </c>
      <c r="C4" s="122">
        <v>2</v>
      </c>
      <c r="D4" s="123">
        <f>VLOOKUP(A4,$A$11:$C$15,3,FALSE)</f>
        <v>5000</v>
      </c>
      <c r="E4" s="123">
        <f>C4*D4</f>
        <v>10000</v>
      </c>
      <c r="F4" s="20"/>
      <c r="G4" s="8"/>
    </row>
    <row r="5" spans="1:7" x14ac:dyDescent="0.25">
      <c r="A5" s="102" t="s">
        <v>175</v>
      </c>
      <c r="B5" s="122" t="str">
        <f t="shared" ref="B5:B7" si="0">VLOOKUP(A5,$A$11:$C$15,2,FALSE)</f>
        <v>Widgets-Double</v>
      </c>
      <c r="C5" s="122">
        <v>3</v>
      </c>
      <c r="D5" s="123">
        <f t="shared" ref="D5:D8" si="1">VLOOKUP(A5,$A$11:$C$15,3,FALSE)</f>
        <v>6500</v>
      </c>
      <c r="E5" s="123">
        <f t="shared" ref="E5:E8" si="2">C5*D5</f>
        <v>19500</v>
      </c>
      <c r="F5" s="20"/>
      <c r="G5" s="8"/>
    </row>
    <row r="6" spans="1:7" x14ac:dyDescent="0.25">
      <c r="A6" s="102" t="s">
        <v>175</v>
      </c>
      <c r="B6" s="122" t="str">
        <f t="shared" si="0"/>
        <v>Widgets-Double</v>
      </c>
      <c r="C6" s="122">
        <v>4</v>
      </c>
      <c r="D6" s="123">
        <f t="shared" si="1"/>
        <v>6500</v>
      </c>
      <c r="E6" s="123">
        <f t="shared" si="2"/>
        <v>26000</v>
      </c>
      <c r="F6" s="20"/>
      <c r="G6" s="8"/>
    </row>
    <row r="7" spans="1:7" x14ac:dyDescent="0.25">
      <c r="A7" s="102" t="s">
        <v>174</v>
      </c>
      <c r="B7" s="122" t="str">
        <f t="shared" si="0"/>
        <v>Widgets-2 per pack</v>
      </c>
      <c r="C7" s="122">
        <v>6</v>
      </c>
      <c r="D7" s="123">
        <f t="shared" si="1"/>
        <v>5000</v>
      </c>
      <c r="E7" s="123">
        <f t="shared" si="2"/>
        <v>30000</v>
      </c>
      <c r="F7" s="20"/>
      <c r="G7" s="8"/>
    </row>
    <row r="8" spans="1:7" x14ac:dyDescent="0.25">
      <c r="A8" s="102" t="s">
        <v>176</v>
      </c>
      <c r="B8" s="122" t="str">
        <f>VLOOKUP(A8,$A$11:$C$15,2,FALSE)</f>
        <v>Widgets-Single</v>
      </c>
      <c r="C8" s="122">
        <v>3</v>
      </c>
      <c r="D8" s="123">
        <f t="shared" si="1"/>
        <v>3500</v>
      </c>
      <c r="E8" s="123">
        <f t="shared" si="2"/>
        <v>10500</v>
      </c>
      <c r="F8" s="20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10" t="s">
        <v>0</v>
      </c>
      <c r="B10" s="8"/>
      <c r="C10" s="8"/>
      <c r="D10" s="8"/>
      <c r="E10" s="8"/>
      <c r="F10" s="8"/>
      <c r="G10" s="8"/>
    </row>
    <row r="11" spans="1:7" x14ac:dyDescent="0.25">
      <c r="A11" s="24" t="s">
        <v>182</v>
      </c>
      <c r="B11" s="24" t="s">
        <v>172</v>
      </c>
      <c r="C11" s="24" t="s">
        <v>3</v>
      </c>
      <c r="D11" s="8"/>
      <c r="E11" s="8"/>
      <c r="F11" s="8"/>
      <c r="G11" s="8"/>
    </row>
    <row r="12" spans="1:7" x14ac:dyDescent="0.25">
      <c r="A12" s="24" t="s">
        <v>176</v>
      </c>
      <c r="B12" s="24" t="s">
        <v>177</v>
      </c>
      <c r="C12" s="281">
        <v>3500</v>
      </c>
      <c r="D12" s="8"/>
      <c r="E12" s="8"/>
      <c r="F12" s="8"/>
      <c r="G12" s="8"/>
    </row>
    <row r="13" spans="1:7" x14ac:dyDescent="0.25">
      <c r="A13" s="78" t="s">
        <v>175</v>
      </c>
      <c r="B13" s="24" t="s">
        <v>178</v>
      </c>
      <c r="C13" s="281">
        <v>6500</v>
      </c>
      <c r="D13" s="8"/>
      <c r="E13" s="8"/>
      <c r="F13" s="8"/>
      <c r="G13" s="8"/>
    </row>
    <row r="14" spans="1:7" x14ac:dyDescent="0.25">
      <c r="A14" s="78" t="s">
        <v>174</v>
      </c>
      <c r="B14" s="24" t="s">
        <v>179</v>
      </c>
      <c r="C14" s="281">
        <v>5000</v>
      </c>
      <c r="D14" s="8"/>
      <c r="E14" s="8"/>
      <c r="F14" s="8"/>
      <c r="G14" s="8"/>
    </row>
    <row r="15" spans="1:7" x14ac:dyDescent="0.25">
      <c r="A15" s="78" t="s">
        <v>180</v>
      </c>
      <c r="B15" s="78" t="s">
        <v>181</v>
      </c>
      <c r="C15" s="281">
        <v>7000</v>
      </c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26" spans="1:7" x14ac:dyDescent="0.25">
      <c r="F26" t="s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73"/>
  <sheetViews>
    <sheetView zoomScale="90" zoomScaleNormal="85" workbookViewId="0">
      <selection activeCell="I4" sqref="I4"/>
    </sheetView>
  </sheetViews>
  <sheetFormatPr defaultRowHeight="15" x14ac:dyDescent="0.25"/>
  <cols>
    <col min="1" max="1" width="5" style="19" customWidth="1"/>
    <col min="2" max="2" width="14.85546875" customWidth="1"/>
    <col min="3" max="3" width="8.7109375" style="19" customWidth="1"/>
    <col min="4" max="4" width="14.85546875" customWidth="1"/>
    <col min="5" max="5" width="11.42578125" customWidth="1"/>
    <col min="6" max="6" width="17.7109375" customWidth="1"/>
    <col min="7" max="7" width="13.28515625" customWidth="1"/>
    <col min="8" max="8" width="20" style="19" customWidth="1"/>
    <col min="9" max="9" width="14.85546875" customWidth="1"/>
    <col min="10" max="11" width="16.85546875" customWidth="1"/>
    <col min="13" max="13" width="23.5703125" customWidth="1"/>
    <col min="15" max="15" width="15.7109375" style="1" customWidth="1"/>
  </cols>
  <sheetData>
    <row r="1" spans="1:20" ht="26.25" x14ac:dyDescent="0.4">
      <c r="A1" s="116"/>
      <c r="B1" s="26"/>
      <c r="C1" s="116"/>
      <c r="D1" s="391" t="s">
        <v>510</v>
      </c>
      <c r="E1" s="391"/>
      <c r="F1" s="391"/>
      <c r="G1" s="391"/>
      <c r="H1" s="391"/>
      <c r="I1" s="391"/>
      <c r="J1" s="26"/>
      <c r="K1" s="26"/>
      <c r="L1" s="26"/>
      <c r="M1" s="26"/>
      <c r="N1" s="26"/>
      <c r="O1" s="253"/>
      <c r="P1" s="26"/>
      <c r="Q1" s="26"/>
      <c r="R1" s="26"/>
    </row>
    <row r="2" spans="1:20" x14ac:dyDescent="0.25">
      <c r="A2" s="344" t="s">
        <v>25</v>
      </c>
      <c r="B2" s="275" t="s">
        <v>511</v>
      </c>
      <c r="C2" s="344" t="s">
        <v>512</v>
      </c>
      <c r="D2" s="275" t="s">
        <v>513</v>
      </c>
      <c r="E2" s="275" t="s">
        <v>514</v>
      </c>
      <c r="F2" s="275" t="s">
        <v>515</v>
      </c>
      <c r="G2" s="275" t="s">
        <v>370</v>
      </c>
      <c r="H2" s="344" t="s">
        <v>516</v>
      </c>
      <c r="I2" s="275" t="s">
        <v>517</v>
      </c>
      <c r="J2" s="275" t="s">
        <v>518</v>
      </c>
      <c r="K2" s="344" t="s">
        <v>1070</v>
      </c>
      <c r="L2" s="252"/>
      <c r="M2" s="252"/>
      <c r="N2" s="252"/>
      <c r="O2" s="254"/>
      <c r="P2" s="252"/>
      <c r="Q2" s="252"/>
      <c r="R2" s="252"/>
    </row>
    <row r="3" spans="1:20" s="220" customFormat="1" x14ac:dyDescent="0.25">
      <c r="A3" s="345">
        <v>1</v>
      </c>
      <c r="B3" s="346" t="s">
        <v>519</v>
      </c>
      <c r="C3" s="347" t="s">
        <v>77</v>
      </c>
      <c r="D3" s="348" t="str">
        <f>VLOOKUP(C3,$N$4:$O$8,2,FALSE)</f>
        <v>MENIKAH</v>
      </c>
      <c r="E3" s="347" t="s">
        <v>520</v>
      </c>
      <c r="F3" s="348" t="str">
        <f>HLOOKUP(E3,$O$11:$T$12,2,FALSE)</f>
        <v>TINGGI</v>
      </c>
      <c r="G3" s="347" t="s">
        <v>521</v>
      </c>
      <c r="H3" s="348" t="str">
        <f>VLOOKUP(LEFT(G3,1),$M$17:$O$26,2,FALSE)</f>
        <v>NISSAN</v>
      </c>
      <c r="I3" s="348">
        <f>VLOOKUP(LEFT(G3,1),$M$17:$O$26,3,FALSE)</f>
        <v>248000000</v>
      </c>
      <c r="J3" s="348" t="str">
        <f>VLOOKUP(RIGHT(G3,1),$M$28:$O$36,2,FALSE)</f>
        <v>German</v>
      </c>
      <c r="K3" s="350" t="str">
        <f>VLOOKUP(MID(G3,4,1)+0,$M$38:$N$41,2,FALSE)</f>
        <v>Putih</v>
      </c>
      <c r="L3" s="255"/>
      <c r="M3" s="256" t="s">
        <v>148</v>
      </c>
      <c r="N3" s="256"/>
      <c r="O3" s="257"/>
      <c r="P3" s="256"/>
      <c r="Q3" s="255"/>
      <c r="R3" s="255"/>
    </row>
    <row r="4" spans="1:20" x14ac:dyDescent="0.25">
      <c r="A4" s="345">
        <v>2</v>
      </c>
      <c r="B4" s="349" t="s">
        <v>522</v>
      </c>
      <c r="C4" s="347" t="s">
        <v>77</v>
      </c>
      <c r="D4" s="348" t="str">
        <f t="shared" ref="D4:D28" si="0">VLOOKUP(C4,$N$4:$O$8,2,FALSE)</f>
        <v>MENIKAH</v>
      </c>
      <c r="E4" s="347" t="s">
        <v>523</v>
      </c>
      <c r="F4" s="348" t="str">
        <f t="shared" ref="F4:F28" si="1">HLOOKUP(E4,$O$11:$T$12,2,FALSE)</f>
        <v>RENDAH</v>
      </c>
      <c r="G4" s="347" t="s">
        <v>524</v>
      </c>
      <c r="H4" s="348" t="str">
        <f t="shared" ref="H4:H28" si="2">VLOOKUP(LEFT(G4,1),$M$17:$O$26,2,FALSE)</f>
        <v>HONDA</v>
      </c>
      <c r="I4" s="348">
        <f t="shared" ref="I4:I28" si="3">VLOOKUP(LEFT(G4,1),$M$17:$O$26,3,FALSE)</f>
        <v>240000000</v>
      </c>
      <c r="J4" s="348" t="str">
        <f t="shared" ref="J4:J28" si="4">VLOOKUP(RIGHT(G4,1),$M$28:$O$36,2,FALSE)</f>
        <v>Jepang</v>
      </c>
      <c r="K4" s="350" t="str">
        <f t="shared" ref="K4:K28" si="5">VLOOKUP(MID(G4,4,1)+0,$M$38:$N$41,2,FALSE)</f>
        <v>Biru</v>
      </c>
      <c r="L4" s="255"/>
      <c r="M4" s="258" t="s">
        <v>525</v>
      </c>
      <c r="N4" s="376" t="s">
        <v>512</v>
      </c>
      <c r="O4" s="377" t="s">
        <v>78</v>
      </c>
      <c r="P4" s="251"/>
      <c r="Q4" s="252"/>
      <c r="R4" s="252"/>
    </row>
    <row r="5" spans="1:20" x14ac:dyDescent="0.25">
      <c r="A5" s="345">
        <v>3</v>
      </c>
      <c r="B5" s="349" t="s">
        <v>43</v>
      </c>
      <c r="C5" s="347" t="s">
        <v>75</v>
      </c>
      <c r="D5" s="348" t="str">
        <f t="shared" si="0"/>
        <v>DUDA</v>
      </c>
      <c r="E5" s="347" t="s">
        <v>526</v>
      </c>
      <c r="F5" s="348" t="str">
        <f t="shared" si="1"/>
        <v>TINGGI</v>
      </c>
      <c r="G5" s="347" t="s">
        <v>527</v>
      </c>
      <c r="H5" s="348" t="str">
        <f t="shared" si="2"/>
        <v>SUZUKI</v>
      </c>
      <c r="I5" s="348">
        <f t="shared" si="3"/>
        <v>213000000</v>
      </c>
      <c r="J5" s="348" t="str">
        <f t="shared" si="4"/>
        <v>Jepang</v>
      </c>
      <c r="K5" s="350" t="str">
        <f t="shared" si="5"/>
        <v>Biru</v>
      </c>
      <c r="L5" s="255"/>
      <c r="M5" s="26" t="s">
        <v>528</v>
      </c>
      <c r="N5" s="376" t="s">
        <v>77</v>
      </c>
      <c r="O5" s="377" t="s">
        <v>1186</v>
      </c>
      <c r="P5" s="251"/>
      <c r="Q5" s="252"/>
      <c r="R5" s="252"/>
    </row>
    <row r="6" spans="1:20" x14ac:dyDescent="0.25">
      <c r="A6" s="345">
        <v>4</v>
      </c>
      <c r="B6" s="349" t="s">
        <v>529</v>
      </c>
      <c r="C6" s="347" t="s">
        <v>77</v>
      </c>
      <c r="D6" s="348" t="str">
        <f t="shared" si="0"/>
        <v>MENIKAH</v>
      </c>
      <c r="E6" s="347" t="s">
        <v>530</v>
      </c>
      <c r="F6" s="348" t="str">
        <f t="shared" si="1"/>
        <v>SEDANG</v>
      </c>
      <c r="G6" s="347" t="s">
        <v>531</v>
      </c>
      <c r="H6" s="348" t="str">
        <f t="shared" si="2"/>
        <v>HONDA</v>
      </c>
      <c r="I6" s="348">
        <f t="shared" si="3"/>
        <v>240000000</v>
      </c>
      <c r="J6" s="348" t="str">
        <f t="shared" si="4"/>
        <v>Jepang</v>
      </c>
      <c r="K6" s="350" t="str">
        <f t="shared" si="5"/>
        <v>Putih</v>
      </c>
      <c r="L6" s="255"/>
      <c r="M6" s="26" t="s">
        <v>532</v>
      </c>
      <c r="N6" s="376" t="s">
        <v>76</v>
      </c>
      <c r="O6" s="377" t="s">
        <v>1187</v>
      </c>
      <c r="P6" s="251"/>
      <c r="Q6" s="252"/>
      <c r="R6" s="252"/>
    </row>
    <row r="7" spans="1:20" x14ac:dyDescent="0.25">
      <c r="A7" s="345">
        <v>5</v>
      </c>
      <c r="B7" s="349" t="s">
        <v>533</v>
      </c>
      <c r="C7" s="347" t="s">
        <v>76</v>
      </c>
      <c r="D7" s="348" t="str">
        <f t="shared" si="0"/>
        <v>JOMBLO</v>
      </c>
      <c r="E7" s="347" t="s">
        <v>523</v>
      </c>
      <c r="F7" s="348" t="str">
        <f t="shared" si="1"/>
        <v>RENDAH</v>
      </c>
      <c r="G7" s="347" t="s">
        <v>534</v>
      </c>
      <c r="H7" s="348" t="str">
        <f t="shared" si="2"/>
        <v>TOYOTA</v>
      </c>
      <c r="I7" s="348">
        <f t="shared" si="3"/>
        <v>325000000</v>
      </c>
      <c r="J7" s="348" t="str">
        <f t="shared" si="4"/>
        <v>Jepang</v>
      </c>
      <c r="K7" s="350" t="str">
        <f t="shared" si="5"/>
        <v>Biru</v>
      </c>
      <c r="L7" s="255"/>
      <c r="M7" s="26" t="s">
        <v>535</v>
      </c>
      <c r="N7" s="376" t="s">
        <v>74</v>
      </c>
      <c r="O7" s="377" t="s">
        <v>1188</v>
      </c>
      <c r="P7" s="251"/>
      <c r="Q7" s="252"/>
      <c r="R7" s="252"/>
    </row>
    <row r="8" spans="1:20" x14ac:dyDescent="0.25">
      <c r="A8" s="345">
        <v>6</v>
      </c>
      <c r="B8" s="349" t="s">
        <v>536</v>
      </c>
      <c r="C8" s="347" t="s">
        <v>77</v>
      </c>
      <c r="D8" s="348" t="str">
        <f t="shared" si="0"/>
        <v>MENIKAH</v>
      </c>
      <c r="E8" s="347" t="s">
        <v>520</v>
      </c>
      <c r="F8" s="348" t="str">
        <f t="shared" si="1"/>
        <v>TINGGI</v>
      </c>
      <c r="G8" s="347" t="s">
        <v>537</v>
      </c>
      <c r="H8" s="348" t="str">
        <f t="shared" si="2"/>
        <v>HYUNDAI</v>
      </c>
      <c r="I8" s="348">
        <f t="shared" si="3"/>
        <v>157000000</v>
      </c>
      <c r="J8" s="348" t="str">
        <f t="shared" si="4"/>
        <v>Korea</v>
      </c>
      <c r="K8" s="350" t="str">
        <f t="shared" si="5"/>
        <v>Biru</v>
      </c>
      <c r="L8" s="255"/>
      <c r="M8" s="26" t="s">
        <v>538</v>
      </c>
      <c r="N8" s="376" t="s">
        <v>75</v>
      </c>
      <c r="O8" s="377" t="s">
        <v>1189</v>
      </c>
      <c r="P8" s="251"/>
      <c r="Q8" s="252"/>
      <c r="R8" s="252"/>
    </row>
    <row r="9" spans="1:20" x14ac:dyDescent="0.25">
      <c r="A9" s="345">
        <v>7</v>
      </c>
      <c r="B9" s="349" t="s">
        <v>87</v>
      </c>
      <c r="C9" s="347" t="s">
        <v>77</v>
      </c>
      <c r="D9" s="348" t="str">
        <f t="shared" si="0"/>
        <v>MENIKAH</v>
      </c>
      <c r="E9" s="347" t="s">
        <v>530</v>
      </c>
      <c r="F9" s="348" t="str">
        <f t="shared" si="1"/>
        <v>SEDANG</v>
      </c>
      <c r="G9" s="347" t="s">
        <v>539</v>
      </c>
      <c r="H9" s="348" t="str">
        <f t="shared" si="2"/>
        <v>HONDA</v>
      </c>
      <c r="I9" s="348">
        <f t="shared" si="3"/>
        <v>240000000</v>
      </c>
      <c r="J9" s="348" t="str">
        <f t="shared" si="4"/>
        <v>Indonesia</v>
      </c>
      <c r="K9" s="350" t="str">
        <f t="shared" si="5"/>
        <v>Biru</v>
      </c>
      <c r="L9" s="255"/>
      <c r="M9" s="26"/>
      <c r="N9" s="26"/>
      <c r="O9" s="259"/>
      <c r="P9" s="251"/>
      <c r="Q9" s="252"/>
      <c r="R9" s="252"/>
    </row>
    <row r="10" spans="1:20" x14ac:dyDescent="0.25">
      <c r="A10" s="345">
        <v>8</v>
      </c>
      <c r="B10" s="349" t="s">
        <v>33</v>
      </c>
      <c r="C10" s="347" t="s">
        <v>77</v>
      </c>
      <c r="D10" s="348" t="str">
        <f t="shared" si="0"/>
        <v>MENIKAH</v>
      </c>
      <c r="E10" s="347" t="s">
        <v>540</v>
      </c>
      <c r="F10" s="348" t="str">
        <f t="shared" si="1"/>
        <v>RENDAH</v>
      </c>
      <c r="G10" s="347" t="s">
        <v>541</v>
      </c>
      <c r="H10" s="348" t="str">
        <f t="shared" si="2"/>
        <v>ESEMKA</v>
      </c>
      <c r="I10" s="348">
        <f t="shared" si="3"/>
        <v>135000000</v>
      </c>
      <c r="J10" s="348" t="str">
        <f t="shared" si="4"/>
        <v>Indonesia</v>
      </c>
      <c r="K10" s="350" t="str">
        <f t="shared" si="5"/>
        <v>Putih</v>
      </c>
      <c r="L10" s="255"/>
      <c r="M10" s="251"/>
      <c r="N10" s="251"/>
      <c r="O10" s="259"/>
      <c r="P10" s="251"/>
      <c r="Q10" s="252"/>
      <c r="R10" s="252"/>
    </row>
    <row r="11" spans="1:20" x14ac:dyDescent="0.25">
      <c r="A11" s="345">
        <v>9</v>
      </c>
      <c r="B11" s="349" t="s">
        <v>542</v>
      </c>
      <c r="C11" s="347" t="s">
        <v>77</v>
      </c>
      <c r="D11" s="348" t="str">
        <f t="shared" si="0"/>
        <v>MENIKAH</v>
      </c>
      <c r="E11" s="347" t="s">
        <v>530</v>
      </c>
      <c r="F11" s="348" t="str">
        <f t="shared" si="1"/>
        <v>SEDANG</v>
      </c>
      <c r="G11" s="347" t="s">
        <v>543</v>
      </c>
      <c r="H11" s="348" t="str">
        <f t="shared" si="2"/>
        <v>HONDA</v>
      </c>
      <c r="I11" s="348">
        <f t="shared" si="3"/>
        <v>240000000</v>
      </c>
      <c r="J11" s="348" t="str">
        <f t="shared" si="4"/>
        <v>China</v>
      </c>
      <c r="K11" s="350" t="str">
        <f t="shared" si="5"/>
        <v>Biru</v>
      </c>
      <c r="L11" s="255"/>
      <c r="M11" s="48" t="s">
        <v>514</v>
      </c>
      <c r="N11" s="48" t="s">
        <v>544</v>
      </c>
      <c r="O11" s="378" t="s">
        <v>514</v>
      </c>
      <c r="P11" s="379" t="s">
        <v>520</v>
      </c>
      <c r="Q11" s="380" t="s">
        <v>526</v>
      </c>
      <c r="R11" s="380" t="s">
        <v>530</v>
      </c>
      <c r="S11" s="375" t="s">
        <v>523</v>
      </c>
      <c r="T11" s="375" t="s">
        <v>540</v>
      </c>
    </row>
    <row r="12" spans="1:20" x14ac:dyDescent="0.25">
      <c r="A12" s="345">
        <v>10</v>
      </c>
      <c r="B12" s="349" t="s">
        <v>45</v>
      </c>
      <c r="C12" s="347" t="s">
        <v>77</v>
      </c>
      <c r="D12" s="348" t="str">
        <f t="shared" si="0"/>
        <v>MENIKAH</v>
      </c>
      <c r="E12" s="347" t="s">
        <v>526</v>
      </c>
      <c r="F12" s="348" t="str">
        <f t="shared" si="1"/>
        <v>TINGGI</v>
      </c>
      <c r="G12" s="347" t="s">
        <v>545</v>
      </c>
      <c r="H12" s="348" t="str">
        <f t="shared" si="2"/>
        <v>KIA</v>
      </c>
      <c r="I12" s="348">
        <f t="shared" si="3"/>
        <v>139000000</v>
      </c>
      <c r="J12" s="348" t="str">
        <f t="shared" si="4"/>
        <v>Korea</v>
      </c>
      <c r="K12" s="350" t="str">
        <f t="shared" si="5"/>
        <v>Biru</v>
      </c>
      <c r="L12" s="255"/>
      <c r="M12" s="2" t="s">
        <v>546</v>
      </c>
      <c r="N12" s="2" t="s">
        <v>547</v>
      </c>
      <c r="O12" s="378" t="s">
        <v>1190</v>
      </c>
      <c r="P12" s="379" t="s">
        <v>1191</v>
      </c>
      <c r="Q12" s="380" t="s">
        <v>1191</v>
      </c>
      <c r="R12" s="380" t="s">
        <v>1192</v>
      </c>
      <c r="S12" s="375" t="s">
        <v>1193</v>
      </c>
      <c r="T12" s="375" t="s">
        <v>1193</v>
      </c>
    </row>
    <row r="13" spans="1:20" x14ac:dyDescent="0.25">
      <c r="A13" s="345">
        <v>11</v>
      </c>
      <c r="B13" s="349" t="s">
        <v>548</v>
      </c>
      <c r="C13" s="347" t="s">
        <v>75</v>
      </c>
      <c r="D13" s="348" t="str">
        <f t="shared" si="0"/>
        <v>DUDA</v>
      </c>
      <c r="E13" s="347" t="s">
        <v>523</v>
      </c>
      <c r="F13" s="348" t="str">
        <f t="shared" si="1"/>
        <v>RENDAH</v>
      </c>
      <c r="G13" s="347" t="s">
        <v>549</v>
      </c>
      <c r="H13" s="348" t="str">
        <f t="shared" si="2"/>
        <v>HONDA</v>
      </c>
      <c r="I13" s="348">
        <f t="shared" si="3"/>
        <v>240000000</v>
      </c>
      <c r="J13" s="348" t="str">
        <f t="shared" si="4"/>
        <v>Malaysia</v>
      </c>
      <c r="K13" s="350" t="str">
        <f t="shared" si="5"/>
        <v>Putih</v>
      </c>
      <c r="L13" s="255"/>
      <c r="M13" s="2" t="s">
        <v>550</v>
      </c>
      <c r="N13" s="2" t="s">
        <v>551</v>
      </c>
      <c r="O13" s="259"/>
      <c r="P13" s="251"/>
      <c r="Q13" s="252"/>
      <c r="R13" s="252"/>
    </row>
    <row r="14" spans="1:20" x14ac:dyDescent="0.25">
      <c r="A14" s="345">
        <v>12</v>
      </c>
      <c r="B14" s="349" t="s">
        <v>41</v>
      </c>
      <c r="C14" s="347" t="s">
        <v>77</v>
      </c>
      <c r="D14" s="348" t="str">
        <f t="shared" si="0"/>
        <v>MENIKAH</v>
      </c>
      <c r="E14" s="347" t="s">
        <v>540</v>
      </c>
      <c r="F14" s="348" t="str">
        <f t="shared" si="1"/>
        <v>RENDAH</v>
      </c>
      <c r="G14" s="347" t="s">
        <v>552</v>
      </c>
      <c r="H14" s="348" t="str">
        <f t="shared" si="2"/>
        <v>HONDA</v>
      </c>
      <c r="I14" s="348">
        <f t="shared" si="3"/>
        <v>240000000</v>
      </c>
      <c r="J14" s="348" t="str">
        <f t="shared" si="4"/>
        <v>Malaysia</v>
      </c>
      <c r="K14" s="350" t="str">
        <f t="shared" si="5"/>
        <v>Biru</v>
      </c>
      <c r="L14" s="255"/>
      <c r="M14" s="2" t="s">
        <v>553</v>
      </c>
      <c r="N14" s="2" t="s">
        <v>554</v>
      </c>
      <c r="O14" s="259"/>
      <c r="P14" s="251"/>
      <c r="Q14" s="252"/>
      <c r="R14" s="252"/>
    </row>
    <row r="15" spans="1:20" x14ac:dyDescent="0.25">
      <c r="A15" s="345">
        <v>13</v>
      </c>
      <c r="B15" s="349" t="s">
        <v>38</v>
      </c>
      <c r="C15" s="347" t="s">
        <v>74</v>
      </c>
      <c r="D15" s="348" t="str">
        <f t="shared" si="0"/>
        <v>JANDA</v>
      </c>
      <c r="E15" s="347" t="s">
        <v>530</v>
      </c>
      <c r="F15" s="348" t="str">
        <f t="shared" si="1"/>
        <v>SEDANG</v>
      </c>
      <c r="G15" s="347" t="s">
        <v>555</v>
      </c>
      <c r="H15" s="348" t="str">
        <f t="shared" si="2"/>
        <v>NISSAN</v>
      </c>
      <c r="I15" s="348">
        <f t="shared" si="3"/>
        <v>248000000</v>
      </c>
      <c r="J15" s="348" t="str">
        <f t="shared" si="4"/>
        <v>Amerika</v>
      </c>
      <c r="K15" s="350" t="str">
        <f t="shared" si="5"/>
        <v>Biru</v>
      </c>
      <c r="L15" s="255"/>
      <c r="M15" s="251"/>
      <c r="N15" s="251"/>
      <c r="O15" s="259"/>
      <c r="P15" s="251"/>
      <c r="Q15" s="252"/>
      <c r="R15" s="252"/>
    </row>
    <row r="16" spans="1:20" x14ac:dyDescent="0.25">
      <c r="A16" s="345">
        <v>14</v>
      </c>
      <c r="B16" s="349" t="s">
        <v>32</v>
      </c>
      <c r="C16" s="347" t="s">
        <v>76</v>
      </c>
      <c r="D16" s="348" t="str">
        <f t="shared" si="0"/>
        <v>JOMBLO</v>
      </c>
      <c r="E16" s="347" t="s">
        <v>523</v>
      </c>
      <c r="F16" s="348" t="str">
        <f t="shared" si="1"/>
        <v>RENDAH</v>
      </c>
      <c r="G16" s="347" t="s">
        <v>556</v>
      </c>
      <c r="H16" s="348" t="str">
        <f t="shared" si="2"/>
        <v>HONDA</v>
      </c>
      <c r="I16" s="348">
        <f t="shared" si="3"/>
        <v>240000000</v>
      </c>
      <c r="J16" s="348" t="str">
        <f t="shared" si="4"/>
        <v>China</v>
      </c>
      <c r="K16" s="350" t="str">
        <f t="shared" si="5"/>
        <v>Putih</v>
      </c>
      <c r="L16" s="255"/>
      <c r="M16" s="251"/>
      <c r="N16" s="251"/>
      <c r="O16" s="259"/>
      <c r="P16" s="251"/>
      <c r="Q16" s="252"/>
      <c r="R16" s="252"/>
    </row>
    <row r="17" spans="1:18" x14ac:dyDescent="0.25">
      <c r="A17" s="345">
        <v>15</v>
      </c>
      <c r="B17" s="349" t="s">
        <v>89</v>
      </c>
      <c r="C17" s="347" t="s">
        <v>76</v>
      </c>
      <c r="D17" s="348" t="str">
        <f t="shared" si="0"/>
        <v>JOMBLO</v>
      </c>
      <c r="E17" s="347" t="s">
        <v>520</v>
      </c>
      <c r="F17" s="348" t="str">
        <f t="shared" si="1"/>
        <v>TINGGI</v>
      </c>
      <c r="G17" s="347" t="s">
        <v>557</v>
      </c>
      <c r="H17" s="348" t="str">
        <f t="shared" si="2"/>
        <v>SUZUKI</v>
      </c>
      <c r="I17" s="348">
        <f t="shared" si="3"/>
        <v>213000000</v>
      </c>
      <c r="J17" s="348" t="str">
        <f t="shared" si="4"/>
        <v>Jepang</v>
      </c>
      <c r="K17" s="350" t="str">
        <f t="shared" si="5"/>
        <v>Putih</v>
      </c>
      <c r="L17" s="255"/>
      <c r="M17" s="77" t="s">
        <v>558</v>
      </c>
      <c r="N17" s="77" t="s">
        <v>559</v>
      </c>
      <c r="O17" s="77" t="s">
        <v>560</v>
      </c>
      <c r="P17" s="251"/>
      <c r="Q17" s="252"/>
      <c r="R17" s="252"/>
    </row>
    <row r="18" spans="1:18" x14ac:dyDescent="0.25">
      <c r="A18" s="345">
        <v>16</v>
      </c>
      <c r="B18" s="349" t="s">
        <v>49</v>
      </c>
      <c r="C18" s="347" t="s">
        <v>77</v>
      </c>
      <c r="D18" s="348" t="str">
        <f t="shared" si="0"/>
        <v>MENIKAH</v>
      </c>
      <c r="E18" s="347" t="s">
        <v>530</v>
      </c>
      <c r="F18" s="348" t="str">
        <f t="shared" si="1"/>
        <v>SEDANG</v>
      </c>
      <c r="G18" s="347" t="s">
        <v>561</v>
      </c>
      <c r="H18" s="348" t="str">
        <f t="shared" si="2"/>
        <v>TOYOTA</v>
      </c>
      <c r="I18" s="348">
        <f t="shared" si="3"/>
        <v>325000000</v>
      </c>
      <c r="J18" s="348" t="str">
        <f t="shared" si="4"/>
        <v>Jepang</v>
      </c>
      <c r="K18" s="350" t="str">
        <f t="shared" si="5"/>
        <v>Putih</v>
      </c>
      <c r="L18" s="255"/>
      <c r="M18" s="25" t="s">
        <v>297</v>
      </c>
      <c r="N18" s="25" t="s">
        <v>562</v>
      </c>
      <c r="O18" s="285">
        <v>135000000</v>
      </c>
      <c r="P18" s="251"/>
      <c r="Q18" s="252"/>
      <c r="R18" s="252"/>
    </row>
    <row r="19" spans="1:18" x14ac:dyDescent="0.25">
      <c r="A19" s="345">
        <v>17</v>
      </c>
      <c r="B19" s="349" t="s">
        <v>37</v>
      </c>
      <c r="C19" s="347" t="s">
        <v>77</v>
      </c>
      <c r="D19" s="348" t="str">
        <f t="shared" si="0"/>
        <v>MENIKAH</v>
      </c>
      <c r="E19" s="347" t="s">
        <v>523</v>
      </c>
      <c r="F19" s="348" t="str">
        <f t="shared" si="1"/>
        <v>RENDAH</v>
      </c>
      <c r="G19" s="347" t="s">
        <v>563</v>
      </c>
      <c r="H19" s="348" t="str">
        <f t="shared" si="2"/>
        <v>HONDA</v>
      </c>
      <c r="I19" s="348">
        <f t="shared" si="3"/>
        <v>240000000</v>
      </c>
      <c r="J19" s="348" t="str">
        <f t="shared" si="4"/>
        <v>Malaysia</v>
      </c>
      <c r="K19" s="350" t="str">
        <f t="shared" si="5"/>
        <v>Biru</v>
      </c>
      <c r="L19" s="255"/>
      <c r="M19" s="25" t="s">
        <v>139</v>
      </c>
      <c r="N19" s="25" t="s">
        <v>564</v>
      </c>
      <c r="O19" s="285">
        <v>1250000000</v>
      </c>
      <c r="P19" s="251"/>
      <c r="Q19" s="252"/>
      <c r="R19" s="252"/>
    </row>
    <row r="20" spans="1:18" x14ac:dyDescent="0.25">
      <c r="A20" s="345">
        <v>18</v>
      </c>
      <c r="B20" s="349" t="s">
        <v>29</v>
      </c>
      <c r="C20" s="347" t="s">
        <v>75</v>
      </c>
      <c r="D20" s="348" t="str">
        <f t="shared" si="0"/>
        <v>DUDA</v>
      </c>
      <c r="E20" s="347" t="s">
        <v>520</v>
      </c>
      <c r="F20" s="348" t="str">
        <f t="shared" si="1"/>
        <v>TINGGI</v>
      </c>
      <c r="G20" s="347" t="s">
        <v>565</v>
      </c>
      <c r="H20" s="348" t="str">
        <f t="shared" si="2"/>
        <v>HYUNDAI</v>
      </c>
      <c r="I20" s="348">
        <f t="shared" si="3"/>
        <v>157000000</v>
      </c>
      <c r="J20" s="348" t="str">
        <f t="shared" si="4"/>
        <v>Korea</v>
      </c>
      <c r="K20" s="350" t="str">
        <f t="shared" si="5"/>
        <v>Putih</v>
      </c>
      <c r="L20" s="255"/>
      <c r="M20" s="25" t="s">
        <v>566</v>
      </c>
      <c r="N20" s="25" t="s">
        <v>567</v>
      </c>
      <c r="O20" s="285">
        <v>240000000</v>
      </c>
      <c r="P20" s="251"/>
      <c r="Q20" s="252"/>
      <c r="R20" s="252"/>
    </row>
    <row r="21" spans="1:18" x14ac:dyDescent="0.25">
      <c r="A21" s="345">
        <v>19</v>
      </c>
      <c r="B21" s="349" t="s">
        <v>35</v>
      </c>
      <c r="C21" s="347" t="s">
        <v>75</v>
      </c>
      <c r="D21" s="348" t="str">
        <f t="shared" si="0"/>
        <v>DUDA</v>
      </c>
      <c r="E21" s="347" t="s">
        <v>523</v>
      </c>
      <c r="F21" s="348" t="str">
        <f t="shared" si="1"/>
        <v>RENDAH</v>
      </c>
      <c r="G21" s="347" t="s">
        <v>568</v>
      </c>
      <c r="H21" s="348" t="str">
        <f t="shared" si="2"/>
        <v>OPEL</v>
      </c>
      <c r="I21" s="348">
        <f t="shared" si="3"/>
        <v>189000000</v>
      </c>
      <c r="J21" s="348" t="str">
        <f t="shared" si="4"/>
        <v>German</v>
      </c>
      <c r="K21" s="350" t="str">
        <f t="shared" si="5"/>
        <v>Biru</v>
      </c>
      <c r="L21" s="255"/>
      <c r="M21" s="25" t="s">
        <v>569</v>
      </c>
      <c r="N21" s="25" t="s">
        <v>570</v>
      </c>
      <c r="O21" s="285">
        <v>157000000</v>
      </c>
      <c r="P21" s="251"/>
      <c r="Q21" s="252"/>
      <c r="R21" s="252"/>
    </row>
    <row r="22" spans="1:18" x14ac:dyDescent="0.25">
      <c r="A22" s="345">
        <v>20</v>
      </c>
      <c r="B22" s="349" t="s">
        <v>53</v>
      </c>
      <c r="C22" s="347" t="s">
        <v>77</v>
      </c>
      <c r="D22" s="348" t="str">
        <f t="shared" si="0"/>
        <v>MENIKAH</v>
      </c>
      <c r="E22" s="347" t="s">
        <v>523</v>
      </c>
      <c r="F22" s="348" t="str">
        <f t="shared" si="1"/>
        <v>RENDAH</v>
      </c>
      <c r="G22" s="347" t="s">
        <v>571</v>
      </c>
      <c r="H22" s="348" t="str">
        <f t="shared" si="2"/>
        <v>NISSAN</v>
      </c>
      <c r="I22" s="348">
        <f t="shared" si="3"/>
        <v>248000000</v>
      </c>
      <c r="J22" s="348" t="str">
        <f t="shared" si="4"/>
        <v>German</v>
      </c>
      <c r="K22" s="350" t="str">
        <f t="shared" si="5"/>
        <v>Putih</v>
      </c>
      <c r="L22" s="255"/>
      <c r="M22" s="25" t="s">
        <v>467</v>
      </c>
      <c r="N22" s="25" t="s">
        <v>572</v>
      </c>
      <c r="O22" s="285">
        <v>139000000</v>
      </c>
      <c r="P22" s="251"/>
      <c r="Q22" s="252"/>
      <c r="R22" s="252"/>
    </row>
    <row r="23" spans="1:18" x14ac:dyDescent="0.25">
      <c r="A23" s="345">
        <v>21</v>
      </c>
      <c r="B23" s="349" t="s">
        <v>39</v>
      </c>
      <c r="C23" s="347" t="s">
        <v>74</v>
      </c>
      <c r="D23" s="348" t="str">
        <f t="shared" si="0"/>
        <v>JANDA</v>
      </c>
      <c r="E23" s="347" t="s">
        <v>520</v>
      </c>
      <c r="F23" s="348" t="str">
        <f t="shared" si="1"/>
        <v>TINGGI</v>
      </c>
      <c r="G23" s="347" t="s">
        <v>541</v>
      </c>
      <c r="H23" s="348" t="str">
        <f t="shared" si="2"/>
        <v>ESEMKA</v>
      </c>
      <c r="I23" s="348">
        <f t="shared" si="3"/>
        <v>135000000</v>
      </c>
      <c r="J23" s="348" t="str">
        <f t="shared" si="4"/>
        <v>Indonesia</v>
      </c>
      <c r="K23" s="350" t="str">
        <f t="shared" si="5"/>
        <v>Putih</v>
      </c>
      <c r="L23" s="255"/>
      <c r="M23" s="25" t="s">
        <v>573</v>
      </c>
      <c r="N23" s="25" t="s">
        <v>574</v>
      </c>
      <c r="O23" s="285">
        <v>248000000</v>
      </c>
      <c r="P23" s="251"/>
      <c r="Q23" s="252"/>
      <c r="R23" s="252"/>
    </row>
    <row r="24" spans="1:18" x14ac:dyDescent="0.25">
      <c r="A24" s="345">
        <v>22</v>
      </c>
      <c r="B24" s="349" t="s">
        <v>42</v>
      </c>
      <c r="C24" s="347" t="s">
        <v>77</v>
      </c>
      <c r="D24" s="348" t="str">
        <f t="shared" si="0"/>
        <v>MENIKAH</v>
      </c>
      <c r="E24" s="347" t="s">
        <v>523</v>
      </c>
      <c r="F24" s="348" t="str">
        <f t="shared" si="1"/>
        <v>RENDAH</v>
      </c>
      <c r="G24" s="347" t="s">
        <v>575</v>
      </c>
      <c r="H24" s="348" t="str">
        <f t="shared" si="2"/>
        <v>FERRARI</v>
      </c>
      <c r="I24" s="348">
        <f t="shared" si="3"/>
        <v>1250000000</v>
      </c>
      <c r="J24" s="348" t="str">
        <f t="shared" si="4"/>
        <v>Italia</v>
      </c>
      <c r="K24" s="350" t="str">
        <f t="shared" si="5"/>
        <v>Biru</v>
      </c>
      <c r="L24" s="255"/>
      <c r="M24" s="25" t="s">
        <v>576</v>
      </c>
      <c r="N24" s="25" t="s">
        <v>577</v>
      </c>
      <c r="O24" s="285">
        <v>189000000</v>
      </c>
      <c r="P24" s="251"/>
      <c r="Q24" s="252"/>
      <c r="R24" s="252"/>
    </row>
    <row r="25" spans="1:18" x14ac:dyDescent="0.25">
      <c r="A25" s="345">
        <v>23</v>
      </c>
      <c r="B25" s="349" t="s">
        <v>48</v>
      </c>
      <c r="C25" s="347" t="s">
        <v>74</v>
      </c>
      <c r="D25" s="348" t="str">
        <f t="shared" si="0"/>
        <v>JANDA</v>
      </c>
      <c r="E25" s="347" t="s">
        <v>530</v>
      </c>
      <c r="F25" s="348" t="str">
        <f t="shared" si="1"/>
        <v>SEDANG</v>
      </c>
      <c r="G25" s="347" t="s">
        <v>578</v>
      </c>
      <c r="H25" s="348" t="str">
        <f t="shared" si="2"/>
        <v>TOYOTA</v>
      </c>
      <c r="I25" s="348">
        <f t="shared" si="3"/>
        <v>325000000</v>
      </c>
      <c r="J25" s="348" t="str">
        <f t="shared" si="4"/>
        <v>Malaysia</v>
      </c>
      <c r="K25" s="350" t="str">
        <f t="shared" si="5"/>
        <v>Putih</v>
      </c>
      <c r="L25" s="255"/>
      <c r="M25" s="25" t="s">
        <v>76</v>
      </c>
      <c r="N25" s="25" t="s">
        <v>579</v>
      </c>
      <c r="O25" s="285">
        <v>213000000</v>
      </c>
      <c r="P25" s="251"/>
      <c r="Q25" s="252"/>
      <c r="R25" s="252"/>
    </row>
    <row r="26" spans="1:18" x14ac:dyDescent="0.25">
      <c r="A26" s="345">
        <v>24</v>
      </c>
      <c r="B26" s="349" t="s">
        <v>580</v>
      </c>
      <c r="C26" s="347" t="s">
        <v>76</v>
      </c>
      <c r="D26" s="348" t="str">
        <f t="shared" si="0"/>
        <v>JOMBLO</v>
      </c>
      <c r="E26" s="347" t="s">
        <v>540</v>
      </c>
      <c r="F26" s="348" t="str">
        <f t="shared" si="1"/>
        <v>RENDAH</v>
      </c>
      <c r="G26" s="347" t="s">
        <v>555</v>
      </c>
      <c r="H26" s="348" t="str">
        <f t="shared" si="2"/>
        <v>NISSAN</v>
      </c>
      <c r="I26" s="348">
        <f t="shared" si="3"/>
        <v>248000000</v>
      </c>
      <c r="J26" s="348" t="str">
        <f t="shared" si="4"/>
        <v>Amerika</v>
      </c>
      <c r="K26" s="350" t="str">
        <f t="shared" si="5"/>
        <v>Biru</v>
      </c>
      <c r="L26" s="255"/>
      <c r="M26" s="25" t="s">
        <v>472</v>
      </c>
      <c r="N26" s="25" t="s">
        <v>581</v>
      </c>
      <c r="O26" s="285">
        <v>325000000</v>
      </c>
      <c r="P26" s="251"/>
      <c r="Q26" s="252"/>
      <c r="R26" s="252"/>
    </row>
    <row r="27" spans="1:18" x14ac:dyDescent="0.25">
      <c r="A27" s="345">
        <v>25</v>
      </c>
      <c r="B27" s="349" t="s">
        <v>582</v>
      </c>
      <c r="C27" s="347" t="s">
        <v>76</v>
      </c>
      <c r="D27" s="348" t="str">
        <f t="shared" si="0"/>
        <v>JOMBLO</v>
      </c>
      <c r="E27" s="347" t="s">
        <v>523</v>
      </c>
      <c r="F27" s="348" t="str">
        <f t="shared" si="1"/>
        <v>RENDAH</v>
      </c>
      <c r="G27" s="347" t="s">
        <v>541</v>
      </c>
      <c r="H27" s="348" t="str">
        <f t="shared" si="2"/>
        <v>ESEMKA</v>
      </c>
      <c r="I27" s="348">
        <f t="shared" si="3"/>
        <v>135000000</v>
      </c>
      <c r="J27" s="348" t="str">
        <f t="shared" si="4"/>
        <v>Indonesia</v>
      </c>
      <c r="K27" s="350" t="str">
        <f t="shared" si="5"/>
        <v>Putih</v>
      </c>
      <c r="L27" s="255"/>
      <c r="M27" s="251"/>
      <c r="N27" s="251"/>
      <c r="O27" s="251"/>
      <c r="P27" s="251"/>
      <c r="Q27" s="252"/>
      <c r="R27" s="252"/>
    </row>
    <row r="28" spans="1:18" x14ac:dyDescent="0.25">
      <c r="A28" s="351">
        <v>26</v>
      </c>
      <c r="B28" s="352" t="s">
        <v>583</v>
      </c>
      <c r="C28" s="353" t="s">
        <v>75</v>
      </c>
      <c r="D28" s="348" t="str">
        <f t="shared" si="0"/>
        <v>DUDA</v>
      </c>
      <c r="E28" s="353" t="s">
        <v>530</v>
      </c>
      <c r="F28" s="348" t="str">
        <f t="shared" si="1"/>
        <v>SEDANG</v>
      </c>
      <c r="G28" s="353" t="s">
        <v>563</v>
      </c>
      <c r="H28" s="348" t="str">
        <f t="shared" si="2"/>
        <v>HONDA</v>
      </c>
      <c r="I28" s="348">
        <f t="shared" si="3"/>
        <v>240000000</v>
      </c>
      <c r="J28" s="348" t="str">
        <f t="shared" si="4"/>
        <v>Malaysia</v>
      </c>
      <c r="K28" s="350" t="str">
        <f t="shared" si="5"/>
        <v>Biru</v>
      </c>
      <c r="L28" s="255"/>
      <c r="M28" s="260" t="s">
        <v>584</v>
      </c>
      <c r="N28" s="260" t="s">
        <v>518</v>
      </c>
      <c r="O28" s="142"/>
      <c r="P28" s="251"/>
      <c r="Q28" s="252"/>
      <c r="R28" s="25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55"/>
      <c r="M29" s="142" t="s">
        <v>74</v>
      </c>
      <c r="N29" s="142" t="s">
        <v>585</v>
      </c>
      <c r="O29" s="142"/>
      <c r="P29" s="251"/>
      <c r="Q29" s="252"/>
      <c r="R29" s="252"/>
    </row>
    <row r="30" spans="1:18" x14ac:dyDescent="0.25">
      <c r="A30" s="261"/>
      <c r="B30" s="252"/>
      <c r="C30" s="252"/>
      <c r="D30" s="252"/>
      <c r="E30" s="252"/>
      <c r="F30" s="252"/>
      <c r="G30" s="252"/>
      <c r="H30" s="261"/>
      <c r="I30" s="252"/>
      <c r="J30" s="252"/>
      <c r="K30" s="252"/>
      <c r="L30" s="255" t="str">
        <f t="shared" ref="L30:L36" si="6">MID(G30,3,1)</f>
        <v/>
      </c>
      <c r="M30" s="142" t="s">
        <v>586</v>
      </c>
      <c r="N30" s="142" t="s">
        <v>587</v>
      </c>
      <c r="O30" s="142"/>
      <c r="P30" s="251"/>
      <c r="Q30" s="252"/>
      <c r="R30" s="252"/>
    </row>
    <row r="31" spans="1:18" x14ac:dyDescent="0.25">
      <c r="A31" s="261"/>
      <c r="B31" s="252"/>
      <c r="C31" s="252"/>
      <c r="D31" s="252"/>
      <c r="E31" s="252"/>
      <c r="F31" s="252"/>
      <c r="G31" s="252"/>
      <c r="H31" s="261"/>
      <c r="I31" s="252"/>
      <c r="J31" s="252"/>
      <c r="K31" s="252"/>
      <c r="L31" s="255" t="str">
        <f t="shared" si="6"/>
        <v/>
      </c>
      <c r="M31" s="142" t="s">
        <v>588</v>
      </c>
      <c r="N31" s="142" t="s">
        <v>589</v>
      </c>
      <c r="O31" s="142"/>
      <c r="P31" s="251"/>
      <c r="Q31" s="252"/>
      <c r="R31" s="252"/>
    </row>
    <row r="32" spans="1:18" x14ac:dyDescent="0.25">
      <c r="A32" s="261"/>
      <c r="B32" s="252"/>
      <c r="C32" s="252"/>
      <c r="D32" s="252"/>
      <c r="E32" s="252"/>
      <c r="F32" s="252"/>
      <c r="G32" s="252"/>
      <c r="H32" s="261"/>
      <c r="I32" s="252"/>
      <c r="J32" s="252"/>
      <c r="K32" s="252"/>
      <c r="L32" s="255" t="str">
        <f t="shared" si="6"/>
        <v/>
      </c>
      <c r="M32" s="142" t="s">
        <v>472</v>
      </c>
      <c r="N32" s="142" t="s">
        <v>590</v>
      </c>
      <c r="O32" s="142"/>
      <c r="P32" s="251"/>
      <c r="Q32" s="252"/>
      <c r="R32" s="252"/>
    </row>
    <row r="33" spans="1:18" x14ac:dyDescent="0.25">
      <c r="A33" s="261"/>
      <c r="B33" s="252"/>
      <c r="C33" s="252"/>
      <c r="D33" s="252"/>
      <c r="E33" s="252"/>
      <c r="F33" s="252"/>
      <c r="G33" s="252"/>
      <c r="H33" s="261"/>
      <c r="I33" s="252"/>
      <c r="J33" s="252"/>
      <c r="K33" s="252"/>
      <c r="L33" s="255" t="str">
        <f t="shared" si="6"/>
        <v/>
      </c>
      <c r="M33" s="142" t="s">
        <v>77</v>
      </c>
      <c r="N33" s="142" t="s">
        <v>591</v>
      </c>
      <c r="O33" s="142"/>
      <c r="P33" s="251"/>
      <c r="Q33" s="252"/>
      <c r="R33" s="252"/>
    </row>
    <row r="34" spans="1:18" x14ac:dyDescent="0.25">
      <c r="A34" s="261"/>
      <c r="B34" s="252"/>
      <c r="C34" s="261"/>
      <c r="D34" s="252"/>
      <c r="E34" s="252"/>
      <c r="F34" s="252"/>
      <c r="G34" s="252"/>
      <c r="H34" s="261"/>
      <c r="I34" s="252"/>
      <c r="J34" s="252"/>
      <c r="K34" s="252"/>
      <c r="L34" s="255" t="str">
        <f t="shared" si="6"/>
        <v/>
      </c>
      <c r="M34" s="142" t="s">
        <v>141</v>
      </c>
      <c r="N34" s="142" t="s">
        <v>63</v>
      </c>
      <c r="O34" s="142"/>
      <c r="P34" s="251"/>
      <c r="Q34" s="252"/>
      <c r="R34" s="252"/>
    </row>
    <row r="35" spans="1:18" x14ac:dyDescent="0.25">
      <c r="A35" s="261"/>
      <c r="B35" s="252"/>
      <c r="C35" s="261"/>
      <c r="D35" s="252"/>
      <c r="E35" s="252"/>
      <c r="F35" s="252"/>
      <c r="G35" s="252"/>
      <c r="H35" s="261"/>
      <c r="I35" s="252"/>
      <c r="J35" s="252"/>
      <c r="K35" s="252"/>
      <c r="L35" s="255" t="str">
        <f t="shared" si="6"/>
        <v/>
      </c>
      <c r="M35" s="142" t="s">
        <v>467</v>
      </c>
      <c r="N35" s="142" t="s">
        <v>592</v>
      </c>
      <c r="O35" s="142"/>
      <c r="P35" s="251"/>
      <c r="Q35" s="252"/>
      <c r="R35" s="252"/>
    </row>
    <row r="36" spans="1:18" x14ac:dyDescent="0.25">
      <c r="A36" s="261"/>
      <c r="B36" s="252"/>
      <c r="C36" s="261"/>
      <c r="D36" s="252"/>
      <c r="E36" s="252"/>
      <c r="F36" s="252"/>
      <c r="G36" s="252"/>
      <c r="H36" s="261"/>
      <c r="I36" s="252"/>
      <c r="J36" s="252"/>
      <c r="K36" s="252"/>
      <c r="L36" s="255" t="str">
        <f t="shared" si="6"/>
        <v/>
      </c>
      <c r="M36" s="142" t="s">
        <v>143</v>
      </c>
      <c r="N36" s="142" t="s">
        <v>66</v>
      </c>
      <c r="O36" s="142"/>
      <c r="P36" s="251"/>
      <c r="Q36" s="252"/>
      <c r="R36" s="252"/>
    </row>
    <row r="37" spans="1:18" x14ac:dyDescent="0.25">
      <c r="A37" s="261"/>
      <c r="B37" s="252"/>
      <c r="C37" s="261"/>
      <c r="D37" s="252"/>
      <c r="E37" s="252"/>
      <c r="F37" s="252"/>
      <c r="G37" s="252"/>
      <c r="H37" s="261"/>
      <c r="I37" s="252"/>
      <c r="J37" s="252"/>
      <c r="K37" s="252"/>
      <c r="L37" s="252"/>
      <c r="M37" s="251"/>
      <c r="N37" s="251"/>
      <c r="O37" s="251"/>
      <c r="P37" s="251"/>
      <c r="Q37" s="252"/>
      <c r="R37" s="252"/>
    </row>
    <row r="38" spans="1:18" x14ac:dyDescent="0.25">
      <c r="A38" s="261"/>
      <c r="B38" s="252"/>
      <c r="C38" s="261"/>
      <c r="D38" s="252"/>
      <c r="E38" s="252"/>
      <c r="F38" s="252"/>
      <c r="G38" s="252"/>
      <c r="H38" s="261"/>
      <c r="I38" s="252"/>
      <c r="J38" s="252"/>
      <c r="K38" s="252"/>
      <c r="L38" s="252"/>
      <c r="M38" s="250" t="s">
        <v>1071</v>
      </c>
      <c r="N38" s="250" t="s">
        <v>1070</v>
      </c>
      <c r="O38" s="254"/>
      <c r="P38" s="252"/>
      <c r="Q38" s="252"/>
      <c r="R38" s="252"/>
    </row>
    <row r="39" spans="1:18" x14ac:dyDescent="0.25">
      <c r="A39" s="261"/>
      <c r="B39" s="252"/>
      <c r="C39" s="261"/>
      <c r="D39" s="252"/>
      <c r="E39" s="252"/>
      <c r="F39" s="252"/>
      <c r="G39" s="252"/>
      <c r="H39" s="261"/>
      <c r="I39" s="252"/>
      <c r="J39" s="252"/>
      <c r="K39" s="252"/>
      <c r="L39" s="252"/>
      <c r="M39" s="354">
        <v>0</v>
      </c>
      <c r="N39" s="354" t="s">
        <v>1072</v>
      </c>
      <c r="O39" s="254"/>
      <c r="P39" s="252"/>
      <c r="Q39" s="252"/>
      <c r="R39" s="252"/>
    </row>
    <row r="40" spans="1:18" x14ac:dyDescent="0.25">
      <c r="A40" s="261"/>
      <c r="B40" s="252"/>
      <c r="C40" s="261"/>
      <c r="D40" s="252"/>
      <c r="E40" s="252"/>
      <c r="F40" s="252"/>
      <c r="G40" s="252"/>
      <c r="H40" s="261"/>
      <c r="I40" s="252"/>
      <c r="J40" s="252"/>
      <c r="K40" s="252"/>
      <c r="L40" s="252"/>
      <c r="M40" s="354">
        <v>1</v>
      </c>
      <c r="N40" s="354" t="s">
        <v>1073</v>
      </c>
      <c r="O40" s="254"/>
      <c r="P40" s="252"/>
      <c r="Q40" s="252"/>
      <c r="R40" s="252"/>
    </row>
    <row r="41" spans="1:18" x14ac:dyDescent="0.25">
      <c r="A41" s="261"/>
      <c r="B41" s="252"/>
      <c r="C41" s="261"/>
      <c r="D41" s="252"/>
      <c r="E41" s="252"/>
      <c r="F41" s="252"/>
      <c r="G41" s="252"/>
      <c r="H41" s="261"/>
      <c r="I41" s="252"/>
      <c r="J41" s="252"/>
      <c r="K41" s="252"/>
      <c r="L41" s="252"/>
      <c r="M41" s="354">
        <v>2</v>
      </c>
      <c r="N41" s="354" t="s">
        <v>1074</v>
      </c>
      <c r="O41" s="254"/>
      <c r="P41" s="252"/>
      <c r="Q41" s="252"/>
      <c r="R41" s="252"/>
    </row>
    <row r="42" spans="1:18" x14ac:dyDescent="0.25">
      <c r="A42" s="261"/>
      <c r="B42" s="252"/>
      <c r="C42" s="261"/>
      <c r="D42" s="252"/>
      <c r="E42" s="252"/>
      <c r="F42" s="252"/>
      <c r="G42" s="252"/>
      <c r="H42" s="261"/>
      <c r="I42" s="252"/>
      <c r="J42" s="252"/>
      <c r="K42" s="252"/>
      <c r="L42" s="252"/>
      <c r="M42" s="252"/>
      <c r="N42" s="252"/>
      <c r="O42" s="254"/>
      <c r="P42" s="252"/>
      <c r="Q42" s="252"/>
      <c r="R42" s="252"/>
    </row>
    <row r="43" spans="1:18" x14ac:dyDescent="0.25">
      <c r="A43" s="261"/>
      <c r="B43" s="252"/>
      <c r="C43" s="261"/>
      <c r="D43" s="252"/>
      <c r="E43" s="252"/>
      <c r="F43" s="252"/>
      <c r="G43" s="252"/>
      <c r="H43" s="261"/>
      <c r="I43" s="252"/>
      <c r="J43" s="252"/>
      <c r="K43" s="252"/>
      <c r="L43" s="252"/>
      <c r="M43" s="252"/>
      <c r="N43" s="252"/>
      <c r="O43" s="254"/>
      <c r="P43" s="252"/>
      <c r="Q43" s="252"/>
      <c r="R43" s="252"/>
    </row>
    <row r="44" spans="1:18" x14ac:dyDescent="0.25">
      <c r="A44" s="261"/>
      <c r="B44" s="252"/>
      <c r="C44" s="261"/>
      <c r="D44" s="252"/>
      <c r="E44" s="252"/>
      <c r="F44" s="252"/>
      <c r="G44" s="252"/>
      <c r="H44" s="261"/>
      <c r="I44" s="252"/>
      <c r="J44" s="252"/>
      <c r="K44" s="252"/>
      <c r="L44" s="252"/>
      <c r="M44" s="252"/>
      <c r="N44" s="252"/>
      <c r="O44" s="254"/>
      <c r="P44" s="252"/>
      <c r="Q44" s="252"/>
      <c r="R44" s="252"/>
    </row>
    <row r="45" spans="1:18" x14ac:dyDescent="0.25">
      <c r="A45" s="261"/>
      <c r="B45" s="252"/>
      <c r="C45" s="261"/>
      <c r="D45" s="252"/>
      <c r="E45" s="252"/>
      <c r="F45" s="252"/>
      <c r="G45" s="252"/>
      <c r="H45" s="261"/>
      <c r="I45" s="252"/>
      <c r="J45" s="252"/>
      <c r="K45" s="252"/>
      <c r="L45" s="252"/>
      <c r="M45" s="252"/>
      <c r="N45" s="252"/>
      <c r="O45" s="254"/>
      <c r="P45" s="252"/>
      <c r="Q45" s="252"/>
      <c r="R45" s="252"/>
    </row>
    <row r="46" spans="1:18" x14ac:dyDescent="0.25">
      <c r="A46" s="261"/>
      <c r="B46" s="252"/>
      <c r="C46" s="261"/>
      <c r="D46" s="252"/>
      <c r="E46" s="252"/>
      <c r="F46" s="252"/>
      <c r="G46" s="252"/>
      <c r="H46" s="261"/>
      <c r="I46" s="252"/>
      <c r="J46" s="252"/>
      <c r="K46" s="252"/>
      <c r="L46" s="252"/>
      <c r="M46" s="252"/>
      <c r="N46" s="252"/>
      <c r="O46" s="254"/>
      <c r="P46" s="252"/>
      <c r="Q46" s="252"/>
      <c r="R46" s="252"/>
    </row>
    <row r="47" spans="1:18" x14ac:dyDescent="0.25">
      <c r="A47" s="261"/>
      <c r="B47" s="252"/>
      <c r="C47" s="261"/>
      <c r="D47" s="252"/>
      <c r="E47" s="252"/>
      <c r="F47" s="252"/>
      <c r="G47" s="252"/>
      <c r="H47" s="261"/>
      <c r="I47" s="252"/>
      <c r="J47" s="252"/>
      <c r="K47" s="252"/>
      <c r="L47" s="252"/>
      <c r="M47" s="252"/>
      <c r="N47" s="252"/>
      <c r="O47" s="254"/>
      <c r="P47" s="252"/>
      <c r="Q47" s="252"/>
      <c r="R47" s="252"/>
    </row>
    <row r="48" spans="1:18" x14ac:dyDescent="0.25">
      <c r="A48" s="261"/>
      <c r="B48" s="252"/>
      <c r="C48" s="261"/>
      <c r="D48" s="252"/>
      <c r="E48" s="252"/>
      <c r="F48" s="252"/>
      <c r="G48" s="252"/>
      <c r="H48" s="261"/>
      <c r="I48" s="252"/>
      <c r="J48" s="252"/>
      <c r="K48" s="252"/>
      <c r="L48" s="252"/>
      <c r="M48" s="252"/>
      <c r="N48" s="252"/>
      <c r="O48" s="254"/>
      <c r="P48" s="252"/>
      <c r="Q48" s="252"/>
      <c r="R48" s="252"/>
    </row>
    <row r="49" spans="1:18" x14ac:dyDescent="0.25">
      <c r="A49" s="261"/>
      <c r="B49" s="252"/>
      <c r="C49" s="261"/>
      <c r="D49" s="252"/>
      <c r="E49" s="252"/>
      <c r="F49" s="252"/>
      <c r="G49" s="252"/>
      <c r="H49" s="261"/>
      <c r="I49" s="252"/>
      <c r="J49" s="252"/>
      <c r="K49" s="252"/>
      <c r="L49" s="252"/>
      <c r="M49" s="252"/>
      <c r="N49" s="252"/>
      <c r="O49" s="254"/>
      <c r="P49" s="252"/>
      <c r="Q49" s="252"/>
      <c r="R49" s="252"/>
    </row>
    <row r="50" spans="1:18" x14ac:dyDescent="0.25">
      <c r="O50" s="262"/>
    </row>
    <row r="51" spans="1:18" x14ac:dyDescent="0.25">
      <c r="O51" s="262"/>
    </row>
    <row r="52" spans="1:18" x14ac:dyDescent="0.25">
      <c r="G52" s="286"/>
      <c r="H52" s="287"/>
      <c r="I52" s="286"/>
      <c r="J52" s="286"/>
      <c r="K52" s="286"/>
      <c r="O52" s="262"/>
    </row>
    <row r="53" spans="1:18" x14ac:dyDescent="0.25">
      <c r="G53" s="286"/>
      <c r="H53" s="287"/>
      <c r="I53" s="286"/>
      <c r="J53" s="286"/>
      <c r="K53" s="286"/>
      <c r="O53" s="262"/>
    </row>
    <row r="54" spans="1:18" x14ac:dyDescent="0.25">
      <c r="G54" s="286"/>
      <c r="H54" s="287"/>
      <c r="I54" s="286"/>
      <c r="J54" s="286"/>
      <c r="K54" s="286"/>
      <c r="O54" s="262"/>
    </row>
    <row r="55" spans="1:18" x14ac:dyDescent="0.25">
      <c r="G55" s="286"/>
      <c r="H55" s="287" t="s">
        <v>644</v>
      </c>
      <c r="I55" s="286"/>
      <c r="J55" s="286"/>
      <c r="K55" s="286"/>
      <c r="O55" s="262"/>
    </row>
    <row r="56" spans="1:18" x14ac:dyDescent="0.25">
      <c r="G56" s="286"/>
      <c r="H56" s="287"/>
      <c r="I56" s="286" t="s">
        <v>643</v>
      </c>
      <c r="J56" s="286"/>
      <c r="K56" s="286"/>
      <c r="O56" s="262"/>
    </row>
    <row r="57" spans="1:18" x14ac:dyDescent="0.25">
      <c r="G57" s="286"/>
      <c r="H57" s="287"/>
      <c r="I57" s="286"/>
      <c r="J57" s="286"/>
      <c r="K57" s="286"/>
      <c r="O57" s="262"/>
    </row>
    <row r="58" spans="1:18" x14ac:dyDescent="0.25">
      <c r="G58" s="286"/>
      <c r="H58" s="287"/>
      <c r="I58" s="286"/>
      <c r="J58" s="286"/>
      <c r="K58" s="286"/>
      <c r="O58" s="262"/>
    </row>
    <row r="59" spans="1:18" x14ac:dyDescent="0.25">
      <c r="G59" s="286"/>
      <c r="H59" s="287"/>
      <c r="I59" s="286"/>
      <c r="J59" s="286"/>
      <c r="K59" s="286"/>
      <c r="O59" s="262"/>
    </row>
    <row r="60" spans="1:18" x14ac:dyDescent="0.25">
      <c r="G60" s="286"/>
      <c r="H60" s="287"/>
      <c r="I60" s="286"/>
      <c r="J60" s="286"/>
      <c r="K60" s="286"/>
      <c r="O60" s="262"/>
    </row>
    <row r="61" spans="1:18" x14ac:dyDescent="0.25">
      <c r="G61" s="286"/>
      <c r="H61" s="287"/>
      <c r="I61" s="286"/>
      <c r="J61" s="286"/>
      <c r="K61" s="286"/>
      <c r="O61" s="262"/>
    </row>
    <row r="62" spans="1:18" x14ac:dyDescent="0.25">
      <c r="O62" s="262"/>
    </row>
    <row r="63" spans="1:18" x14ac:dyDescent="0.25">
      <c r="O63" s="262"/>
    </row>
    <row r="64" spans="1:18" x14ac:dyDescent="0.25">
      <c r="O64" s="262"/>
    </row>
    <row r="65" spans="15:15" x14ac:dyDescent="0.25">
      <c r="O65" s="262"/>
    </row>
    <row r="66" spans="15:15" x14ac:dyDescent="0.25">
      <c r="O66" s="262"/>
    </row>
    <row r="67" spans="15:15" x14ac:dyDescent="0.25">
      <c r="O67" s="262"/>
    </row>
    <row r="68" spans="15:15" x14ac:dyDescent="0.25">
      <c r="O68" s="262"/>
    </row>
    <row r="69" spans="15:15" x14ac:dyDescent="0.25">
      <c r="O69" s="262"/>
    </row>
    <row r="70" spans="15:15" x14ac:dyDescent="0.25">
      <c r="O70" s="262"/>
    </row>
    <row r="71" spans="15:15" x14ac:dyDescent="0.25">
      <c r="O71" s="262"/>
    </row>
    <row r="72" spans="15:15" x14ac:dyDescent="0.25">
      <c r="O72" s="262"/>
    </row>
    <row r="73" spans="15:15" x14ac:dyDescent="0.25">
      <c r="O73" s="262"/>
    </row>
  </sheetData>
  <sortState xmlns:xlrd2="http://schemas.microsoft.com/office/spreadsheetml/2017/richdata2" ref="J4:N13">
    <sortCondition ref="M4"/>
  </sortState>
  <mergeCells count="1">
    <mergeCell ref="D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2"/>
  <sheetViews>
    <sheetView workbookViewId="0">
      <selection activeCell="G8" sqref="G8"/>
    </sheetView>
  </sheetViews>
  <sheetFormatPr defaultRowHeight="15" x14ac:dyDescent="0.25"/>
  <cols>
    <col min="1" max="1" width="9.140625" style="19"/>
    <col min="2" max="2" width="12" customWidth="1"/>
    <col min="3" max="3" width="15.5703125" customWidth="1"/>
    <col min="4" max="4" width="12.140625" style="19" customWidth="1"/>
    <col min="5" max="6" width="15.28515625" style="19" customWidth="1"/>
    <col min="7" max="7" width="15.140625" customWidth="1"/>
    <col min="8" max="8" width="21.140625" customWidth="1"/>
    <col min="9" max="10" width="0" hidden="1" customWidth="1"/>
    <col min="11" max="11" width="14.42578125" customWidth="1"/>
    <col min="12" max="12" width="17" style="19" customWidth="1"/>
    <col min="13" max="13" width="12.5703125" style="19" customWidth="1"/>
  </cols>
  <sheetData>
    <row r="1" spans="1:15" ht="26.25" x14ac:dyDescent="0.4">
      <c r="A1" s="270" t="s">
        <v>613</v>
      </c>
    </row>
    <row r="2" spans="1:15" s="220" customFormat="1" x14ac:dyDescent="0.25">
      <c r="A2" s="393" t="s">
        <v>83</v>
      </c>
      <c r="B2" s="393" t="s">
        <v>13</v>
      </c>
      <c r="C2" s="393" t="s">
        <v>186</v>
      </c>
      <c r="D2" s="392" t="s">
        <v>593</v>
      </c>
      <c r="E2" s="392"/>
      <c r="F2" s="393" t="s">
        <v>597</v>
      </c>
      <c r="G2" s="392" t="s">
        <v>594</v>
      </c>
      <c r="H2" s="392"/>
      <c r="L2" s="192"/>
      <c r="M2" s="192"/>
      <c r="O2"/>
    </row>
    <row r="3" spans="1:15" s="220" customFormat="1" x14ac:dyDescent="0.25">
      <c r="A3" s="393"/>
      <c r="B3" s="393"/>
      <c r="C3" s="393"/>
      <c r="D3" s="271" t="s">
        <v>595</v>
      </c>
      <c r="E3" s="271" t="s">
        <v>596</v>
      </c>
      <c r="F3" s="393"/>
      <c r="G3" s="271" t="s">
        <v>598</v>
      </c>
      <c r="H3" s="271" t="s">
        <v>599</v>
      </c>
      <c r="I3" s="192"/>
      <c r="L3" s="263" t="s">
        <v>600</v>
      </c>
      <c r="M3" s="263" t="s">
        <v>594</v>
      </c>
    </row>
    <row r="4" spans="1:15" x14ac:dyDescent="0.25">
      <c r="A4" s="19">
        <v>1</v>
      </c>
      <c r="B4" t="s">
        <v>519</v>
      </c>
      <c r="C4" t="s">
        <v>204</v>
      </c>
      <c r="D4" s="264">
        <v>41244</v>
      </c>
      <c r="E4" s="397">
        <v>41248</v>
      </c>
      <c r="F4" s="266">
        <f>E4-D4</f>
        <v>4</v>
      </c>
      <c r="G4" s="266">
        <f>IF(F4&gt;4,F4-4,0)</f>
        <v>0</v>
      </c>
      <c r="H4" s="2">
        <f>VLOOKUP(IF(G4&lt;1,0,IF(G4&gt;5,$L$9,G4)),$L$4:$M$10,2,FALSE)</f>
        <v>0</v>
      </c>
      <c r="J4" s="265"/>
      <c r="K4" s="269">
        <f>IFERROR(IF(G4&gt;O2,10000,VLOOKUP(G4,$L$3:$M$9,2,FALSE)),0)</f>
        <v>0</v>
      </c>
      <c r="L4" s="267">
        <v>1</v>
      </c>
      <c r="M4" s="267">
        <v>500</v>
      </c>
    </row>
    <row r="5" spans="1:15" x14ac:dyDescent="0.25">
      <c r="A5" s="19">
        <v>2</v>
      </c>
      <c r="B5" t="s">
        <v>536</v>
      </c>
      <c r="C5" t="s">
        <v>204</v>
      </c>
      <c r="D5" s="264">
        <v>41192</v>
      </c>
      <c r="E5" s="397">
        <v>41199</v>
      </c>
      <c r="F5" s="266">
        <f t="shared" ref="F5:F52" si="0">E5-D5</f>
        <v>7</v>
      </c>
      <c r="G5" s="266">
        <f t="shared" ref="G5:G52" si="1">IF(F5&gt;4,F5-4,0)</f>
        <v>3</v>
      </c>
      <c r="H5" s="2">
        <f t="shared" ref="H5:H52" si="2">VLOOKUP(IF(G5&lt;1,0,IF(G5&gt;5,$L$9,G5)),$L$4:$M$10,2,FALSE)</f>
        <v>1500</v>
      </c>
      <c r="J5" s="265"/>
      <c r="L5" s="267">
        <v>2</v>
      </c>
      <c r="M5" s="267">
        <v>1000</v>
      </c>
    </row>
    <row r="6" spans="1:15" x14ac:dyDescent="0.25">
      <c r="A6" s="19">
        <v>3</v>
      </c>
      <c r="B6" t="s">
        <v>536</v>
      </c>
      <c r="C6" t="s">
        <v>204</v>
      </c>
      <c r="D6" s="264">
        <v>41192</v>
      </c>
      <c r="E6" s="397">
        <v>41199</v>
      </c>
      <c r="F6" s="266">
        <f t="shared" si="0"/>
        <v>7</v>
      </c>
      <c r="G6" s="266">
        <f t="shared" si="1"/>
        <v>3</v>
      </c>
      <c r="H6" s="2">
        <f t="shared" si="2"/>
        <v>1500</v>
      </c>
      <c r="J6" s="265"/>
      <c r="L6" s="267">
        <v>3</v>
      </c>
      <c r="M6" s="267">
        <v>1500</v>
      </c>
    </row>
    <row r="7" spans="1:15" x14ac:dyDescent="0.25">
      <c r="A7" s="19">
        <v>4</v>
      </c>
      <c r="B7" t="s">
        <v>55</v>
      </c>
      <c r="C7" t="s">
        <v>204</v>
      </c>
      <c r="D7" s="264">
        <v>41193</v>
      </c>
      <c r="E7" s="397">
        <v>41197</v>
      </c>
      <c r="F7" s="266">
        <f t="shared" si="0"/>
        <v>4</v>
      </c>
      <c r="G7" s="266">
        <f t="shared" si="1"/>
        <v>0</v>
      </c>
      <c r="H7" s="2">
        <f t="shared" si="2"/>
        <v>0</v>
      </c>
      <c r="J7" s="265"/>
      <c r="L7" s="267">
        <v>4</v>
      </c>
      <c r="M7" s="267">
        <v>2000</v>
      </c>
    </row>
    <row r="8" spans="1:15" x14ac:dyDescent="0.25">
      <c r="A8" s="19">
        <v>5</v>
      </c>
      <c r="B8" t="s">
        <v>601</v>
      </c>
      <c r="C8" t="s">
        <v>602</v>
      </c>
      <c r="D8" s="264">
        <v>41162</v>
      </c>
      <c r="E8" s="397">
        <v>41167</v>
      </c>
      <c r="F8" s="266">
        <f t="shared" si="0"/>
        <v>5</v>
      </c>
      <c r="G8" s="266">
        <f t="shared" si="1"/>
        <v>1</v>
      </c>
      <c r="H8" s="2">
        <f t="shared" si="2"/>
        <v>500</v>
      </c>
      <c r="J8" s="265"/>
      <c r="L8" s="267">
        <v>5</v>
      </c>
      <c r="M8" s="267">
        <v>2500</v>
      </c>
    </row>
    <row r="9" spans="1:15" x14ac:dyDescent="0.25">
      <c r="A9" s="19">
        <v>6</v>
      </c>
      <c r="B9" t="s">
        <v>533</v>
      </c>
      <c r="C9" t="s">
        <v>603</v>
      </c>
      <c r="D9" s="264">
        <v>41199</v>
      </c>
      <c r="E9" s="397">
        <v>41207</v>
      </c>
      <c r="F9" s="266">
        <f t="shared" si="0"/>
        <v>8</v>
      </c>
      <c r="G9" s="266">
        <f t="shared" si="1"/>
        <v>4</v>
      </c>
      <c r="H9" s="2">
        <f t="shared" si="2"/>
        <v>2000</v>
      </c>
      <c r="J9" s="265"/>
      <c r="L9" s="267" t="s">
        <v>604</v>
      </c>
      <c r="M9" s="267">
        <v>10000</v>
      </c>
    </row>
    <row r="10" spans="1:15" x14ac:dyDescent="0.25">
      <c r="A10" s="19">
        <v>7</v>
      </c>
      <c r="B10" t="s">
        <v>605</v>
      </c>
      <c r="C10" t="s">
        <v>514</v>
      </c>
      <c r="D10" s="264">
        <v>41245</v>
      </c>
      <c r="E10" s="397">
        <v>41249</v>
      </c>
      <c r="F10" s="266">
        <f t="shared" si="0"/>
        <v>4</v>
      </c>
      <c r="G10" s="266">
        <f t="shared" si="1"/>
        <v>0</v>
      </c>
      <c r="H10" s="2">
        <f t="shared" si="2"/>
        <v>0</v>
      </c>
      <c r="J10" s="265"/>
      <c r="L10" s="267">
        <v>0</v>
      </c>
      <c r="M10" s="267">
        <v>0</v>
      </c>
    </row>
    <row r="11" spans="1:15" x14ac:dyDescent="0.25">
      <c r="A11" s="19">
        <v>8</v>
      </c>
      <c r="B11" t="s">
        <v>522</v>
      </c>
      <c r="C11" t="s">
        <v>208</v>
      </c>
      <c r="D11" s="264">
        <v>41192</v>
      </c>
      <c r="E11" s="397">
        <v>41206</v>
      </c>
      <c r="F11" s="266">
        <f t="shared" si="0"/>
        <v>14</v>
      </c>
      <c r="G11" s="266">
        <f t="shared" si="1"/>
        <v>10</v>
      </c>
      <c r="H11" s="2">
        <f t="shared" si="2"/>
        <v>10000</v>
      </c>
      <c r="J11" s="265"/>
      <c r="L11" s="268" t="s">
        <v>606</v>
      </c>
    </row>
    <row r="12" spans="1:15" x14ac:dyDescent="0.25">
      <c r="A12" s="19">
        <v>9</v>
      </c>
      <c r="B12" t="s">
        <v>87</v>
      </c>
      <c r="C12" t="s">
        <v>208</v>
      </c>
      <c r="D12" s="264">
        <v>41192</v>
      </c>
      <c r="E12" s="397">
        <v>41201</v>
      </c>
      <c r="F12" s="266">
        <f t="shared" si="0"/>
        <v>9</v>
      </c>
      <c r="G12" s="266">
        <f t="shared" si="1"/>
        <v>5</v>
      </c>
      <c r="H12" s="2">
        <f t="shared" si="2"/>
        <v>2500</v>
      </c>
      <c r="J12" s="265"/>
    </row>
    <row r="13" spans="1:15" x14ac:dyDescent="0.25">
      <c r="A13" s="19">
        <v>10</v>
      </c>
      <c r="B13" t="s">
        <v>607</v>
      </c>
      <c r="C13" t="s">
        <v>208</v>
      </c>
      <c r="D13" s="264">
        <v>41162</v>
      </c>
      <c r="E13" s="397">
        <v>41169</v>
      </c>
      <c r="F13" s="266">
        <f t="shared" si="0"/>
        <v>7</v>
      </c>
      <c r="G13" s="266">
        <f t="shared" si="1"/>
        <v>3</v>
      </c>
      <c r="H13" s="2">
        <f t="shared" si="2"/>
        <v>1500</v>
      </c>
      <c r="J13" s="265"/>
    </row>
    <row r="14" spans="1:15" x14ac:dyDescent="0.25">
      <c r="A14" s="19">
        <v>11</v>
      </c>
      <c r="B14" t="s">
        <v>608</v>
      </c>
      <c r="C14" t="s">
        <v>603</v>
      </c>
      <c r="D14" s="264">
        <v>41162</v>
      </c>
      <c r="E14" s="397">
        <v>41167</v>
      </c>
      <c r="F14" s="266">
        <f t="shared" si="0"/>
        <v>5</v>
      </c>
      <c r="G14" s="266">
        <f t="shared" si="1"/>
        <v>1</v>
      </c>
      <c r="H14" s="2">
        <f t="shared" si="2"/>
        <v>500</v>
      </c>
      <c r="J14" s="265"/>
      <c r="L14" s="269">
        <f>IF(F14&gt;5,10000,VLOOKUP(F14,L4:M9,2,FALSE))</f>
        <v>2500</v>
      </c>
    </row>
    <row r="15" spans="1:15" x14ac:dyDescent="0.25">
      <c r="A15" s="19">
        <v>12</v>
      </c>
      <c r="B15" t="s">
        <v>608</v>
      </c>
      <c r="C15" t="s">
        <v>603</v>
      </c>
      <c r="D15" s="264">
        <v>41162</v>
      </c>
      <c r="E15" s="397">
        <v>41167</v>
      </c>
      <c r="F15" s="266">
        <f t="shared" si="0"/>
        <v>5</v>
      </c>
      <c r="G15" s="266">
        <f t="shared" si="1"/>
        <v>1</v>
      </c>
      <c r="H15" s="2">
        <f t="shared" si="2"/>
        <v>500</v>
      </c>
      <c r="J15" s="265"/>
    </row>
    <row r="16" spans="1:15" x14ac:dyDescent="0.25">
      <c r="A16" s="19">
        <v>13</v>
      </c>
      <c r="B16" t="s">
        <v>608</v>
      </c>
      <c r="C16" t="s">
        <v>603</v>
      </c>
      <c r="D16" s="264">
        <v>41198</v>
      </c>
      <c r="E16" s="397">
        <v>41203</v>
      </c>
      <c r="F16" s="266">
        <f t="shared" si="0"/>
        <v>5</v>
      </c>
      <c r="G16" s="266">
        <f t="shared" si="1"/>
        <v>1</v>
      </c>
      <c r="H16" s="2">
        <f t="shared" si="2"/>
        <v>500</v>
      </c>
      <c r="J16" s="265"/>
    </row>
    <row r="17" spans="1:13" x14ac:dyDescent="0.25">
      <c r="A17" s="19">
        <v>14</v>
      </c>
      <c r="B17" t="s">
        <v>542</v>
      </c>
      <c r="C17" t="s">
        <v>514</v>
      </c>
      <c r="D17" s="264">
        <v>41192</v>
      </c>
      <c r="E17" s="397">
        <v>41196</v>
      </c>
      <c r="F17" s="266">
        <f t="shared" si="0"/>
        <v>4</v>
      </c>
      <c r="G17" s="266">
        <f t="shared" si="1"/>
        <v>0</v>
      </c>
      <c r="H17" s="2">
        <f t="shared" si="2"/>
        <v>0</v>
      </c>
      <c r="J17" s="265"/>
    </row>
    <row r="18" spans="1:13" x14ac:dyDescent="0.25">
      <c r="A18" s="19">
        <v>15</v>
      </c>
      <c r="B18" t="s">
        <v>33</v>
      </c>
      <c r="C18" t="s">
        <v>602</v>
      </c>
      <c r="D18" s="264">
        <v>41223</v>
      </c>
      <c r="E18" s="397">
        <v>41229</v>
      </c>
      <c r="F18" s="266">
        <f t="shared" si="0"/>
        <v>6</v>
      </c>
      <c r="G18" s="266">
        <f t="shared" si="1"/>
        <v>2</v>
      </c>
      <c r="H18" s="2">
        <f t="shared" si="2"/>
        <v>1000</v>
      </c>
      <c r="J18" s="265"/>
      <c r="L18"/>
      <c r="M18"/>
    </row>
    <row r="19" spans="1:13" x14ac:dyDescent="0.25">
      <c r="A19" s="19">
        <v>16</v>
      </c>
      <c r="B19" t="s">
        <v>41</v>
      </c>
      <c r="C19" t="s">
        <v>603</v>
      </c>
      <c r="D19" s="264">
        <v>41192</v>
      </c>
      <c r="E19" s="397">
        <v>41199</v>
      </c>
      <c r="F19" s="266">
        <f t="shared" si="0"/>
        <v>7</v>
      </c>
      <c r="G19" s="266">
        <f t="shared" si="1"/>
        <v>3</v>
      </c>
      <c r="H19" s="2">
        <f t="shared" si="2"/>
        <v>1500</v>
      </c>
      <c r="J19" s="265"/>
      <c r="L19"/>
      <c r="M19"/>
    </row>
    <row r="20" spans="1:13" x14ac:dyDescent="0.25">
      <c r="A20" s="19">
        <v>17</v>
      </c>
      <c r="B20" t="s">
        <v>45</v>
      </c>
      <c r="C20" t="s">
        <v>204</v>
      </c>
      <c r="D20" s="264">
        <v>41186</v>
      </c>
      <c r="E20" s="397">
        <v>41192</v>
      </c>
      <c r="F20" s="266">
        <f t="shared" si="0"/>
        <v>6</v>
      </c>
      <c r="G20" s="266">
        <f t="shared" si="1"/>
        <v>2</v>
      </c>
      <c r="H20" s="2">
        <f t="shared" si="2"/>
        <v>1000</v>
      </c>
      <c r="J20" s="265"/>
      <c r="L20"/>
      <c r="M20"/>
    </row>
    <row r="21" spans="1:13" x14ac:dyDescent="0.25">
      <c r="A21" s="19">
        <v>18</v>
      </c>
      <c r="B21" t="s">
        <v>43</v>
      </c>
      <c r="C21" t="s">
        <v>602</v>
      </c>
      <c r="D21" s="264">
        <v>41192</v>
      </c>
      <c r="E21" s="397">
        <v>41196</v>
      </c>
      <c r="F21" s="266">
        <f t="shared" si="0"/>
        <v>4</v>
      </c>
      <c r="G21" s="266">
        <f t="shared" si="1"/>
        <v>0</v>
      </c>
      <c r="H21" s="2">
        <f t="shared" si="2"/>
        <v>0</v>
      </c>
      <c r="J21" s="265"/>
      <c r="L21"/>
      <c r="M21"/>
    </row>
    <row r="22" spans="1:13" x14ac:dyDescent="0.25">
      <c r="A22" s="19">
        <v>19</v>
      </c>
      <c r="B22" t="s">
        <v>50</v>
      </c>
      <c r="C22" t="s">
        <v>603</v>
      </c>
      <c r="D22" s="264">
        <v>41192</v>
      </c>
      <c r="E22" s="397">
        <v>41216</v>
      </c>
      <c r="F22" s="266">
        <f t="shared" si="0"/>
        <v>24</v>
      </c>
      <c r="G22" s="266">
        <f t="shared" si="1"/>
        <v>20</v>
      </c>
      <c r="H22" s="2">
        <f t="shared" si="2"/>
        <v>10000</v>
      </c>
      <c r="J22" s="265"/>
      <c r="L22"/>
      <c r="M22"/>
    </row>
    <row r="23" spans="1:13" x14ac:dyDescent="0.25">
      <c r="A23" s="19">
        <v>20</v>
      </c>
      <c r="B23" t="s">
        <v>548</v>
      </c>
      <c r="C23" t="s">
        <v>602</v>
      </c>
      <c r="D23" s="264">
        <v>41244</v>
      </c>
      <c r="E23" s="397">
        <v>41248</v>
      </c>
      <c r="F23" s="266">
        <f t="shared" si="0"/>
        <v>4</v>
      </c>
      <c r="G23" s="266">
        <f t="shared" si="1"/>
        <v>0</v>
      </c>
      <c r="H23" s="2">
        <f t="shared" si="2"/>
        <v>0</v>
      </c>
      <c r="J23" s="265"/>
      <c r="L23"/>
      <c r="M23"/>
    </row>
    <row r="24" spans="1:13" x14ac:dyDescent="0.25">
      <c r="A24" s="19">
        <v>21</v>
      </c>
      <c r="B24" t="s">
        <v>609</v>
      </c>
      <c r="C24" t="s">
        <v>204</v>
      </c>
      <c r="D24" s="264">
        <v>41224</v>
      </c>
      <c r="E24" s="397">
        <v>41231</v>
      </c>
      <c r="F24" s="266">
        <f t="shared" si="0"/>
        <v>7</v>
      </c>
      <c r="G24" s="266">
        <f t="shared" si="1"/>
        <v>3</v>
      </c>
      <c r="H24" s="2">
        <f t="shared" si="2"/>
        <v>1500</v>
      </c>
      <c r="J24" s="265"/>
      <c r="L24"/>
      <c r="M24"/>
    </row>
    <row r="25" spans="1:13" x14ac:dyDescent="0.25">
      <c r="A25" s="19">
        <v>22</v>
      </c>
      <c r="B25" t="s">
        <v>610</v>
      </c>
      <c r="C25" t="s">
        <v>602</v>
      </c>
      <c r="D25" s="264">
        <v>41183</v>
      </c>
      <c r="E25" s="397">
        <v>41189</v>
      </c>
      <c r="F25" s="266">
        <f t="shared" si="0"/>
        <v>6</v>
      </c>
      <c r="G25" s="266">
        <f t="shared" si="1"/>
        <v>2</v>
      </c>
      <c r="H25" s="2">
        <f t="shared" si="2"/>
        <v>1000</v>
      </c>
      <c r="J25" s="265"/>
      <c r="L25"/>
      <c r="M25"/>
    </row>
    <row r="26" spans="1:13" x14ac:dyDescent="0.25">
      <c r="A26" s="19">
        <v>23</v>
      </c>
      <c r="B26" t="s">
        <v>303</v>
      </c>
      <c r="C26" t="s">
        <v>204</v>
      </c>
      <c r="D26" s="264">
        <v>41192</v>
      </c>
      <c r="E26" s="397">
        <v>41196</v>
      </c>
      <c r="F26" s="266">
        <f t="shared" si="0"/>
        <v>4</v>
      </c>
      <c r="G26" s="266">
        <f t="shared" si="1"/>
        <v>0</v>
      </c>
      <c r="H26" s="2">
        <f t="shared" si="2"/>
        <v>0</v>
      </c>
      <c r="J26" s="265"/>
      <c r="L26"/>
      <c r="M26"/>
    </row>
    <row r="27" spans="1:13" x14ac:dyDescent="0.25">
      <c r="A27" s="19">
        <v>24</v>
      </c>
      <c r="B27" t="s">
        <v>33</v>
      </c>
      <c r="C27" t="s">
        <v>603</v>
      </c>
      <c r="D27" s="264">
        <v>41192</v>
      </c>
      <c r="E27" s="397">
        <v>41199</v>
      </c>
      <c r="F27" s="266">
        <f t="shared" si="0"/>
        <v>7</v>
      </c>
      <c r="G27" s="266">
        <f t="shared" si="1"/>
        <v>3</v>
      </c>
      <c r="H27" s="2">
        <f t="shared" si="2"/>
        <v>1500</v>
      </c>
      <c r="J27" s="265"/>
      <c r="L27"/>
      <c r="M27"/>
    </row>
    <row r="28" spans="1:13" x14ac:dyDescent="0.25">
      <c r="A28" s="19">
        <v>25</v>
      </c>
      <c r="B28" t="s">
        <v>47</v>
      </c>
      <c r="C28" t="s">
        <v>514</v>
      </c>
      <c r="D28" s="264">
        <v>41192</v>
      </c>
      <c r="E28" s="397">
        <v>41196</v>
      </c>
      <c r="F28" s="266">
        <f t="shared" si="0"/>
        <v>4</v>
      </c>
      <c r="G28" s="266">
        <f t="shared" si="1"/>
        <v>0</v>
      </c>
      <c r="H28" s="2">
        <f t="shared" si="2"/>
        <v>0</v>
      </c>
      <c r="J28" s="265"/>
      <c r="L28"/>
      <c r="M28"/>
    </row>
    <row r="29" spans="1:13" x14ac:dyDescent="0.25">
      <c r="A29" s="19">
        <v>26</v>
      </c>
      <c r="B29" t="s">
        <v>47</v>
      </c>
      <c r="C29" t="s">
        <v>514</v>
      </c>
      <c r="D29" s="264">
        <v>41236</v>
      </c>
      <c r="E29" s="397">
        <v>41240</v>
      </c>
      <c r="F29" s="266">
        <f t="shared" si="0"/>
        <v>4</v>
      </c>
      <c r="G29" s="266">
        <f t="shared" si="1"/>
        <v>0</v>
      </c>
      <c r="H29" s="2">
        <f t="shared" si="2"/>
        <v>0</v>
      </c>
      <c r="J29" s="265"/>
      <c r="L29"/>
      <c r="M29"/>
    </row>
    <row r="30" spans="1:13" x14ac:dyDescent="0.25">
      <c r="A30" s="19">
        <v>27</v>
      </c>
      <c r="B30" t="s">
        <v>47</v>
      </c>
      <c r="C30" t="s">
        <v>514</v>
      </c>
      <c r="D30" s="264">
        <v>41236</v>
      </c>
      <c r="E30" s="397">
        <v>41240</v>
      </c>
      <c r="F30" s="266">
        <f t="shared" si="0"/>
        <v>4</v>
      </c>
      <c r="G30" s="266">
        <f t="shared" si="1"/>
        <v>0</v>
      </c>
      <c r="H30" s="2">
        <f t="shared" si="2"/>
        <v>0</v>
      </c>
      <c r="J30" s="265"/>
      <c r="L30"/>
      <c r="M30"/>
    </row>
    <row r="31" spans="1:13" x14ac:dyDescent="0.25">
      <c r="A31" s="19">
        <v>28</v>
      </c>
      <c r="B31" t="s">
        <v>47</v>
      </c>
      <c r="C31" t="s">
        <v>514</v>
      </c>
      <c r="D31" s="264">
        <v>41236</v>
      </c>
      <c r="E31" s="397">
        <v>41240</v>
      </c>
      <c r="F31" s="266">
        <f t="shared" si="0"/>
        <v>4</v>
      </c>
      <c r="G31" s="266">
        <f t="shared" si="1"/>
        <v>0</v>
      </c>
      <c r="H31" s="2">
        <f t="shared" si="2"/>
        <v>0</v>
      </c>
      <c r="J31" s="265"/>
      <c r="L31"/>
      <c r="M31"/>
    </row>
    <row r="32" spans="1:13" x14ac:dyDescent="0.25">
      <c r="A32" s="19">
        <v>29</v>
      </c>
      <c r="B32" t="s">
        <v>47</v>
      </c>
      <c r="C32" t="s">
        <v>514</v>
      </c>
      <c r="D32" s="264">
        <v>41236</v>
      </c>
      <c r="E32" s="397">
        <v>41240</v>
      </c>
      <c r="F32" s="266">
        <f t="shared" si="0"/>
        <v>4</v>
      </c>
      <c r="G32" s="266">
        <f t="shared" si="1"/>
        <v>0</v>
      </c>
      <c r="H32" s="2">
        <f t="shared" si="2"/>
        <v>0</v>
      </c>
      <c r="J32" s="265"/>
      <c r="L32"/>
      <c r="M32"/>
    </row>
    <row r="33" spans="1:13" x14ac:dyDescent="0.25">
      <c r="A33" s="19">
        <v>30</v>
      </c>
      <c r="B33" t="s">
        <v>47</v>
      </c>
      <c r="C33" t="s">
        <v>204</v>
      </c>
      <c r="D33" s="264">
        <v>41192</v>
      </c>
      <c r="E33" s="397">
        <v>41196</v>
      </c>
      <c r="F33" s="266">
        <f t="shared" si="0"/>
        <v>4</v>
      </c>
      <c r="G33" s="266">
        <f t="shared" si="1"/>
        <v>0</v>
      </c>
      <c r="H33" s="2">
        <f t="shared" si="2"/>
        <v>0</v>
      </c>
      <c r="J33" s="265"/>
      <c r="L33"/>
      <c r="M33"/>
    </row>
    <row r="34" spans="1:13" x14ac:dyDescent="0.25">
      <c r="A34" s="19">
        <v>31</v>
      </c>
      <c r="B34" t="s">
        <v>318</v>
      </c>
      <c r="C34" t="s">
        <v>514</v>
      </c>
      <c r="D34" s="264">
        <v>41203</v>
      </c>
      <c r="E34" s="397">
        <v>41208</v>
      </c>
      <c r="F34" s="266">
        <f t="shared" si="0"/>
        <v>5</v>
      </c>
      <c r="G34" s="266">
        <f t="shared" si="1"/>
        <v>1</v>
      </c>
      <c r="H34" s="2">
        <f t="shared" si="2"/>
        <v>500</v>
      </c>
      <c r="J34" s="265"/>
      <c r="L34"/>
      <c r="M34"/>
    </row>
    <row r="35" spans="1:13" x14ac:dyDescent="0.25">
      <c r="A35" s="19">
        <v>32</v>
      </c>
      <c r="B35" t="s">
        <v>319</v>
      </c>
      <c r="C35" t="s">
        <v>514</v>
      </c>
      <c r="D35" s="264">
        <v>41223</v>
      </c>
      <c r="E35" s="397">
        <v>41239</v>
      </c>
      <c r="F35" s="266">
        <f t="shared" si="0"/>
        <v>16</v>
      </c>
      <c r="G35" s="266">
        <f t="shared" si="1"/>
        <v>12</v>
      </c>
      <c r="H35" s="2">
        <f t="shared" si="2"/>
        <v>10000</v>
      </c>
      <c r="J35" s="265"/>
      <c r="L35"/>
      <c r="M35"/>
    </row>
    <row r="36" spans="1:13" x14ac:dyDescent="0.25">
      <c r="A36" s="19">
        <v>33</v>
      </c>
      <c r="B36" t="s">
        <v>52</v>
      </c>
      <c r="C36" t="s">
        <v>204</v>
      </c>
      <c r="D36" s="264">
        <v>41192</v>
      </c>
      <c r="E36" s="397">
        <v>41198</v>
      </c>
      <c r="F36" s="266">
        <f t="shared" si="0"/>
        <v>6</v>
      </c>
      <c r="G36" s="266">
        <f t="shared" si="1"/>
        <v>2</v>
      </c>
      <c r="H36" s="2">
        <f t="shared" si="2"/>
        <v>1000</v>
      </c>
      <c r="J36" s="265"/>
      <c r="L36"/>
      <c r="M36"/>
    </row>
    <row r="37" spans="1:13" x14ac:dyDescent="0.25">
      <c r="A37" s="19">
        <v>34</v>
      </c>
      <c r="B37" t="s">
        <v>38</v>
      </c>
      <c r="C37" t="s">
        <v>514</v>
      </c>
      <c r="D37" s="264">
        <v>41180</v>
      </c>
      <c r="E37" s="397">
        <v>41196</v>
      </c>
      <c r="F37" s="266">
        <f t="shared" si="0"/>
        <v>16</v>
      </c>
      <c r="G37" s="266">
        <f t="shared" si="1"/>
        <v>12</v>
      </c>
      <c r="H37" s="2">
        <f t="shared" si="2"/>
        <v>10000</v>
      </c>
      <c r="J37" s="265"/>
      <c r="L37"/>
      <c r="M37"/>
    </row>
    <row r="38" spans="1:13" x14ac:dyDescent="0.25">
      <c r="A38" s="19">
        <v>35</v>
      </c>
      <c r="B38" t="s">
        <v>32</v>
      </c>
      <c r="C38" t="s">
        <v>602</v>
      </c>
      <c r="D38" s="264">
        <v>41192</v>
      </c>
      <c r="E38" s="397">
        <v>41197</v>
      </c>
      <c r="F38" s="266">
        <f t="shared" si="0"/>
        <v>5</v>
      </c>
      <c r="G38" s="266">
        <f t="shared" si="1"/>
        <v>1</v>
      </c>
      <c r="H38" s="2">
        <f t="shared" si="2"/>
        <v>500</v>
      </c>
      <c r="J38" s="265"/>
      <c r="L38"/>
      <c r="M38"/>
    </row>
    <row r="39" spans="1:13" x14ac:dyDescent="0.25">
      <c r="A39" s="19">
        <v>36</v>
      </c>
      <c r="B39" t="s">
        <v>89</v>
      </c>
      <c r="C39" t="s">
        <v>602</v>
      </c>
      <c r="D39" s="264">
        <v>41162</v>
      </c>
      <c r="E39" s="397">
        <v>41167</v>
      </c>
      <c r="F39" s="266">
        <f t="shared" si="0"/>
        <v>5</v>
      </c>
      <c r="G39" s="266">
        <f t="shared" si="1"/>
        <v>1</v>
      </c>
      <c r="H39" s="2">
        <f t="shared" si="2"/>
        <v>500</v>
      </c>
      <c r="J39" s="265"/>
      <c r="L39"/>
      <c r="M39"/>
    </row>
    <row r="40" spans="1:13" x14ac:dyDescent="0.25">
      <c r="A40" s="19">
        <v>37</v>
      </c>
      <c r="B40" t="s">
        <v>49</v>
      </c>
      <c r="C40" t="s">
        <v>514</v>
      </c>
      <c r="D40" s="264">
        <v>41192</v>
      </c>
      <c r="E40" s="397">
        <v>41196</v>
      </c>
      <c r="F40" s="266">
        <f t="shared" si="0"/>
        <v>4</v>
      </c>
      <c r="G40" s="266">
        <f t="shared" si="1"/>
        <v>0</v>
      </c>
      <c r="H40" s="2">
        <f t="shared" si="2"/>
        <v>0</v>
      </c>
      <c r="J40" s="265"/>
      <c r="L40"/>
      <c r="M40"/>
    </row>
    <row r="41" spans="1:13" x14ac:dyDescent="0.25">
      <c r="A41" s="19">
        <v>38</v>
      </c>
      <c r="B41" t="s">
        <v>37</v>
      </c>
      <c r="C41" t="s">
        <v>602</v>
      </c>
      <c r="D41" s="264">
        <v>41235</v>
      </c>
      <c r="E41" s="397">
        <v>41240</v>
      </c>
      <c r="F41" s="266">
        <f t="shared" si="0"/>
        <v>5</v>
      </c>
      <c r="G41" s="266">
        <f t="shared" si="1"/>
        <v>1</v>
      </c>
      <c r="H41" s="2">
        <f t="shared" si="2"/>
        <v>500</v>
      </c>
      <c r="J41" s="265"/>
      <c r="L41"/>
      <c r="M41"/>
    </row>
    <row r="42" spans="1:13" x14ac:dyDescent="0.25">
      <c r="A42" s="19">
        <v>39</v>
      </c>
      <c r="B42" t="s">
        <v>29</v>
      </c>
      <c r="C42" t="s">
        <v>514</v>
      </c>
      <c r="D42" s="264">
        <v>41192</v>
      </c>
      <c r="E42" s="397">
        <v>41208</v>
      </c>
      <c r="F42" s="266">
        <f t="shared" si="0"/>
        <v>16</v>
      </c>
      <c r="G42" s="266">
        <f t="shared" si="1"/>
        <v>12</v>
      </c>
      <c r="H42" s="2">
        <f t="shared" si="2"/>
        <v>10000</v>
      </c>
      <c r="J42" s="265"/>
      <c r="L42"/>
      <c r="M42"/>
    </row>
    <row r="43" spans="1:13" x14ac:dyDescent="0.25">
      <c r="A43" s="19">
        <v>40</v>
      </c>
      <c r="B43" t="s">
        <v>35</v>
      </c>
      <c r="C43" t="s">
        <v>514</v>
      </c>
      <c r="D43" s="264">
        <v>41244</v>
      </c>
      <c r="E43" s="397">
        <v>41250</v>
      </c>
      <c r="F43" s="266">
        <f t="shared" si="0"/>
        <v>6</v>
      </c>
      <c r="G43" s="266">
        <f t="shared" si="1"/>
        <v>2</v>
      </c>
      <c r="H43" s="2">
        <f t="shared" si="2"/>
        <v>1000</v>
      </c>
      <c r="J43" s="265"/>
      <c r="L43"/>
      <c r="M43"/>
    </row>
    <row r="44" spans="1:13" x14ac:dyDescent="0.25">
      <c r="A44" s="19">
        <v>41</v>
      </c>
      <c r="B44" t="s">
        <v>53</v>
      </c>
      <c r="C44" t="s">
        <v>602</v>
      </c>
      <c r="D44" s="264">
        <v>41244</v>
      </c>
      <c r="E44" s="397">
        <v>41248</v>
      </c>
      <c r="F44" s="266">
        <f t="shared" si="0"/>
        <v>4</v>
      </c>
      <c r="G44" s="266">
        <f t="shared" si="1"/>
        <v>0</v>
      </c>
      <c r="H44" s="2">
        <f t="shared" si="2"/>
        <v>0</v>
      </c>
      <c r="J44" s="265"/>
      <c r="L44"/>
      <c r="M44"/>
    </row>
    <row r="45" spans="1:13" x14ac:dyDescent="0.25">
      <c r="A45" s="19">
        <v>42</v>
      </c>
      <c r="B45" t="s">
        <v>39</v>
      </c>
      <c r="C45" t="s">
        <v>204</v>
      </c>
      <c r="D45" s="264">
        <v>41232</v>
      </c>
      <c r="E45" s="397">
        <v>41237</v>
      </c>
      <c r="F45" s="266">
        <f t="shared" si="0"/>
        <v>5</v>
      </c>
      <c r="G45" s="266">
        <f t="shared" si="1"/>
        <v>1</v>
      </c>
      <c r="H45" s="2">
        <f t="shared" si="2"/>
        <v>500</v>
      </c>
      <c r="J45" s="265"/>
      <c r="L45"/>
      <c r="M45"/>
    </row>
    <row r="46" spans="1:13" x14ac:dyDescent="0.25">
      <c r="A46" s="19">
        <v>43</v>
      </c>
      <c r="B46" t="s">
        <v>42</v>
      </c>
      <c r="C46" t="s">
        <v>603</v>
      </c>
      <c r="D46" s="264">
        <v>41192</v>
      </c>
      <c r="E46" s="397">
        <v>41196</v>
      </c>
      <c r="F46" s="266">
        <f t="shared" si="0"/>
        <v>4</v>
      </c>
      <c r="G46" s="266">
        <f t="shared" si="1"/>
        <v>0</v>
      </c>
      <c r="H46" s="2">
        <f t="shared" si="2"/>
        <v>0</v>
      </c>
      <c r="J46" s="265"/>
      <c r="L46"/>
      <c r="M46"/>
    </row>
    <row r="47" spans="1:13" x14ac:dyDescent="0.25">
      <c r="A47" s="19">
        <v>44</v>
      </c>
      <c r="B47" t="s">
        <v>48</v>
      </c>
      <c r="C47" t="s">
        <v>514</v>
      </c>
      <c r="D47" s="264">
        <v>41192</v>
      </c>
      <c r="E47" s="397">
        <v>41197</v>
      </c>
      <c r="F47" s="266">
        <f t="shared" si="0"/>
        <v>5</v>
      </c>
      <c r="G47" s="266">
        <f t="shared" si="1"/>
        <v>1</v>
      </c>
      <c r="H47" s="2">
        <f t="shared" si="2"/>
        <v>500</v>
      </c>
      <c r="J47" s="265"/>
      <c r="L47"/>
      <c r="M47"/>
    </row>
    <row r="48" spans="1:13" x14ac:dyDescent="0.25">
      <c r="A48" s="19">
        <v>45</v>
      </c>
      <c r="B48" t="s">
        <v>580</v>
      </c>
      <c r="C48" t="s">
        <v>514</v>
      </c>
      <c r="D48" s="264">
        <v>41131</v>
      </c>
      <c r="E48" s="397">
        <v>41137</v>
      </c>
      <c r="F48" s="266">
        <f t="shared" si="0"/>
        <v>6</v>
      </c>
      <c r="G48" s="266">
        <f t="shared" si="1"/>
        <v>2</v>
      </c>
      <c r="H48" s="2">
        <f t="shared" si="2"/>
        <v>1000</v>
      </c>
      <c r="J48" s="265"/>
      <c r="L48"/>
      <c r="M48"/>
    </row>
    <row r="49" spans="1:13" x14ac:dyDescent="0.25">
      <c r="A49" s="19">
        <v>46</v>
      </c>
      <c r="B49" t="s">
        <v>582</v>
      </c>
      <c r="C49" t="s">
        <v>514</v>
      </c>
      <c r="D49" s="264">
        <v>41192</v>
      </c>
      <c r="E49" s="397">
        <v>41196</v>
      </c>
      <c r="F49" s="266">
        <f t="shared" si="0"/>
        <v>4</v>
      </c>
      <c r="G49" s="266">
        <f t="shared" si="1"/>
        <v>0</v>
      </c>
      <c r="H49" s="2">
        <f t="shared" si="2"/>
        <v>0</v>
      </c>
      <c r="J49" s="265"/>
      <c r="L49"/>
      <c r="M49"/>
    </row>
    <row r="50" spans="1:13" x14ac:dyDescent="0.25">
      <c r="A50" s="19">
        <v>47</v>
      </c>
      <c r="B50" t="s">
        <v>583</v>
      </c>
      <c r="C50" t="s">
        <v>514</v>
      </c>
      <c r="D50" s="264">
        <v>41131</v>
      </c>
      <c r="E50" s="397">
        <v>41136</v>
      </c>
      <c r="F50" s="266">
        <f t="shared" si="0"/>
        <v>5</v>
      </c>
      <c r="G50" s="266">
        <f t="shared" si="1"/>
        <v>1</v>
      </c>
      <c r="H50" s="2">
        <f t="shared" si="2"/>
        <v>500</v>
      </c>
      <c r="J50" s="265"/>
      <c r="L50"/>
      <c r="M50"/>
    </row>
    <row r="51" spans="1:13" x14ac:dyDescent="0.25">
      <c r="A51" s="19">
        <v>48</v>
      </c>
      <c r="B51" t="s">
        <v>611</v>
      </c>
      <c r="C51" t="s">
        <v>514</v>
      </c>
      <c r="D51" s="264">
        <v>41162</v>
      </c>
      <c r="E51" s="397">
        <v>41166</v>
      </c>
      <c r="F51" s="266">
        <f t="shared" si="0"/>
        <v>4</v>
      </c>
      <c r="G51" s="266">
        <f t="shared" si="1"/>
        <v>0</v>
      </c>
      <c r="H51" s="2">
        <f t="shared" si="2"/>
        <v>0</v>
      </c>
      <c r="J51" s="265"/>
      <c r="L51"/>
      <c r="M51"/>
    </row>
    <row r="52" spans="1:13" x14ac:dyDescent="0.25">
      <c r="A52" s="19">
        <v>49</v>
      </c>
      <c r="B52" t="s">
        <v>612</v>
      </c>
      <c r="C52" t="s">
        <v>514</v>
      </c>
      <c r="D52" s="264">
        <v>41192</v>
      </c>
      <c r="E52" s="397">
        <v>41198</v>
      </c>
      <c r="F52" s="266">
        <f t="shared" si="0"/>
        <v>6</v>
      </c>
      <c r="G52" s="266">
        <f t="shared" si="1"/>
        <v>2</v>
      </c>
      <c r="H52" s="2">
        <f t="shared" si="2"/>
        <v>1000</v>
      </c>
      <c r="J52" s="265"/>
      <c r="L52"/>
      <c r="M52"/>
    </row>
  </sheetData>
  <mergeCells count="6">
    <mergeCell ref="D2:E2"/>
    <mergeCell ref="G2:H2"/>
    <mergeCell ref="A2:A3"/>
    <mergeCell ref="B2:B3"/>
    <mergeCell ref="C2:C3"/>
    <mergeCell ref="F2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119"/>
  <sheetViews>
    <sheetView zoomScale="90" workbookViewId="0">
      <selection activeCell="G15" sqref="G15"/>
    </sheetView>
  </sheetViews>
  <sheetFormatPr defaultRowHeight="15" x14ac:dyDescent="0.25"/>
  <cols>
    <col min="1" max="1" width="4.85546875" customWidth="1"/>
    <col min="2" max="2" width="15.28515625" customWidth="1"/>
    <col min="3" max="3" width="23.85546875" customWidth="1"/>
    <col min="4" max="4" width="18.42578125" customWidth="1"/>
    <col min="5" max="5" width="12.140625" customWidth="1"/>
    <col min="6" max="6" width="6.5703125" customWidth="1"/>
    <col min="7" max="7" width="13.140625" customWidth="1"/>
    <col min="8" max="8" width="29.42578125" customWidth="1"/>
    <col min="9" max="9" width="5.28515625" customWidth="1"/>
    <col min="10" max="10" width="13.28515625" customWidth="1"/>
    <col min="11" max="11" width="21.85546875" customWidth="1"/>
  </cols>
  <sheetData>
    <row r="3" spans="1:11" ht="15.75" customHeight="1" x14ac:dyDescent="0.25">
      <c r="A3" s="209" t="s">
        <v>25</v>
      </c>
      <c r="B3" s="210" t="s">
        <v>370</v>
      </c>
      <c r="C3" s="210" t="s">
        <v>371</v>
      </c>
      <c r="D3" s="211" t="s">
        <v>372</v>
      </c>
      <c r="E3" s="211" t="s">
        <v>645</v>
      </c>
      <c r="F3" s="212"/>
      <c r="G3" s="213" t="s">
        <v>370</v>
      </c>
      <c r="H3" s="289" t="s">
        <v>371</v>
      </c>
      <c r="I3" s="293"/>
      <c r="J3" s="291" t="s">
        <v>370</v>
      </c>
      <c r="K3" s="211" t="s">
        <v>372</v>
      </c>
    </row>
    <row r="4" spans="1:11" x14ac:dyDescent="0.25">
      <c r="A4" s="214"/>
      <c r="B4" s="215" t="s">
        <v>373</v>
      </c>
      <c r="C4" s="214" t="str">
        <f>VLOOKUP(LEFT(B4,2),$G$4:$H$7,2,FALSE)</f>
        <v>Minuman</v>
      </c>
      <c r="D4" s="217" t="str">
        <f>VLOOKUP(MID(B4,3,1),$J$4:$K$7,2)</f>
        <v>Andrew Fuller</v>
      </c>
      <c r="E4" s="217"/>
      <c r="G4" s="138" t="s">
        <v>374</v>
      </c>
      <c r="H4" s="290" t="s">
        <v>375</v>
      </c>
      <c r="J4" s="292" t="s">
        <v>376</v>
      </c>
      <c r="K4" s="216" t="s">
        <v>377</v>
      </c>
    </row>
    <row r="5" spans="1:11" x14ac:dyDescent="0.25">
      <c r="A5" s="217"/>
      <c r="B5" s="138" t="s">
        <v>378</v>
      </c>
      <c r="C5" s="214" t="str">
        <f t="shared" ref="C5:C68" si="0">VLOOKUP(LEFT(B5,2),$G$4:$H$7,2,FALSE)</f>
        <v>Minuman</v>
      </c>
      <c r="D5" s="217" t="str">
        <f t="shared" ref="D5:D68" si="1">VLOOKUP(MID(B5,3,1),$J$4:$K$7,2)</f>
        <v>Andrew Fuller</v>
      </c>
      <c r="E5" s="217"/>
      <c r="G5" s="138" t="s">
        <v>379</v>
      </c>
      <c r="H5" s="290" t="s">
        <v>380</v>
      </c>
      <c r="J5" s="292" t="s">
        <v>381</v>
      </c>
      <c r="K5" s="138" t="s">
        <v>382</v>
      </c>
    </row>
    <row r="6" spans="1:11" x14ac:dyDescent="0.25">
      <c r="A6" s="214"/>
      <c r="B6" s="215" t="s">
        <v>383</v>
      </c>
      <c r="C6" s="214" t="str">
        <f t="shared" si="0"/>
        <v>Makanan</v>
      </c>
      <c r="D6" s="217" t="str">
        <f t="shared" si="1"/>
        <v>Andrew Fuller</v>
      </c>
      <c r="E6" s="217"/>
      <c r="G6" s="138" t="s">
        <v>384</v>
      </c>
      <c r="H6" s="290" t="s">
        <v>385</v>
      </c>
      <c r="J6" s="292" t="s">
        <v>386</v>
      </c>
      <c r="K6" s="216" t="s">
        <v>387</v>
      </c>
    </row>
    <row r="7" spans="1:11" x14ac:dyDescent="0.25">
      <c r="A7" s="217"/>
      <c r="B7" s="138" t="s">
        <v>383</v>
      </c>
      <c r="C7" s="214" t="str">
        <f t="shared" si="0"/>
        <v>Makanan</v>
      </c>
      <c r="D7" s="217" t="str">
        <f t="shared" si="1"/>
        <v>Andrew Fuller</v>
      </c>
      <c r="E7" s="217"/>
      <c r="G7" s="138" t="s">
        <v>388</v>
      </c>
      <c r="H7" s="290" t="s">
        <v>389</v>
      </c>
      <c r="J7" s="292" t="s">
        <v>390</v>
      </c>
      <c r="K7" s="138" t="s">
        <v>391</v>
      </c>
    </row>
    <row r="8" spans="1:11" x14ac:dyDescent="0.25">
      <c r="A8" s="214"/>
      <c r="B8" s="215" t="s">
        <v>392</v>
      </c>
      <c r="C8" s="214" t="str">
        <f t="shared" si="0"/>
        <v>Makanan</v>
      </c>
      <c r="D8" s="217" t="str">
        <f t="shared" si="1"/>
        <v>Janet Leverling</v>
      </c>
      <c r="E8" s="217"/>
    </row>
    <row r="9" spans="1:11" x14ac:dyDescent="0.25">
      <c r="A9" s="217"/>
      <c r="B9" s="138" t="s">
        <v>393</v>
      </c>
      <c r="C9" s="214" t="str">
        <f t="shared" si="0"/>
        <v>Peralatan Rumah Tangga</v>
      </c>
      <c r="D9" s="217" t="str">
        <f t="shared" si="1"/>
        <v>Nancy Davolio</v>
      </c>
      <c r="E9" s="217"/>
    </row>
    <row r="10" spans="1:11" x14ac:dyDescent="0.25">
      <c r="A10" s="214"/>
      <c r="B10" s="215" t="s">
        <v>394</v>
      </c>
      <c r="C10" s="214" t="str">
        <f t="shared" si="0"/>
        <v>Makanan</v>
      </c>
      <c r="D10" s="217" t="str">
        <f t="shared" si="1"/>
        <v>Andrew Fuller</v>
      </c>
      <c r="E10" s="217"/>
    </row>
    <row r="11" spans="1:11" x14ac:dyDescent="0.25">
      <c r="A11" s="217"/>
      <c r="B11" s="138" t="s">
        <v>395</v>
      </c>
      <c r="C11" s="214" t="str">
        <f t="shared" si="0"/>
        <v>Obat-obatan</v>
      </c>
      <c r="D11" s="217" t="str">
        <f t="shared" si="1"/>
        <v>Nancy Davolio</v>
      </c>
      <c r="E11" s="217"/>
    </row>
    <row r="12" spans="1:11" x14ac:dyDescent="0.25">
      <c r="A12" s="214"/>
      <c r="B12" s="215" t="s">
        <v>396</v>
      </c>
      <c r="C12" s="214" t="str">
        <f t="shared" si="0"/>
        <v>Peralatan Rumah Tangga</v>
      </c>
      <c r="D12" s="217" t="str">
        <f t="shared" si="1"/>
        <v>Nancy Davolio</v>
      </c>
      <c r="E12" s="217"/>
    </row>
    <row r="13" spans="1:11" x14ac:dyDescent="0.25">
      <c r="A13" s="217"/>
      <c r="B13" s="138" t="s">
        <v>397</v>
      </c>
      <c r="C13" s="214" t="str">
        <f t="shared" si="0"/>
        <v>Obat-obatan</v>
      </c>
      <c r="D13" s="217" t="str">
        <f t="shared" si="1"/>
        <v>Nancy Davolio</v>
      </c>
      <c r="E13" s="217"/>
    </row>
    <row r="14" spans="1:11" x14ac:dyDescent="0.25">
      <c r="A14" s="214"/>
      <c r="B14" s="215" t="s">
        <v>398</v>
      </c>
      <c r="C14" s="214" t="str">
        <f t="shared" si="0"/>
        <v>Peralatan Rumah Tangga</v>
      </c>
      <c r="D14" s="217" t="str">
        <f t="shared" si="1"/>
        <v>Laura Callahan</v>
      </c>
      <c r="E14" s="217"/>
    </row>
    <row r="15" spans="1:11" x14ac:dyDescent="0.25">
      <c r="A15" s="217"/>
      <c r="B15" s="138" t="s">
        <v>399</v>
      </c>
      <c r="C15" s="214" t="str">
        <f t="shared" si="0"/>
        <v>Peralatan Rumah Tangga</v>
      </c>
      <c r="D15" s="217" t="str">
        <f t="shared" si="1"/>
        <v>Andrew Fuller</v>
      </c>
      <c r="E15" s="217"/>
    </row>
    <row r="16" spans="1:11" x14ac:dyDescent="0.25">
      <c r="A16" s="214"/>
      <c r="B16" s="215" t="s">
        <v>373</v>
      </c>
      <c r="C16" s="214" t="str">
        <f t="shared" si="0"/>
        <v>Minuman</v>
      </c>
      <c r="D16" s="217" t="str">
        <f t="shared" si="1"/>
        <v>Andrew Fuller</v>
      </c>
      <c r="E16" s="217"/>
    </row>
    <row r="17" spans="1:8" x14ac:dyDescent="0.25">
      <c r="A17" s="217"/>
      <c r="B17" s="138" t="s">
        <v>400</v>
      </c>
      <c r="C17" s="214" t="str">
        <f t="shared" si="0"/>
        <v>Obat-obatan</v>
      </c>
      <c r="D17" s="217" t="str">
        <f t="shared" si="1"/>
        <v>Andrew Fuller</v>
      </c>
      <c r="E17" s="217"/>
    </row>
    <row r="18" spans="1:8" x14ac:dyDescent="0.25">
      <c r="A18" s="214"/>
      <c r="B18" s="215" t="s">
        <v>401</v>
      </c>
      <c r="C18" s="214" t="str">
        <f t="shared" si="0"/>
        <v>Makanan</v>
      </c>
      <c r="D18" s="217" t="str">
        <f t="shared" si="1"/>
        <v>Nancy Davolio</v>
      </c>
      <c r="E18" s="217"/>
    </row>
    <row r="19" spans="1:8" x14ac:dyDescent="0.25">
      <c r="A19" s="217"/>
      <c r="B19" s="138" t="s">
        <v>402</v>
      </c>
      <c r="C19" s="214" t="str">
        <f t="shared" si="0"/>
        <v>Makanan</v>
      </c>
      <c r="D19" s="217" t="str">
        <f t="shared" si="1"/>
        <v>Janet Leverling</v>
      </c>
      <c r="E19" s="217"/>
      <c r="H19" s="294"/>
    </row>
    <row r="20" spans="1:8" x14ac:dyDescent="0.25">
      <c r="A20" s="214"/>
      <c r="B20" s="215" t="s">
        <v>403</v>
      </c>
      <c r="C20" s="214" t="str">
        <f t="shared" si="0"/>
        <v>Peralatan Rumah Tangga</v>
      </c>
      <c r="D20" s="217" t="str">
        <f t="shared" si="1"/>
        <v>Janet Leverling</v>
      </c>
      <c r="E20" s="217"/>
      <c r="H20" s="294"/>
    </row>
    <row r="21" spans="1:8" x14ac:dyDescent="0.25">
      <c r="A21" s="217"/>
      <c r="B21" s="138" t="s">
        <v>404</v>
      </c>
      <c r="C21" s="214" t="str">
        <f t="shared" si="0"/>
        <v>Peralatan Rumah Tangga</v>
      </c>
      <c r="D21" s="217" t="str">
        <f t="shared" si="1"/>
        <v>Janet Leverling</v>
      </c>
      <c r="E21" s="217"/>
    </row>
    <row r="22" spans="1:8" x14ac:dyDescent="0.25">
      <c r="A22" s="214"/>
      <c r="B22" s="215" t="s">
        <v>405</v>
      </c>
      <c r="C22" s="214" t="str">
        <f t="shared" si="0"/>
        <v>Obat-obatan</v>
      </c>
      <c r="D22" s="217" t="str">
        <f t="shared" si="1"/>
        <v>Janet Leverling</v>
      </c>
      <c r="E22" s="217"/>
    </row>
    <row r="23" spans="1:8" x14ac:dyDescent="0.25">
      <c r="A23" s="217"/>
      <c r="B23" s="138" t="s">
        <v>383</v>
      </c>
      <c r="C23" s="214" t="str">
        <f t="shared" si="0"/>
        <v>Makanan</v>
      </c>
      <c r="D23" s="217" t="str">
        <f t="shared" si="1"/>
        <v>Andrew Fuller</v>
      </c>
      <c r="E23" s="217"/>
    </row>
    <row r="24" spans="1:8" x14ac:dyDescent="0.25">
      <c r="A24" s="214"/>
      <c r="B24" s="215" t="s">
        <v>406</v>
      </c>
      <c r="C24" s="214" t="str">
        <f t="shared" si="0"/>
        <v>Minuman</v>
      </c>
      <c r="D24" s="217" t="str">
        <f t="shared" si="1"/>
        <v>Nancy Davolio</v>
      </c>
      <c r="E24" s="217"/>
    </row>
    <row r="25" spans="1:8" x14ac:dyDescent="0.25">
      <c r="A25" s="217"/>
      <c r="B25" s="138" t="s">
        <v>407</v>
      </c>
      <c r="C25" s="214" t="str">
        <f t="shared" si="0"/>
        <v>Minuman</v>
      </c>
      <c r="D25" s="217" t="str">
        <f t="shared" si="1"/>
        <v>Nancy Davolio</v>
      </c>
      <c r="E25" s="217"/>
    </row>
    <row r="26" spans="1:8" x14ac:dyDescent="0.25">
      <c r="A26" s="214"/>
      <c r="B26" s="215" t="s">
        <v>408</v>
      </c>
      <c r="C26" s="214" t="str">
        <f t="shared" si="0"/>
        <v>Minuman</v>
      </c>
      <c r="D26" s="217" t="str">
        <f t="shared" si="1"/>
        <v>Laura Callahan</v>
      </c>
      <c r="E26" s="217"/>
    </row>
    <row r="27" spans="1:8" x14ac:dyDescent="0.25">
      <c r="A27" s="217"/>
      <c r="B27" s="138" t="s">
        <v>409</v>
      </c>
      <c r="C27" s="214" t="str">
        <f t="shared" si="0"/>
        <v>Minuman</v>
      </c>
      <c r="D27" s="217" t="str">
        <f t="shared" si="1"/>
        <v>Laura Callahan</v>
      </c>
      <c r="E27" s="217"/>
    </row>
    <row r="28" spans="1:8" x14ac:dyDescent="0.25">
      <c r="A28" s="214"/>
      <c r="B28" s="215" t="s">
        <v>394</v>
      </c>
      <c r="C28" s="214" t="str">
        <f t="shared" si="0"/>
        <v>Makanan</v>
      </c>
      <c r="D28" s="217" t="str">
        <f t="shared" si="1"/>
        <v>Andrew Fuller</v>
      </c>
      <c r="E28" s="217"/>
    </row>
    <row r="29" spans="1:8" x14ac:dyDescent="0.25">
      <c r="A29" s="217"/>
      <c r="B29" s="138" t="s">
        <v>383</v>
      </c>
      <c r="C29" s="214" t="str">
        <f t="shared" si="0"/>
        <v>Makanan</v>
      </c>
      <c r="D29" s="217" t="str">
        <f t="shared" si="1"/>
        <v>Andrew Fuller</v>
      </c>
      <c r="E29" s="217"/>
    </row>
    <row r="30" spans="1:8" x14ac:dyDescent="0.25">
      <c r="A30" s="214"/>
      <c r="B30" s="215" t="s">
        <v>409</v>
      </c>
      <c r="C30" s="214" t="str">
        <f t="shared" si="0"/>
        <v>Minuman</v>
      </c>
      <c r="D30" s="217" t="str">
        <f t="shared" si="1"/>
        <v>Laura Callahan</v>
      </c>
      <c r="E30" s="217"/>
    </row>
    <row r="31" spans="1:8" x14ac:dyDescent="0.25">
      <c r="A31" s="217"/>
      <c r="B31" s="138" t="s">
        <v>410</v>
      </c>
      <c r="C31" s="214" t="str">
        <f t="shared" si="0"/>
        <v>Makanan</v>
      </c>
      <c r="D31" s="217" t="str">
        <f t="shared" si="1"/>
        <v>Laura Callahan</v>
      </c>
      <c r="E31" s="217"/>
    </row>
    <row r="32" spans="1:8" x14ac:dyDescent="0.25">
      <c r="A32" s="214"/>
      <c r="B32" s="215" t="s">
        <v>411</v>
      </c>
      <c r="C32" s="214" t="str">
        <f t="shared" si="0"/>
        <v>Makanan</v>
      </c>
      <c r="D32" s="217" t="str">
        <f t="shared" si="1"/>
        <v>Laura Callahan</v>
      </c>
      <c r="E32" s="217"/>
    </row>
    <row r="33" spans="1:5" x14ac:dyDescent="0.25">
      <c r="A33" s="217"/>
      <c r="B33" s="138" t="s">
        <v>412</v>
      </c>
      <c r="C33" s="214" t="str">
        <f t="shared" si="0"/>
        <v>Obat-obatan</v>
      </c>
      <c r="D33" s="217" t="str">
        <f t="shared" si="1"/>
        <v>Andrew Fuller</v>
      </c>
      <c r="E33" s="217"/>
    </row>
    <row r="34" spans="1:5" x14ac:dyDescent="0.25">
      <c r="A34" s="214"/>
      <c r="B34" s="215" t="s">
        <v>413</v>
      </c>
      <c r="C34" s="214" t="str">
        <f t="shared" si="0"/>
        <v>Makanan</v>
      </c>
      <c r="D34" s="217" t="str">
        <f t="shared" si="1"/>
        <v>Nancy Davolio</v>
      </c>
      <c r="E34" s="217"/>
    </row>
    <row r="35" spans="1:5" x14ac:dyDescent="0.25">
      <c r="A35" s="217"/>
      <c r="B35" s="138" t="s">
        <v>414</v>
      </c>
      <c r="C35" s="214" t="str">
        <f t="shared" si="0"/>
        <v>Peralatan Rumah Tangga</v>
      </c>
      <c r="D35" s="217" t="str">
        <f t="shared" si="1"/>
        <v>Janet Leverling</v>
      </c>
      <c r="E35" s="217"/>
    </row>
    <row r="36" spans="1:5" x14ac:dyDescent="0.25">
      <c r="A36" s="214"/>
      <c r="B36" s="215" t="s">
        <v>415</v>
      </c>
      <c r="C36" s="214" t="str">
        <f t="shared" si="0"/>
        <v>Minuman</v>
      </c>
      <c r="D36" s="217" t="str">
        <f t="shared" si="1"/>
        <v>Nancy Davolio</v>
      </c>
      <c r="E36" s="217"/>
    </row>
    <row r="37" spans="1:5" x14ac:dyDescent="0.25">
      <c r="A37" s="217"/>
      <c r="B37" s="138" t="s">
        <v>405</v>
      </c>
      <c r="C37" s="214" t="str">
        <f t="shared" si="0"/>
        <v>Obat-obatan</v>
      </c>
      <c r="D37" s="217" t="str">
        <f t="shared" si="1"/>
        <v>Janet Leverling</v>
      </c>
      <c r="E37" s="217"/>
    </row>
    <row r="38" spans="1:5" x14ac:dyDescent="0.25">
      <c r="A38" s="214"/>
      <c r="B38" s="215" t="s">
        <v>399</v>
      </c>
      <c r="C38" s="214" t="str">
        <f t="shared" si="0"/>
        <v>Peralatan Rumah Tangga</v>
      </c>
      <c r="D38" s="217" t="str">
        <f t="shared" si="1"/>
        <v>Andrew Fuller</v>
      </c>
      <c r="E38" s="217"/>
    </row>
    <row r="39" spans="1:5" x14ac:dyDescent="0.25">
      <c r="A39" s="217"/>
      <c r="B39" s="138" t="s">
        <v>412</v>
      </c>
      <c r="C39" s="214" t="str">
        <f t="shared" si="0"/>
        <v>Obat-obatan</v>
      </c>
      <c r="D39" s="217" t="str">
        <f t="shared" si="1"/>
        <v>Andrew Fuller</v>
      </c>
      <c r="E39" s="217"/>
    </row>
    <row r="40" spans="1:5" x14ac:dyDescent="0.25">
      <c r="A40" s="214"/>
      <c r="B40" s="215" t="s">
        <v>399</v>
      </c>
      <c r="C40" s="214" t="str">
        <f t="shared" si="0"/>
        <v>Peralatan Rumah Tangga</v>
      </c>
      <c r="D40" s="217" t="str">
        <f t="shared" si="1"/>
        <v>Andrew Fuller</v>
      </c>
      <c r="E40" s="217"/>
    </row>
    <row r="41" spans="1:5" x14ac:dyDescent="0.25">
      <c r="A41" s="217"/>
      <c r="B41" s="138" t="s">
        <v>416</v>
      </c>
      <c r="C41" s="214" t="str">
        <f t="shared" si="0"/>
        <v>Makanan</v>
      </c>
      <c r="D41" s="217" t="str">
        <f t="shared" si="1"/>
        <v>Janet Leverling</v>
      </c>
      <c r="E41" s="217"/>
    </row>
    <row r="42" spans="1:5" x14ac:dyDescent="0.25">
      <c r="A42" s="214"/>
      <c r="B42" s="215" t="s">
        <v>417</v>
      </c>
      <c r="C42" s="214" t="str">
        <f t="shared" si="0"/>
        <v>Makanan</v>
      </c>
      <c r="D42" s="217" t="str">
        <f t="shared" si="1"/>
        <v>Andrew Fuller</v>
      </c>
      <c r="E42" s="217"/>
    </row>
    <row r="43" spans="1:5" x14ac:dyDescent="0.25">
      <c r="A43" s="217"/>
      <c r="B43" s="138" t="s">
        <v>413</v>
      </c>
      <c r="C43" s="214" t="str">
        <f t="shared" si="0"/>
        <v>Makanan</v>
      </c>
      <c r="D43" s="217" t="str">
        <f t="shared" si="1"/>
        <v>Nancy Davolio</v>
      </c>
      <c r="E43" s="217"/>
    </row>
    <row r="44" spans="1:5" x14ac:dyDescent="0.25">
      <c r="A44" s="214"/>
      <c r="B44" s="215" t="s">
        <v>395</v>
      </c>
      <c r="C44" s="214" t="str">
        <f t="shared" si="0"/>
        <v>Obat-obatan</v>
      </c>
      <c r="D44" s="217" t="str">
        <f t="shared" si="1"/>
        <v>Nancy Davolio</v>
      </c>
      <c r="E44" s="217"/>
    </row>
    <row r="45" spans="1:5" x14ac:dyDescent="0.25">
      <c r="A45" s="217"/>
      <c r="B45" s="138" t="s">
        <v>418</v>
      </c>
      <c r="C45" s="214" t="str">
        <f t="shared" si="0"/>
        <v>Peralatan Rumah Tangga</v>
      </c>
      <c r="D45" s="217" t="str">
        <f t="shared" si="1"/>
        <v>Laura Callahan</v>
      </c>
      <c r="E45" s="217"/>
    </row>
    <row r="46" spans="1:5" x14ac:dyDescent="0.25">
      <c r="A46" s="214"/>
      <c r="B46" s="215" t="s">
        <v>419</v>
      </c>
      <c r="C46" s="214" t="str">
        <f t="shared" si="0"/>
        <v>Peralatan Rumah Tangga</v>
      </c>
      <c r="D46" s="217" t="str">
        <f t="shared" si="1"/>
        <v>Janet Leverling</v>
      </c>
      <c r="E46" s="217"/>
    </row>
    <row r="47" spans="1:5" x14ac:dyDescent="0.25">
      <c r="A47" s="217"/>
      <c r="B47" s="138" t="s">
        <v>420</v>
      </c>
      <c r="C47" s="214" t="str">
        <f t="shared" si="0"/>
        <v>Peralatan Rumah Tangga</v>
      </c>
      <c r="D47" s="217" t="str">
        <f t="shared" si="1"/>
        <v>Nancy Davolio</v>
      </c>
      <c r="E47" s="217"/>
    </row>
    <row r="48" spans="1:5" x14ac:dyDescent="0.25">
      <c r="A48" s="214"/>
      <c r="B48" s="215" t="s">
        <v>394</v>
      </c>
      <c r="C48" s="214" t="str">
        <f t="shared" si="0"/>
        <v>Makanan</v>
      </c>
      <c r="D48" s="217" t="str">
        <f t="shared" si="1"/>
        <v>Andrew Fuller</v>
      </c>
      <c r="E48" s="217"/>
    </row>
    <row r="49" spans="1:5" x14ac:dyDescent="0.25">
      <c r="A49" s="217"/>
      <c r="B49" s="138" t="s">
        <v>396</v>
      </c>
      <c r="C49" s="214" t="str">
        <f t="shared" si="0"/>
        <v>Peralatan Rumah Tangga</v>
      </c>
      <c r="D49" s="217" t="str">
        <f t="shared" si="1"/>
        <v>Nancy Davolio</v>
      </c>
      <c r="E49" s="217"/>
    </row>
    <row r="50" spans="1:5" x14ac:dyDescent="0.25">
      <c r="A50" s="214"/>
      <c r="B50" s="215" t="s">
        <v>378</v>
      </c>
      <c r="C50" s="214" t="str">
        <f t="shared" si="0"/>
        <v>Minuman</v>
      </c>
      <c r="D50" s="217" t="str">
        <f t="shared" si="1"/>
        <v>Andrew Fuller</v>
      </c>
      <c r="E50" s="217"/>
    </row>
    <row r="51" spans="1:5" x14ac:dyDescent="0.25">
      <c r="A51" s="217"/>
      <c r="B51" s="138" t="s">
        <v>421</v>
      </c>
      <c r="C51" s="214" t="str">
        <f t="shared" si="0"/>
        <v>Makanan</v>
      </c>
      <c r="D51" s="217" t="str">
        <f t="shared" si="1"/>
        <v>Nancy Davolio</v>
      </c>
      <c r="E51" s="217"/>
    </row>
    <row r="52" spans="1:5" x14ac:dyDescent="0.25">
      <c r="A52" s="214"/>
      <c r="B52" s="215" t="s">
        <v>422</v>
      </c>
      <c r="C52" s="214" t="str">
        <f t="shared" si="0"/>
        <v>Minuman</v>
      </c>
      <c r="D52" s="217" t="str">
        <f t="shared" si="1"/>
        <v>Janet Leverling</v>
      </c>
      <c r="E52" s="217"/>
    </row>
    <row r="53" spans="1:5" x14ac:dyDescent="0.25">
      <c r="A53" s="217"/>
      <c r="B53" s="138" t="s">
        <v>412</v>
      </c>
      <c r="C53" s="214" t="str">
        <f t="shared" si="0"/>
        <v>Obat-obatan</v>
      </c>
      <c r="D53" s="217" t="str">
        <f t="shared" si="1"/>
        <v>Andrew Fuller</v>
      </c>
      <c r="E53" s="217"/>
    </row>
    <row r="54" spans="1:5" x14ac:dyDescent="0.25">
      <c r="A54" s="214"/>
      <c r="B54" s="215" t="s">
        <v>393</v>
      </c>
      <c r="C54" s="214" t="str">
        <f t="shared" si="0"/>
        <v>Peralatan Rumah Tangga</v>
      </c>
      <c r="D54" s="217" t="str">
        <f t="shared" si="1"/>
        <v>Nancy Davolio</v>
      </c>
      <c r="E54" s="217"/>
    </row>
    <row r="55" spans="1:5" x14ac:dyDescent="0.25">
      <c r="A55" s="217"/>
      <c r="B55" s="138" t="s">
        <v>413</v>
      </c>
      <c r="C55" s="214" t="str">
        <f t="shared" si="0"/>
        <v>Makanan</v>
      </c>
      <c r="D55" s="217" t="str">
        <f t="shared" si="1"/>
        <v>Nancy Davolio</v>
      </c>
      <c r="E55" s="217"/>
    </row>
    <row r="56" spans="1:5" x14ac:dyDescent="0.25">
      <c r="A56" s="214"/>
      <c r="B56" s="215" t="s">
        <v>423</v>
      </c>
      <c r="C56" s="214" t="str">
        <f t="shared" si="0"/>
        <v>Obat-obatan</v>
      </c>
      <c r="D56" s="217" t="str">
        <f t="shared" si="1"/>
        <v>Janet Leverling</v>
      </c>
      <c r="E56" s="217"/>
    </row>
    <row r="57" spans="1:5" x14ac:dyDescent="0.25">
      <c r="A57" s="217"/>
      <c r="B57" s="138" t="s">
        <v>394</v>
      </c>
      <c r="C57" s="214" t="str">
        <f t="shared" si="0"/>
        <v>Makanan</v>
      </c>
      <c r="D57" s="217" t="str">
        <f t="shared" si="1"/>
        <v>Andrew Fuller</v>
      </c>
      <c r="E57" s="217"/>
    </row>
    <row r="58" spans="1:5" x14ac:dyDescent="0.25">
      <c r="A58" s="214"/>
      <c r="B58" s="215" t="s">
        <v>393</v>
      </c>
      <c r="C58" s="214" t="str">
        <f t="shared" si="0"/>
        <v>Peralatan Rumah Tangga</v>
      </c>
      <c r="D58" s="217" t="str">
        <f t="shared" si="1"/>
        <v>Nancy Davolio</v>
      </c>
      <c r="E58" s="217"/>
    </row>
    <row r="59" spans="1:5" x14ac:dyDescent="0.25">
      <c r="A59" s="217"/>
      <c r="B59" s="138" t="s">
        <v>419</v>
      </c>
      <c r="C59" s="214" t="str">
        <f t="shared" si="0"/>
        <v>Peralatan Rumah Tangga</v>
      </c>
      <c r="D59" s="217" t="str">
        <f t="shared" si="1"/>
        <v>Janet Leverling</v>
      </c>
      <c r="E59" s="217"/>
    </row>
    <row r="60" spans="1:5" x14ac:dyDescent="0.25">
      <c r="A60" s="214"/>
      <c r="B60" s="215" t="s">
        <v>424</v>
      </c>
      <c r="C60" s="214" t="str">
        <f t="shared" si="0"/>
        <v>Peralatan Rumah Tangga</v>
      </c>
      <c r="D60" s="217" t="str">
        <f t="shared" si="1"/>
        <v>Andrew Fuller</v>
      </c>
      <c r="E60" s="217"/>
    </row>
    <row r="61" spans="1:5" x14ac:dyDescent="0.25">
      <c r="A61" s="217"/>
      <c r="B61" s="138" t="s">
        <v>419</v>
      </c>
      <c r="C61" s="214" t="str">
        <f t="shared" si="0"/>
        <v>Peralatan Rumah Tangga</v>
      </c>
      <c r="D61" s="217" t="str">
        <f t="shared" si="1"/>
        <v>Janet Leverling</v>
      </c>
      <c r="E61" s="217"/>
    </row>
    <row r="62" spans="1:5" x14ac:dyDescent="0.25">
      <c r="A62" s="214"/>
      <c r="B62" s="215" t="s">
        <v>425</v>
      </c>
      <c r="C62" s="214" t="str">
        <f t="shared" si="0"/>
        <v>Makanan</v>
      </c>
      <c r="D62" s="217" t="str">
        <f t="shared" si="1"/>
        <v>Andrew Fuller</v>
      </c>
      <c r="E62" s="217"/>
    </row>
    <row r="63" spans="1:5" x14ac:dyDescent="0.25">
      <c r="A63" s="217"/>
      <c r="B63" s="138" t="s">
        <v>426</v>
      </c>
      <c r="C63" s="214" t="str">
        <f t="shared" si="0"/>
        <v>Obat-obatan</v>
      </c>
      <c r="D63" s="217" t="str">
        <f t="shared" si="1"/>
        <v>Andrew Fuller</v>
      </c>
      <c r="E63" s="217"/>
    </row>
    <row r="64" spans="1:5" x14ac:dyDescent="0.25">
      <c r="A64" s="214"/>
      <c r="B64" s="215" t="s">
        <v>393</v>
      </c>
      <c r="C64" s="214" t="str">
        <f t="shared" si="0"/>
        <v>Peralatan Rumah Tangga</v>
      </c>
      <c r="D64" s="217" t="str">
        <f t="shared" si="1"/>
        <v>Nancy Davolio</v>
      </c>
      <c r="E64" s="217"/>
    </row>
    <row r="65" spans="1:5" x14ac:dyDescent="0.25">
      <c r="A65" s="217"/>
      <c r="B65" s="138" t="s">
        <v>427</v>
      </c>
      <c r="C65" s="214" t="str">
        <f t="shared" si="0"/>
        <v>Peralatan Rumah Tangga</v>
      </c>
      <c r="D65" s="217" t="str">
        <f t="shared" si="1"/>
        <v>Laura Callahan</v>
      </c>
      <c r="E65" s="217"/>
    </row>
    <row r="66" spans="1:5" x14ac:dyDescent="0.25">
      <c r="A66" s="214"/>
      <c r="B66" s="215" t="s">
        <v>408</v>
      </c>
      <c r="C66" s="214" t="str">
        <f t="shared" si="0"/>
        <v>Minuman</v>
      </c>
      <c r="D66" s="217" t="str">
        <f t="shared" si="1"/>
        <v>Laura Callahan</v>
      </c>
      <c r="E66" s="217"/>
    </row>
    <row r="67" spans="1:5" x14ac:dyDescent="0.25">
      <c r="A67" s="217"/>
      <c r="B67" s="138" t="s">
        <v>428</v>
      </c>
      <c r="C67" s="214" t="str">
        <f t="shared" si="0"/>
        <v>Obat-obatan</v>
      </c>
      <c r="D67" s="217" t="str">
        <f t="shared" si="1"/>
        <v>Laura Callahan</v>
      </c>
      <c r="E67" s="217"/>
    </row>
    <row r="68" spans="1:5" x14ac:dyDescent="0.25">
      <c r="A68" s="214"/>
      <c r="B68" s="215" t="s">
        <v>406</v>
      </c>
      <c r="C68" s="214" t="str">
        <f t="shared" si="0"/>
        <v>Minuman</v>
      </c>
      <c r="D68" s="217" t="str">
        <f t="shared" si="1"/>
        <v>Nancy Davolio</v>
      </c>
      <c r="E68" s="217"/>
    </row>
    <row r="69" spans="1:5" x14ac:dyDescent="0.25">
      <c r="A69" s="217"/>
      <c r="B69" s="138" t="s">
        <v>415</v>
      </c>
      <c r="C69" s="214" t="str">
        <f t="shared" ref="C69:C119" si="2">VLOOKUP(LEFT(B69,2),$G$4:$H$7,2,FALSE)</f>
        <v>Minuman</v>
      </c>
      <c r="D69" s="217" t="str">
        <f t="shared" ref="D69:D119" si="3">VLOOKUP(MID(B69,3,1),$J$4:$K$7,2)</f>
        <v>Nancy Davolio</v>
      </c>
      <c r="E69" s="217"/>
    </row>
    <row r="70" spans="1:5" x14ac:dyDescent="0.25">
      <c r="A70" s="214"/>
      <c r="B70" s="215" t="s">
        <v>378</v>
      </c>
      <c r="C70" s="214" t="str">
        <f t="shared" si="2"/>
        <v>Minuman</v>
      </c>
      <c r="D70" s="217" t="str">
        <f t="shared" si="3"/>
        <v>Andrew Fuller</v>
      </c>
      <c r="E70" s="217"/>
    </row>
    <row r="71" spans="1:5" x14ac:dyDescent="0.25">
      <c r="A71" s="217"/>
      <c r="B71" s="138" t="s">
        <v>429</v>
      </c>
      <c r="C71" s="214" t="str">
        <f t="shared" si="2"/>
        <v>Obat-obatan</v>
      </c>
      <c r="D71" s="217" t="str">
        <f t="shared" si="3"/>
        <v>Janet Leverling</v>
      </c>
      <c r="E71" s="217"/>
    </row>
    <row r="72" spans="1:5" x14ac:dyDescent="0.25">
      <c r="A72" s="214"/>
      <c r="B72" s="215" t="s">
        <v>406</v>
      </c>
      <c r="C72" s="214" t="str">
        <f t="shared" si="2"/>
        <v>Minuman</v>
      </c>
      <c r="D72" s="217" t="str">
        <f t="shared" si="3"/>
        <v>Nancy Davolio</v>
      </c>
      <c r="E72" s="217"/>
    </row>
    <row r="73" spans="1:5" x14ac:dyDescent="0.25">
      <c r="A73" s="217"/>
      <c r="B73" s="138" t="s">
        <v>430</v>
      </c>
      <c r="C73" s="214" t="str">
        <f t="shared" si="2"/>
        <v>Obat-obatan</v>
      </c>
      <c r="D73" s="217" t="str">
        <f t="shared" si="3"/>
        <v>Laura Callahan</v>
      </c>
      <c r="E73" s="217"/>
    </row>
    <row r="74" spans="1:5" x14ac:dyDescent="0.25">
      <c r="A74" s="214"/>
      <c r="B74" s="215" t="s">
        <v>431</v>
      </c>
      <c r="C74" s="214" t="str">
        <f t="shared" si="2"/>
        <v>Makanan</v>
      </c>
      <c r="D74" s="217" t="str">
        <f t="shared" si="3"/>
        <v>Nancy Davolio</v>
      </c>
      <c r="E74" s="217"/>
    </row>
    <row r="75" spans="1:5" x14ac:dyDescent="0.25">
      <c r="A75" s="217"/>
      <c r="B75" s="138" t="s">
        <v>432</v>
      </c>
      <c r="C75" s="214" t="str">
        <f t="shared" si="2"/>
        <v>Obat-obatan</v>
      </c>
      <c r="D75" s="217" t="str">
        <f t="shared" si="3"/>
        <v>Laura Callahan</v>
      </c>
      <c r="E75" s="217"/>
    </row>
    <row r="76" spans="1:5" x14ac:dyDescent="0.25">
      <c r="A76" s="214"/>
      <c r="B76" s="215" t="s">
        <v>433</v>
      </c>
      <c r="C76" s="214" t="str">
        <f t="shared" si="2"/>
        <v>Minuman</v>
      </c>
      <c r="D76" s="217" t="str">
        <f t="shared" si="3"/>
        <v>Janet Leverling</v>
      </c>
      <c r="E76" s="217"/>
    </row>
    <row r="77" spans="1:5" x14ac:dyDescent="0.25">
      <c r="A77" s="217"/>
      <c r="B77" s="138" t="s">
        <v>434</v>
      </c>
      <c r="C77" s="214" t="str">
        <f t="shared" si="2"/>
        <v>Minuman</v>
      </c>
      <c r="D77" s="217" t="str">
        <f t="shared" si="3"/>
        <v>Janet Leverling</v>
      </c>
      <c r="E77" s="217"/>
    </row>
    <row r="78" spans="1:5" x14ac:dyDescent="0.25">
      <c r="A78" s="214"/>
      <c r="B78" s="215" t="s">
        <v>424</v>
      </c>
      <c r="C78" s="214" t="str">
        <f t="shared" si="2"/>
        <v>Peralatan Rumah Tangga</v>
      </c>
      <c r="D78" s="217" t="str">
        <f t="shared" si="3"/>
        <v>Andrew Fuller</v>
      </c>
      <c r="E78" s="217"/>
    </row>
    <row r="79" spans="1:5" x14ac:dyDescent="0.25">
      <c r="A79" s="217"/>
      <c r="B79" s="138" t="s">
        <v>413</v>
      </c>
      <c r="C79" s="214" t="str">
        <f t="shared" si="2"/>
        <v>Makanan</v>
      </c>
      <c r="D79" s="217" t="str">
        <f t="shared" si="3"/>
        <v>Nancy Davolio</v>
      </c>
      <c r="E79" s="217"/>
    </row>
    <row r="80" spans="1:5" x14ac:dyDescent="0.25">
      <c r="A80" s="214"/>
      <c r="B80" s="215" t="s">
        <v>400</v>
      </c>
      <c r="C80" s="214" t="str">
        <f t="shared" si="2"/>
        <v>Obat-obatan</v>
      </c>
      <c r="D80" s="217" t="str">
        <f t="shared" si="3"/>
        <v>Andrew Fuller</v>
      </c>
      <c r="E80" s="217"/>
    </row>
    <row r="81" spans="1:5" x14ac:dyDescent="0.25">
      <c r="A81" s="217"/>
      <c r="B81" s="138" t="s">
        <v>424</v>
      </c>
      <c r="C81" s="214" t="str">
        <f t="shared" si="2"/>
        <v>Peralatan Rumah Tangga</v>
      </c>
      <c r="D81" s="217" t="str">
        <f t="shared" si="3"/>
        <v>Andrew Fuller</v>
      </c>
      <c r="E81" s="217"/>
    </row>
    <row r="82" spans="1:5" x14ac:dyDescent="0.25">
      <c r="A82" s="214"/>
      <c r="B82" s="215" t="s">
        <v>419</v>
      </c>
      <c r="C82" s="214" t="str">
        <f t="shared" si="2"/>
        <v>Peralatan Rumah Tangga</v>
      </c>
      <c r="D82" s="217" t="str">
        <f t="shared" si="3"/>
        <v>Janet Leverling</v>
      </c>
      <c r="E82" s="217"/>
    </row>
    <row r="83" spans="1:5" x14ac:dyDescent="0.25">
      <c r="A83" s="217"/>
      <c r="B83" s="138" t="s">
        <v>425</v>
      </c>
      <c r="C83" s="214" t="str">
        <f t="shared" si="2"/>
        <v>Makanan</v>
      </c>
      <c r="D83" s="217" t="str">
        <f t="shared" si="3"/>
        <v>Andrew Fuller</v>
      </c>
      <c r="E83" s="217"/>
    </row>
    <row r="84" spans="1:5" x14ac:dyDescent="0.25">
      <c r="A84" s="214"/>
      <c r="B84" s="215" t="s">
        <v>426</v>
      </c>
      <c r="C84" s="214" t="str">
        <f t="shared" si="2"/>
        <v>Obat-obatan</v>
      </c>
      <c r="D84" s="217" t="str">
        <f t="shared" si="3"/>
        <v>Andrew Fuller</v>
      </c>
      <c r="E84" s="217"/>
    </row>
    <row r="85" spans="1:5" x14ac:dyDescent="0.25">
      <c r="A85" s="217"/>
      <c r="B85" s="138" t="s">
        <v>393</v>
      </c>
      <c r="C85" s="214" t="str">
        <f t="shared" si="2"/>
        <v>Peralatan Rumah Tangga</v>
      </c>
      <c r="D85" s="217" t="str">
        <f t="shared" si="3"/>
        <v>Nancy Davolio</v>
      </c>
      <c r="E85" s="217"/>
    </row>
    <row r="86" spans="1:5" x14ac:dyDescent="0.25">
      <c r="A86" s="214"/>
      <c r="B86" s="215" t="s">
        <v>427</v>
      </c>
      <c r="C86" s="214" t="str">
        <f t="shared" si="2"/>
        <v>Peralatan Rumah Tangga</v>
      </c>
      <c r="D86" s="217" t="str">
        <f t="shared" si="3"/>
        <v>Laura Callahan</v>
      </c>
      <c r="E86" s="217"/>
    </row>
    <row r="87" spans="1:5" x14ac:dyDescent="0.25">
      <c r="A87" s="217"/>
      <c r="B87" s="138" t="s">
        <v>378</v>
      </c>
      <c r="C87" s="214" t="str">
        <f t="shared" si="2"/>
        <v>Minuman</v>
      </c>
      <c r="D87" s="217" t="str">
        <f t="shared" si="3"/>
        <v>Andrew Fuller</v>
      </c>
      <c r="E87" s="217"/>
    </row>
    <row r="88" spans="1:5" x14ac:dyDescent="0.25">
      <c r="A88" s="214"/>
      <c r="B88" s="215" t="s">
        <v>429</v>
      </c>
      <c r="C88" s="214" t="str">
        <f t="shared" si="2"/>
        <v>Obat-obatan</v>
      </c>
      <c r="D88" s="217" t="str">
        <f t="shared" si="3"/>
        <v>Janet Leverling</v>
      </c>
      <c r="E88" s="217"/>
    </row>
    <row r="89" spans="1:5" x14ac:dyDescent="0.25">
      <c r="A89" s="217"/>
      <c r="B89" s="138" t="s">
        <v>406</v>
      </c>
      <c r="C89" s="214" t="str">
        <f t="shared" si="2"/>
        <v>Minuman</v>
      </c>
      <c r="D89" s="217" t="str">
        <f t="shared" si="3"/>
        <v>Nancy Davolio</v>
      </c>
      <c r="E89" s="217"/>
    </row>
    <row r="90" spans="1:5" x14ac:dyDescent="0.25">
      <c r="A90" s="214"/>
      <c r="B90" s="215" t="s">
        <v>430</v>
      </c>
      <c r="C90" s="214" t="str">
        <f t="shared" si="2"/>
        <v>Obat-obatan</v>
      </c>
      <c r="D90" s="217" t="str">
        <f t="shared" si="3"/>
        <v>Laura Callahan</v>
      </c>
      <c r="E90" s="217"/>
    </row>
    <row r="91" spans="1:5" x14ac:dyDescent="0.25">
      <c r="A91" s="217"/>
      <c r="B91" s="138" t="s">
        <v>431</v>
      </c>
      <c r="C91" s="214" t="str">
        <f t="shared" si="2"/>
        <v>Makanan</v>
      </c>
      <c r="D91" s="217" t="str">
        <f t="shared" si="3"/>
        <v>Nancy Davolio</v>
      </c>
      <c r="E91" s="217"/>
    </row>
    <row r="92" spans="1:5" x14ac:dyDescent="0.25">
      <c r="A92" s="214"/>
      <c r="B92" s="215" t="s">
        <v>424</v>
      </c>
      <c r="C92" s="214" t="str">
        <f t="shared" si="2"/>
        <v>Peralatan Rumah Tangga</v>
      </c>
      <c r="D92" s="217" t="str">
        <f t="shared" si="3"/>
        <v>Andrew Fuller</v>
      </c>
      <c r="E92" s="217"/>
    </row>
    <row r="93" spans="1:5" x14ac:dyDescent="0.25">
      <c r="A93" s="217"/>
      <c r="B93" s="138" t="s">
        <v>413</v>
      </c>
      <c r="C93" s="214" t="str">
        <f t="shared" si="2"/>
        <v>Makanan</v>
      </c>
      <c r="D93" s="217" t="str">
        <f t="shared" si="3"/>
        <v>Nancy Davolio</v>
      </c>
      <c r="E93" s="217"/>
    </row>
    <row r="94" spans="1:5" x14ac:dyDescent="0.25">
      <c r="A94" s="214"/>
      <c r="B94" s="215" t="s">
        <v>400</v>
      </c>
      <c r="C94" s="214" t="str">
        <f t="shared" si="2"/>
        <v>Obat-obatan</v>
      </c>
      <c r="D94" s="217" t="str">
        <f t="shared" si="3"/>
        <v>Andrew Fuller</v>
      </c>
      <c r="E94" s="217"/>
    </row>
    <row r="95" spans="1:5" x14ac:dyDescent="0.25">
      <c r="A95" s="217"/>
      <c r="B95" s="138" t="s">
        <v>424</v>
      </c>
      <c r="C95" s="214" t="str">
        <f t="shared" si="2"/>
        <v>Peralatan Rumah Tangga</v>
      </c>
      <c r="D95" s="217" t="str">
        <f t="shared" si="3"/>
        <v>Andrew Fuller</v>
      </c>
      <c r="E95" s="217"/>
    </row>
    <row r="96" spans="1:5" x14ac:dyDescent="0.25">
      <c r="A96" s="217"/>
      <c r="B96" s="138" t="s">
        <v>378</v>
      </c>
      <c r="C96" s="214" t="str">
        <f t="shared" si="2"/>
        <v>Minuman</v>
      </c>
      <c r="D96" s="217" t="str">
        <f t="shared" si="3"/>
        <v>Andrew Fuller</v>
      </c>
      <c r="E96" s="217"/>
    </row>
    <row r="97" spans="1:5" x14ac:dyDescent="0.25">
      <c r="A97" s="214"/>
      <c r="B97" s="215" t="s">
        <v>419</v>
      </c>
      <c r="C97" s="214" t="str">
        <f t="shared" si="2"/>
        <v>Peralatan Rumah Tangga</v>
      </c>
      <c r="D97" s="217" t="str">
        <f t="shared" si="3"/>
        <v>Janet Leverling</v>
      </c>
      <c r="E97" s="217"/>
    </row>
    <row r="98" spans="1:5" x14ac:dyDescent="0.25">
      <c r="A98" s="217"/>
      <c r="B98" s="138" t="s">
        <v>425</v>
      </c>
      <c r="C98" s="214" t="str">
        <f t="shared" si="2"/>
        <v>Makanan</v>
      </c>
      <c r="D98" s="217" t="str">
        <f t="shared" si="3"/>
        <v>Andrew Fuller</v>
      </c>
      <c r="E98" s="217"/>
    </row>
    <row r="99" spans="1:5" x14ac:dyDescent="0.25">
      <c r="A99" s="214"/>
      <c r="B99" s="215" t="s">
        <v>414</v>
      </c>
      <c r="C99" s="214" t="str">
        <f t="shared" si="2"/>
        <v>Peralatan Rumah Tangga</v>
      </c>
      <c r="D99" s="217" t="str">
        <f t="shared" si="3"/>
        <v>Janet Leverling</v>
      </c>
      <c r="E99" s="217"/>
    </row>
    <row r="100" spans="1:5" x14ac:dyDescent="0.25">
      <c r="A100" s="217"/>
      <c r="B100" s="138" t="s">
        <v>415</v>
      </c>
      <c r="C100" s="214" t="str">
        <f t="shared" si="2"/>
        <v>Minuman</v>
      </c>
      <c r="D100" s="217" t="str">
        <f t="shared" si="3"/>
        <v>Nancy Davolio</v>
      </c>
      <c r="E100" s="217"/>
    </row>
    <row r="101" spans="1:5" x14ac:dyDescent="0.25">
      <c r="A101" s="214"/>
      <c r="B101" s="215" t="s">
        <v>405</v>
      </c>
      <c r="C101" s="214" t="str">
        <f t="shared" si="2"/>
        <v>Obat-obatan</v>
      </c>
      <c r="D101" s="217" t="str">
        <f t="shared" si="3"/>
        <v>Janet Leverling</v>
      </c>
      <c r="E101" s="217"/>
    </row>
    <row r="102" spans="1:5" x14ac:dyDescent="0.25">
      <c r="A102" s="217"/>
      <c r="B102" s="138" t="s">
        <v>399</v>
      </c>
      <c r="C102" s="214" t="str">
        <f t="shared" si="2"/>
        <v>Peralatan Rumah Tangga</v>
      </c>
      <c r="D102" s="217" t="str">
        <f t="shared" si="3"/>
        <v>Andrew Fuller</v>
      </c>
      <c r="E102" s="217"/>
    </row>
    <row r="103" spans="1:5" x14ac:dyDescent="0.25">
      <c r="A103" s="214"/>
      <c r="B103" s="215" t="s">
        <v>412</v>
      </c>
      <c r="C103" s="214" t="str">
        <f t="shared" si="2"/>
        <v>Obat-obatan</v>
      </c>
      <c r="D103" s="217" t="str">
        <f t="shared" si="3"/>
        <v>Andrew Fuller</v>
      </c>
      <c r="E103" s="217"/>
    </row>
    <row r="104" spans="1:5" x14ac:dyDescent="0.25">
      <c r="A104" s="217"/>
      <c r="B104" s="138" t="s">
        <v>399</v>
      </c>
      <c r="C104" s="214" t="str">
        <f t="shared" si="2"/>
        <v>Peralatan Rumah Tangga</v>
      </c>
      <c r="D104" s="217" t="str">
        <f t="shared" si="3"/>
        <v>Andrew Fuller</v>
      </c>
      <c r="E104" s="217"/>
    </row>
    <row r="105" spans="1:5" x14ac:dyDescent="0.25">
      <c r="A105" s="214"/>
      <c r="B105" s="215" t="s">
        <v>416</v>
      </c>
      <c r="C105" s="214" t="str">
        <f t="shared" si="2"/>
        <v>Makanan</v>
      </c>
      <c r="D105" s="217" t="str">
        <f t="shared" si="3"/>
        <v>Janet Leverling</v>
      </c>
      <c r="E105" s="217"/>
    </row>
    <row r="106" spans="1:5" x14ac:dyDescent="0.25">
      <c r="A106" s="214"/>
      <c r="B106" s="215" t="s">
        <v>412</v>
      </c>
      <c r="C106" s="214" t="str">
        <f t="shared" si="2"/>
        <v>Obat-obatan</v>
      </c>
      <c r="D106" s="217" t="str">
        <f t="shared" si="3"/>
        <v>Andrew Fuller</v>
      </c>
      <c r="E106" s="217"/>
    </row>
    <row r="107" spans="1:5" x14ac:dyDescent="0.25">
      <c r="A107" s="217"/>
      <c r="B107" s="138" t="s">
        <v>417</v>
      </c>
      <c r="C107" s="214" t="str">
        <f t="shared" si="2"/>
        <v>Makanan</v>
      </c>
      <c r="D107" s="217" t="str">
        <f t="shared" si="3"/>
        <v>Andrew Fuller</v>
      </c>
      <c r="E107" s="217"/>
    </row>
    <row r="108" spans="1:5" x14ac:dyDescent="0.25">
      <c r="A108" s="214"/>
      <c r="B108" s="215" t="s">
        <v>413</v>
      </c>
      <c r="C108" s="214" t="str">
        <f t="shared" si="2"/>
        <v>Makanan</v>
      </c>
      <c r="D108" s="217" t="str">
        <f t="shared" si="3"/>
        <v>Nancy Davolio</v>
      </c>
      <c r="E108" s="217"/>
    </row>
    <row r="109" spans="1:5" x14ac:dyDescent="0.25">
      <c r="A109" s="217"/>
      <c r="B109" s="138" t="s">
        <v>395</v>
      </c>
      <c r="C109" s="214" t="str">
        <f t="shared" si="2"/>
        <v>Obat-obatan</v>
      </c>
      <c r="D109" s="217" t="str">
        <f t="shared" si="3"/>
        <v>Nancy Davolio</v>
      </c>
      <c r="E109" s="217"/>
    </row>
    <row r="110" spans="1:5" x14ac:dyDescent="0.25">
      <c r="A110" s="214"/>
      <c r="B110" s="215" t="s">
        <v>418</v>
      </c>
      <c r="C110" s="214" t="str">
        <f t="shared" si="2"/>
        <v>Peralatan Rumah Tangga</v>
      </c>
      <c r="D110" s="217" t="str">
        <f t="shared" si="3"/>
        <v>Laura Callahan</v>
      </c>
      <c r="E110" s="217"/>
    </row>
    <row r="111" spans="1:5" x14ac:dyDescent="0.25">
      <c r="A111" s="217"/>
      <c r="B111" s="138" t="s">
        <v>419</v>
      </c>
      <c r="C111" s="214" t="str">
        <f t="shared" si="2"/>
        <v>Peralatan Rumah Tangga</v>
      </c>
      <c r="D111" s="217" t="str">
        <f t="shared" si="3"/>
        <v>Janet Leverling</v>
      </c>
      <c r="E111" s="217"/>
    </row>
    <row r="112" spans="1:5" x14ac:dyDescent="0.25">
      <c r="A112" s="217"/>
      <c r="B112" s="215" t="s">
        <v>424</v>
      </c>
      <c r="C112" s="214" t="str">
        <f t="shared" si="2"/>
        <v>Peralatan Rumah Tangga</v>
      </c>
      <c r="D112" s="217" t="str">
        <f t="shared" si="3"/>
        <v>Andrew Fuller</v>
      </c>
      <c r="E112" s="217"/>
    </row>
    <row r="113" spans="1:5" x14ac:dyDescent="0.25">
      <c r="A113" s="214"/>
      <c r="B113" s="215" t="s">
        <v>420</v>
      </c>
      <c r="C113" s="214" t="str">
        <f t="shared" si="2"/>
        <v>Peralatan Rumah Tangga</v>
      </c>
      <c r="D113" s="217" t="str">
        <f t="shared" si="3"/>
        <v>Nancy Davolio</v>
      </c>
      <c r="E113" s="217"/>
    </row>
    <row r="114" spans="1:5" x14ac:dyDescent="0.25">
      <c r="A114" s="217"/>
      <c r="B114" s="138" t="s">
        <v>394</v>
      </c>
      <c r="C114" s="214" t="str">
        <f t="shared" si="2"/>
        <v>Makanan</v>
      </c>
      <c r="D114" s="217" t="str">
        <f t="shared" si="3"/>
        <v>Andrew Fuller</v>
      </c>
      <c r="E114" s="217"/>
    </row>
    <row r="115" spans="1:5" x14ac:dyDescent="0.25">
      <c r="A115" s="214"/>
      <c r="B115" s="215" t="s">
        <v>396</v>
      </c>
      <c r="C115" s="214" t="str">
        <f t="shared" si="2"/>
        <v>Peralatan Rumah Tangga</v>
      </c>
      <c r="D115" s="217" t="str">
        <f t="shared" si="3"/>
        <v>Nancy Davolio</v>
      </c>
      <c r="E115" s="217"/>
    </row>
    <row r="116" spans="1:5" x14ac:dyDescent="0.25">
      <c r="A116" s="214"/>
      <c r="B116" s="138" t="s">
        <v>399</v>
      </c>
      <c r="C116" s="214" t="str">
        <f t="shared" si="2"/>
        <v>Peralatan Rumah Tangga</v>
      </c>
      <c r="D116" s="217" t="str">
        <f t="shared" si="3"/>
        <v>Andrew Fuller</v>
      </c>
      <c r="E116" s="217"/>
    </row>
    <row r="117" spans="1:5" x14ac:dyDescent="0.25">
      <c r="A117" s="217"/>
      <c r="B117" s="138" t="s">
        <v>378</v>
      </c>
      <c r="C117" s="214" t="str">
        <f t="shared" si="2"/>
        <v>Minuman</v>
      </c>
      <c r="D117" s="217" t="str">
        <f t="shared" si="3"/>
        <v>Andrew Fuller</v>
      </c>
      <c r="E117" s="217"/>
    </row>
    <row r="118" spans="1:5" x14ac:dyDescent="0.25">
      <c r="A118" s="214"/>
      <c r="B118" s="215" t="s">
        <v>421</v>
      </c>
      <c r="C118" s="214" t="str">
        <f t="shared" si="2"/>
        <v>Makanan</v>
      </c>
      <c r="D118" s="217" t="str">
        <f t="shared" si="3"/>
        <v>Nancy Davolio</v>
      </c>
      <c r="E118" s="217"/>
    </row>
    <row r="119" spans="1:5" x14ac:dyDescent="0.25">
      <c r="A119" s="217"/>
      <c r="B119" s="138" t="s">
        <v>422</v>
      </c>
      <c r="C119" s="214" t="str">
        <f t="shared" si="2"/>
        <v>Minuman</v>
      </c>
      <c r="D119" s="217" t="str">
        <f t="shared" si="3"/>
        <v>Janet Leverling</v>
      </c>
      <c r="E119" s="217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0"/>
  <sheetViews>
    <sheetView topLeftCell="I6" workbookViewId="0">
      <selection activeCell="N8" sqref="N8"/>
    </sheetView>
  </sheetViews>
  <sheetFormatPr defaultRowHeight="15" x14ac:dyDescent="0.25"/>
  <cols>
    <col min="1" max="1" width="4.5703125" style="19" customWidth="1"/>
    <col min="3" max="3" width="16.28515625" customWidth="1"/>
    <col min="4" max="4" width="15.85546875" customWidth="1"/>
    <col min="5" max="5" width="24.28515625" customWidth="1"/>
    <col min="6" max="6" width="14.28515625" customWidth="1"/>
    <col min="7" max="7" width="10.7109375" bestFit="1" customWidth="1"/>
    <col min="8" max="8" width="11.85546875" bestFit="1" customWidth="1"/>
    <col min="9" max="9" width="18.28515625" customWidth="1"/>
    <col min="10" max="10" width="26.28515625" customWidth="1"/>
    <col min="11" max="11" width="22.7109375" customWidth="1"/>
    <col min="12" max="12" width="23.140625" customWidth="1"/>
    <col min="13" max="13" width="22.42578125" customWidth="1"/>
    <col min="14" max="14" width="13.28515625" bestFit="1" customWidth="1"/>
  </cols>
  <sheetData>
    <row r="1" spans="1:14" ht="23.25" x14ac:dyDescent="0.35">
      <c r="B1" s="394" t="s">
        <v>325</v>
      </c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</row>
    <row r="3" spans="1:14" s="192" customFormat="1" x14ac:dyDescent="0.25">
      <c r="A3" s="136" t="s">
        <v>83</v>
      </c>
      <c r="B3" s="136" t="s">
        <v>326</v>
      </c>
      <c r="C3" s="136" t="s">
        <v>327</v>
      </c>
      <c r="D3" s="136" t="s">
        <v>328</v>
      </c>
      <c r="E3" s="136" t="s">
        <v>329</v>
      </c>
      <c r="F3" s="136" t="s">
        <v>330</v>
      </c>
      <c r="G3" s="136" t="s">
        <v>331</v>
      </c>
      <c r="H3" s="136" t="s">
        <v>332</v>
      </c>
      <c r="I3" s="136" t="s">
        <v>333</v>
      </c>
      <c r="J3" s="136" t="s">
        <v>334</v>
      </c>
      <c r="K3" s="136" t="s">
        <v>335</v>
      </c>
      <c r="L3" s="136" t="s">
        <v>336</v>
      </c>
      <c r="M3" s="136" t="s">
        <v>337</v>
      </c>
    </row>
    <row r="4" spans="1:14" x14ac:dyDescent="0.25">
      <c r="A4" s="134">
        <v>1</v>
      </c>
      <c r="B4" s="138" t="s">
        <v>338</v>
      </c>
      <c r="C4" s="138" t="s">
        <v>339</v>
      </c>
      <c r="D4" s="193" t="str">
        <f>VLOOKUP(C4,$B$22:$F$25,2,FALSE)</f>
        <v>Exclusive</v>
      </c>
      <c r="E4" s="193" t="str">
        <f>VLOOKUP(C4,$B$22:$F$25,3)</f>
        <v>Makan Pagi</v>
      </c>
      <c r="F4" s="193">
        <f>VLOOKUP(C4,$B$22:$F$25,5)</f>
        <v>350000</v>
      </c>
      <c r="G4" s="194">
        <v>41244</v>
      </c>
      <c r="H4" s="195">
        <v>41249</v>
      </c>
      <c r="I4" s="398">
        <f>H4-G4</f>
        <v>5</v>
      </c>
      <c r="J4" s="399">
        <f>F4*I4</f>
        <v>1750000</v>
      </c>
      <c r="K4" s="196">
        <f>VLOOKUP(IF(I4&gt;10,$E$33,IF(AND(I4&gt;2,I4&lt;6),$E$31,IF(AND(I4&gt;5,I4&lt;11),$E$32,$E$34))),$E$31:$F$34,2,FALSE)</f>
        <v>0.05</v>
      </c>
      <c r="L4" s="402">
        <f>IF(AND(D4="Exclusive",I4&gt;10),30%,0%)</f>
        <v>0</v>
      </c>
      <c r="M4" s="399">
        <f>J4-(J4*K4)-(J4*L4)</f>
        <v>1662500</v>
      </c>
    </row>
    <row r="5" spans="1:14" x14ac:dyDescent="0.25">
      <c r="A5" s="134">
        <v>2</v>
      </c>
      <c r="B5" s="138" t="s">
        <v>39</v>
      </c>
      <c r="C5" s="138" t="s">
        <v>340</v>
      </c>
      <c r="D5" s="193" t="str">
        <f t="shared" ref="D5:D18" si="0">VLOOKUP(C5,$B$22:$F$25,2,FALSE)</f>
        <v>Standar</v>
      </c>
      <c r="E5" s="193" t="str">
        <f t="shared" ref="E5:E18" si="1">VLOOKUP(C5,$B$22:$F$25,3)</f>
        <v>Kopi</v>
      </c>
      <c r="F5" s="193">
        <f t="shared" ref="F5:F18" si="2">VLOOKUP(C5,$B$22:$F$25,5)</f>
        <v>200000</v>
      </c>
      <c r="G5" s="194">
        <v>41245</v>
      </c>
      <c r="H5" s="195">
        <v>41249</v>
      </c>
      <c r="I5" s="398">
        <f t="shared" ref="I5:I18" si="3">H5-G5</f>
        <v>4</v>
      </c>
      <c r="J5" s="399">
        <f t="shared" ref="J5:J18" si="4">F5*I5</f>
        <v>800000</v>
      </c>
      <c r="K5" s="196">
        <f t="shared" ref="K5:K18" si="5">VLOOKUP(IF(I5&gt;10,$E$33,IF(AND(I5&gt;2,I5&lt;6),$E$31,IF(AND(I5&gt;5,I5&lt;11),$E$32,$E$34))),$E$31:$F$34,2,FALSE)</f>
        <v>0.05</v>
      </c>
      <c r="L5" s="402">
        <f t="shared" ref="L5:L18" si="6">IF(AND(D5="Exclusive",I5&gt;10),30%,0%)</f>
        <v>0</v>
      </c>
      <c r="M5" s="399">
        <f t="shared" ref="M5:M18" si="7">J5-(J5*K5)-(J5*L5)</f>
        <v>760000</v>
      </c>
    </row>
    <row r="6" spans="1:14" x14ac:dyDescent="0.25">
      <c r="A6" s="134">
        <v>3</v>
      </c>
      <c r="B6" s="138" t="s">
        <v>341</v>
      </c>
      <c r="C6" s="138" t="s">
        <v>342</v>
      </c>
      <c r="D6" s="193" t="str">
        <f t="shared" si="0"/>
        <v>Melati</v>
      </c>
      <c r="E6" s="193" t="str">
        <f t="shared" si="1"/>
        <v>Makan Pagi</v>
      </c>
      <c r="F6" s="193">
        <f t="shared" si="2"/>
        <v>350000</v>
      </c>
      <c r="G6" s="194">
        <v>41240</v>
      </c>
      <c r="H6" s="195">
        <v>41249</v>
      </c>
      <c r="I6" s="398">
        <f t="shared" si="3"/>
        <v>9</v>
      </c>
      <c r="J6" s="399">
        <f t="shared" si="4"/>
        <v>3150000</v>
      </c>
      <c r="K6" s="196">
        <f t="shared" si="5"/>
        <v>0.1</v>
      </c>
      <c r="L6" s="402">
        <f t="shared" si="6"/>
        <v>0</v>
      </c>
      <c r="M6" s="399">
        <f t="shared" si="7"/>
        <v>2835000</v>
      </c>
    </row>
    <row r="7" spans="1:14" x14ac:dyDescent="0.25">
      <c r="A7" s="134">
        <v>4</v>
      </c>
      <c r="B7" s="138" t="s">
        <v>343</v>
      </c>
      <c r="C7" s="138" t="s">
        <v>340</v>
      </c>
      <c r="D7" s="193" t="str">
        <f t="shared" si="0"/>
        <v>Standar</v>
      </c>
      <c r="E7" s="193" t="str">
        <f t="shared" si="1"/>
        <v>Kopi</v>
      </c>
      <c r="F7" s="193">
        <f t="shared" si="2"/>
        <v>200000</v>
      </c>
      <c r="G7" s="194">
        <v>41224</v>
      </c>
      <c r="H7" s="195">
        <v>41226</v>
      </c>
      <c r="I7" s="398">
        <f t="shared" si="3"/>
        <v>2</v>
      </c>
      <c r="J7" s="399">
        <f t="shared" si="4"/>
        <v>400000</v>
      </c>
      <c r="K7" s="196">
        <f t="shared" si="5"/>
        <v>0</v>
      </c>
      <c r="L7" s="402">
        <f t="shared" si="6"/>
        <v>0</v>
      </c>
      <c r="M7" s="399">
        <f t="shared" si="7"/>
        <v>400000</v>
      </c>
    </row>
    <row r="8" spans="1:14" x14ac:dyDescent="0.25">
      <c r="A8" s="134">
        <v>5</v>
      </c>
      <c r="B8" s="138" t="s">
        <v>344</v>
      </c>
      <c r="C8" s="138" t="s">
        <v>345</v>
      </c>
      <c r="D8" s="193" t="str">
        <f t="shared" si="0"/>
        <v>Bisnis</v>
      </c>
      <c r="E8" s="193" t="str">
        <f t="shared" si="1"/>
        <v>Makan Pagi</v>
      </c>
      <c r="F8" s="193">
        <f t="shared" si="2"/>
        <v>350000</v>
      </c>
      <c r="G8" s="194">
        <v>41242</v>
      </c>
      <c r="H8" s="195">
        <v>41251</v>
      </c>
      <c r="I8" s="398">
        <f t="shared" si="3"/>
        <v>9</v>
      </c>
      <c r="J8" s="399">
        <f t="shared" si="4"/>
        <v>3150000</v>
      </c>
      <c r="K8" s="196">
        <f t="shared" si="5"/>
        <v>0.1</v>
      </c>
      <c r="L8" s="402">
        <f t="shared" si="6"/>
        <v>0</v>
      </c>
      <c r="M8" s="399">
        <f t="shared" si="7"/>
        <v>2835000</v>
      </c>
    </row>
    <row r="9" spans="1:14" x14ac:dyDescent="0.25">
      <c r="A9" s="134">
        <v>6</v>
      </c>
      <c r="B9" s="138" t="s">
        <v>346</v>
      </c>
      <c r="C9" s="138" t="s">
        <v>339</v>
      </c>
      <c r="D9" s="193" t="str">
        <f t="shared" si="0"/>
        <v>Exclusive</v>
      </c>
      <c r="E9" s="193" t="str">
        <f t="shared" si="1"/>
        <v>Makan Pagi</v>
      </c>
      <c r="F9" s="193">
        <f t="shared" si="2"/>
        <v>350000</v>
      </c>
      <c r="G9" s="194">
        <v>41216</v>
      </c>
      <c r="H9" s="195">
        <v>41226</v>
      </c>
      <c r="I9" s="398">
        <f t="shared" si="3"/>
        <v>10</v>
      </c>
      <c r="J9" s="399">
        <f t="shared" si="4"/>
        <v>3500000</v>
      </c>
      <c r="K9" s="196">
        <f t="shared" si="5"/>
        <v>0.1</v>
      </c>
      <c r="L9" s="402">
        <f t="shared" si="6"/>
        <v>0</v>
      </c>
      <c r="M9" s="399">
        <f t="shared" si="7"/>
        <v>3150000</v>
      </c>
    </row>
    <row r="10" spans="1:14" x14ac:dyDescent="0.25">
      <c r="A10" s="134">
        <v>7</v>
      </c>
      <c r="B10" s="138" t="s">
        <v>35</v>
      </c>
      <c r="C10" s="138" t="s">
        <v>345</v>
      </c>
      <c r="D10" s="193" t="str">
        <f t="shared" si="0"/>
        <v>Bisnis</v>
      </c>
      <c r="E10" s="193" t="str">
        <f t="shared" si="1"/>
        <v>Makan Pagi</v>
      </c>
      <c r="F10" s="193">
        <f t="shared" si="2"/>
        <v>350000</v>
      </c>
      <c r="G10" s="194">
        <v>41244</v>
      </c>
      <c r="H10" s="195">
        <v>41256</v>
      </c>
      <c r="I10" s="398">
        <f t="shared" si="3"/>
        <v>12</v>
      </c>
      <c r="J10" s="399">
        <f t="shared" si="4"/>
        <v>4200000</v>
      </c>
      <c r="K10" s="196">
        <f t="shared" si="5"/>
        <v>0.2</v>
      </c>
      <c r="L10" s="402">
        <f t="shared" si="6"/>
        <v>0</v>
      </c>
      <c r="M10" s="399">
        <f t="shared" si="7"/>
        <v>3360000</v>
      </c>
    </row>
    <row r="11" spans="1:14" x14ac:dyDescent="0.25">
      <c r="A11" s="134">
        <v>8</v>
      </c>
      <c r="B11" s="138" t="s">
        <v>347</v>
      </c>
      <c r="C11" s="138" t="s">
        <v>339</v>
      </c>
      <c r="D11" s="193" t="str">
        <f t="shared" si="0"/>
        <v>Exclusive</v>
      </c>
      <c r="E11" s="193" t="str">
        <f t="shared" si="1"/>
        <v>Makan Pagi</v>
      </c>
      <c r="F11" s="193">
        <f t="shared" si="2"/>
        <v>350000</v>
      </c>
      <c r="G11" s="194">
        <v>41235</v>
      </c>
      <c r="H11" s="195">
        <v>41239</v>
      </c>
      <c r="I11" s="398">
        <f t="shared" si="3"/>
        <v>4</v>
      </c>
      <c r="J11" s="399">
        <f t="shared" si="4"/>
        <v>1400000</v>
      </c>
      <c r="K11" s="196">
        <f t="shared" si="5"/>
        <v>0.05</v>
      </c>
      <c r="L11" s="402">
        <f t="shared" si="6"/>
        <v>0</v>
      </c>
      <c r="M11" s="399">
        <f t="shared" si="7"/>
        <v>1330000</v>
      </c>
    </row>
    <row r="12" spans="1:14" x14ac:dyDescent="0.25">
      <c r="A12" s="134">
        <v>9</v>
      </c>
      <c r="B12" s="138" t="s">
        <v>348</v>
      </c>
      <c r="C12" s="138" t="s">
        <v>342</v>
      </c>
      <c r="D12" s="193" t="str">
        <f t="shared" si="0"/>
        <v>Melati</v>
      </c>
      <c r="E12" s="193" t="str">
        <f t="shared" si="1"/>
        <v>Makan Pagi</v>
      </c>
      <c r="F12" s="193">
        <f t="shared" si="2"/>
        <v>350000</v>
      </c>
      <c r="G12" s="194">
        <v>41233</v>
      </c>
      <c r="H12" s="195">
        <v>41238</v>
      </c>
      <c r="I12" s="398">
        <f t="shared" si="3"/>
        <v>5</v>
      </c>
      <c r="J12" s="399">
        <f t="shared" si="4"/>
        <v>1750000</v>
      </c>
      <c r="K12" s="196">
        <f t="shared" si="5"/>
        <v>0.05</v>
      </c>
      <c r="L12" s="402">
        <f t="shared" si="6"/>
        <v>0</v>
      </c>
      <c r="M12" s="399">
        <f t="shared" si="7"/>
        <v>1662500</v>
      </c>
    </row>
    <row r="13" spans="1:14" x14ac:dyDescent="0.25">
      <c r="A13" s="134">
        <v>10</v>
      </c>
      <c r="B13" s="138" t="s">
        <v>349</v>
      </c>
      <c r="C13" s="138" t="s">
        <v>342</v>
      </c>
      <c r="D13" s="193" t="str">
        <f t="shared" si="0"/>
        <v>Melati</v>
      </c>
      <c r="E13" s="193" t="str">
        <f t="shared" si="1"/>
        <v>Makan Pagi</v>
      </c>
      <c r="F13" s="193">
        <f t="shared" si="2"/>
        <v>350000</v>
      </c>
      <c r="G13" s="194">
        <v>41232</v>
      </c>
      <c r="H13" s="195">
        <v>41239</v>
      </c>
      <c r="I13" s="398">
        <f t="shared" si="3"/>
        <v>7</v>
      </c>
      <c r="J13" s="399">
        <f t="shared" si="4"/>
        <v>2450000</v>
      </c>
      <c r="K13" s="196">
        <f t="shared" si="5"/>
        <v>0.1</v>
      </c>
      <c r="L13" s="402">
        <f t="shared" si="6"/>
        <v>0</v>
      </c>
      <c r="M13" s="399">
        <f t="shared" si="7"/>
        <v>2205000</v>
      </c>
    </row>
    <row r="14" spans="1:14" x14ac:dyDescent="0.25">
      <c r="A14" s="134">
        <v>11</v>
      </c>
      <c r="B14" s="138" t="s">
        <v>350</v>
      </c>
      <c r="C14" s="138" t="s">
        <v>339</v>
      </c>
      <c r="D14" s="193" t="str">
        <f t="shared" si="0"/>
        <v>Exclusive</v>
      </c>
      <c r="E14" s="193" t="str">
        <f t="shared" si="1"/>
        <v>Makan Pagi</v>
      </c>
      <c r="F14" s="193">
        <f t="shared" si="2"/>
        <v>350000</v>
      </c>
      <c r="G14" s="194">
        <v>41233</v>
      </c>
      <c r="H14" s="195">
        <v>41248</v>
      </c>
      <c r="I14" s="398">
        <f t="shared" si="3"/>
        <v>15</v>
      </c>
      <c r="J14" s="399">
        <f t="shared" si="4"/>
        <v>5250000</v>
      </c>
      <c r="K14" s="196">
        <f t="shared" si="5"/>
        <v>0.2</v>
      </c>
      <c r="L14" s="402">
        <f t="shared" si="6"/>
        <v>0.3</v>
      </c>
      <c r="M14" s="399">
        <f t="shared" si="7"/>
        <v>2625000</v>
      </c>
      <c r="N14" s="197"/>
    </row>
    <row r="15" spans="1:14" x14ac:dyDescent="0.25">
      <c r="A15" s="134">
        <v>12</v>
      </c>
      <c r="B15" s="138" t="s">
        <v>351</v>
      </c>
      <c r="C15" s="138" t="s">
        <v>345</v>
      </c>
      <c r="D15" s="193" t="str">
        <f t="shared" si="0"/>
        <v>Bisnis</v>
      </c>
      <c r="E15" s="193" t="str">
        <f t="shared" si="1"/>
        <v>Makan Pagi</v>
      </c>
      <c r="F15" s="193">
        <f t="shared" si="2"/>
        <v>350000</v>
      </c>
      <c r="G15" s="194">
        <v>41240</v>
      </c>
      <c r="H15" s="195">
        <v>41242</v>
      </c>
      <c r="I15" s="398">
        <f t="shared" si="3"/>
        <v>2</v>
      </c>
      <c r="J15" s="399">
        <f t="shared" si="4"/>
        <v>700000</v>
      </c>
      <c r="K15" s="196">
        <f t="shared" si="5"/>
        <v>0</v>
      </c>
      <c r="L15" s="402">
        <f t="shared" si="6"/>
        <v>0</v>
      </c>
      <c r="M15" s="399">
        <f t="shared" si="7"/>
        <v>700000</v>
      </c>
    </row>
    <row r="16" spans="1:14" x14ac:dyDescent="0.25">
      <c r="A16" s="134">
        <v>13</v>
      </c>
      <c r="B16" s="138" t="s">
        <v>352</v>
      </c>
      <c r="C16" s="138" t="s">
        <v>345</v>
      </c>
      <c r="D16" s="193" t="str">
        <f t="shared" si="0"/>
        <v>Bisnis</v>
      </c>
      <c r="E16" s="193" t="str">
        <f t="shared" si="1"/>
        <v>Makan Pagi</v>
      </c>
      <c r="F16" s="193">
        <f t="shared" si="2"/>
        <v>350000</v>
      </c>
      <c r="G16" s="194">
        <v>41235</v>
      </c>
      <c r="H16" s="195">
        <v>41236</v>
      </c>
      <c r="I16" s="398">
        <f t="shared" si="3"/>
        <v>1</v>
      </c>
      <c r="J16" s="399">
        <f t="shared" si="4"/>
        <v>350000</v>
      </c>
      <c r="K16" s="196">
        <f t="shared" si="5"/>
        <v>0</v>
      </c>
      <c r="L16" s="402">
        <f t="shared" si="6"/>
        <v>0</v>
      </c>
      <c r="M16" s="399">
        <f t="shared" si="7"/>
        <v>350000</v>
      </c>
    </row>
    <row r="17" spans="1:13" x14ac:dyDescent="0.25">
      <c r="A17" s="134">
        <v>14</v>
      </c>
      <c r="B17" s="138" t="s">
        <v>353</v>
      </c>
      <c r="C17" s="138" t="s">
        <v>342</v>
      </c>
      <c r="D17" s="193" t="str">
        <f t="shared" si="0"/>
        <v>Melati</v>
      </c>
      <c r="E17" s="193" t="str">
        <f t="shared" si="1"/>
        <v>Makan Pagi</v>
      </c>
      <c r="F17" s="193">
        <f t="shared" si="2"/>
        <v>350000</v>
      </c>
      <c r="G17" s="194">
        <v>41226</v>
      </c>
      <c r="H17" s="195">
        <v>41232</v>
      </c>
      <c r="I17" s="398">
        <f t="shared" si="3"/>
        <v>6</v>
      </c>
      <c r="J17" s="399">
        <f t="shared" si="4"/>
        <v>2100000</v>
      </c>
      <c r="K17" s="196">
        <f t="shared" si="5"/>
        <v>0.1</v>
      </c>
      <c r="L17" s="402">
        <f t="shared" si="6"/>
        <v>0</v>
      </c>
      <c r="M17" s="399">
        <f t="shared" si="7"/>
        <v>1890000</v>
      </c>
    </row>
    <row r="18" spans="1:13" x14ac:dyDescent="0.25">
      <c r="A18" s="134">
        <v>15</v>
      </c>
      <c r="B18" s="138" t="s">
        <v>354</v>
      </c>
      <c r="C18" s="138" t="s">
        <v>342</v>
      </c>
      <c r="D18" s="193" t="str">
        <f t="shared" si="0"/>
        <v>Melati</v>
      </c>
      <c r="E18" s="193" t="str">
        <f t="shared" si="1"/>
        <v>Makan Pagi</v>
      </c>
      <c r="F18" s="193">
        <f t="shared" si="2"/>
        <v>350000</v>
      </c>
      <c r="G18" s="194">
        <v>41237</v>
      </c>
      <c r="H18" s="195">
        <v>41248</v>
      </c>
      <c r="I18" s="398">
        <f t="shared" si="3"/>
        <v>11</v>
      </c>
      <c r="J18" s="399">
        <f t="shared" si="4"/>
        <v>3850000</v>
      </c>
      <c r="K18" s="196">
        <f t="shared" si="5"/>
        <v>0.2</v>
      </c>
      <c r="L18" s="402">
        <f t="shared" si="6"/>
        <v>0</v>
      </c>
      <c r="M18" s="399">
        <f t="shared" si="7"/>
        <v>3080000</v>
      </c>
    </row>
    <row r="19" spans="1:13" x14ac:dyDescent="0.25">
      <c r="D19" s="19"/>
      <c r="E19" s="19"/>
      <c r="F19" s="19"/>
      <c r="I19" s="198"/>
      <c r="J19" s="19"/>
      <c r="M19" s="199"/>
    </row>
    <row r="20" spans="1:13" x14ac:dyDescent="0.25">
      <c r="B20" s="77" t="s">
        <v>355</v>
      </c>
      <c r="C20" s="25"/>
      <c r="D20" s="25"/>
      <c r="E20" s="25"/>
      <c r="F20" s="25"/>
      <c r="G20" s="25"/>
      <c r="H20" s="25"/>
      <c r="I20" s="198"/>
      <c r="J20" s="19"/>
      <c r="K20" s="200"/>
      <c r="L20" s="200"/>
      <c r="M20" s="201"/>
    </row>
    <row r="21" spans="1:13" x14ac:dyDescent="0.25">
      <c r="B21" s="88" t="s">
        <v>327</v>
      </c>
      <c r="C21" s="88" t="s">
        <v>328</v>
      </c>
      <c r="D21" s="88" t="s">
        <v>329</v>
      </c>
      <c r="E21" s="88"/>
      <c r="F21" s="202" t="s">
        <v>330</v>
      </c>
      <c r="G21" s="91"/>
      <c r="H21" s="91"/>
      <c r="I21" s="198"/>
      <c r="J21" s="19"/>
      <c r="K21" s="19"/>
      <c r="L21" s="19"/>
      <c r="M21" s="203"/>
    </row>
    <row r="22" spans="1:13" x14ac:dyDescent="0.25">
      <c r="B22" s="80" t="s">
        <v>339</v>
      </c>
      <c r="C22" s="80" t="s">
        <v>356</v>
      </c>
      <c r="D22" s="80" t="s">
        <v>357</v>
      </c>
      <c r="E22" s="80"/>
      <c r="F22" s="204">
        <v>500000</v>
      </c>
      <c r="G22" s="91"/>
      <c r="H22" s="91"/>
      <c r="I22" s="198"/>
      <c r="J22" s="19"/>
      <c r="K22" s="19"/>
      <c r="L22" s="19"/>
      <c r="M22" s="203"/>
    </row>
    <row r="23" spans="1:13" x14ac:dyDescent="0.25">
      <c r="B23" s="80" t="s">
        <v>345</v>
      </c>
      <c r="C23" s="80" t="s">
        <v>358</v>
      </c>
      <c r="D23" s="80" t="s">
        <v>359</v>
      </c>
      <c r="E23" s="80"/>
      <c r="F23" s="204">
        <v>350000</v>
      </c>
      <c r="G23" s="91"/>
      <c r="H23" s="91"/>
      <c r="I23" s="198"/>
      <c r="J23" s="19"/>
    </row>
    <row r="24" spans="1:13" x14ac:dyDescent="0.25">
      <c r="B24" s="80" t="s">
        <v>340</v>
      </c>
      <c r="C24" s="80" t="s">
        <v>360</v>
      </c>
      <c r="D24" s="80" t="s">
        <v>361</v>
      </c>
      <c r="E24" s="80"/>
      <c r="F24" s="205">
        <v>200000</v>
      </c>
      <c r="G24" s="91"/>
      <c r="H24" s="91"/>
      <c r="I24" s="198"/>
      <c r="J24" s="19"/>
    </row>
    <row r="25" spans="1:13" x14ac:dyDescent="0.25">
      <c r="B25" s="80" t="s">
        <v>342</v>
      </c>
      <c r="C25" s="80" t="s">
        <v>362</v>
      </c>
      <c r="D25" s="206">
        <v>0</v>
      </c>
      <c r="E25" s="80"/>
      <c r="F25" s="205">
        <v>100000</v>
      </c>
      <c r="G25" s="91"/>
      <c r="H25" s="91"/>
      <c r="I25" s="198"/>
      <c r="J25" s="19"/>
    </row>
    <row r="26" spans="1:13" x14ac:dyDescent="0.25">
      <c r="B26" s="80"/>
      <c r="C26" s="80"/>
      <c r="D26" s="80"/>
      <c r="E26" s="80"/>
      <c r="F26" s="207"/>
      <c r="G26" s="91"/>
      <c r="H26" s="91"/>
      <c r="I26" s="198"/>
      <c r="J26" s="19"/>
    </row>
    <row r="27" spans="1:13" x14ac:dyDescent="0.25">
      <c r="B27" s="48" t="s">
        <v>363</v>
      </c>
      <c r="C27" s="2"/>
      <c r="D27" s="2"/>
      <c r="E27" s="2"/>
      <c r="F27" s="91"/>
      <c r="G27" s="91"/>
      <c r="H27" s="91"/>
      <c r="I27" s="19"/>
      <c r="J27" s="19"/>
    </row>
    <row r="28" spans="1:13" x14ac:dyDescent="0.25">
      <c r="B28" s="88" t="s">
        <v>364</v>
      </c>
      <c r="C28" s="80"/>
      <c r="D28" s="80"/>
      <c r="E28" s="80"/>
      <c r="F28" s="91"/>
      <c r="G28" s="91"/>
      <c r="H28" s="91"/>
      <c r="I28" s="208"/>
      <c r="J28" s="19"/>
      <c r="K28" s="19"/>
      <c r="L28" s="19"/>
      <c r="M28" s="19"/>
    </row>
    <row r="29" spans="1:13" x14ac:dyDescent="0.25">
      <c r="B29" s="80"/>
      <c r="C29" s="80"/>
      <c r="D29" s="80"/>
      <c r="E29" s="80"/>
      <c r="F29" s="91"/>
      <c r="G29" s="91"/>
      <c r="H29" s="91"/>
      <c r="I29" s="19"/>
      <c r="J29" s="208"/>
      <c r="K29" s="19"/>
      <c r="L29" s="19"/>
      <c r="M29" s="19"/>
    </row>
    <row r="30" spans="1:13" x14ac:dyDescent="0.25">
      <c r="B30" s="48" t="s">
        <v>110</v>
      </c>
      <c r="C30" s="2"/>
      <c r="D30" s="2"/>
      <c r="E30" s="2"/>
      <c r="F30" s="80"/>
      <c r="G30" s="80"/>
      <c r="H30" s="80"/>
      <c r="I30" s="19"/>
    </row>
    <row r="31" spans="1:13" x14ac:dyDescent="0.25">
      <c r="B31" s="2" t="s">
        <v>365</v>
      </c>
      <c r="C31" s="2"/>
      <c r="D31" s="2"/>
      <c r="E31" s="400" t="s">
        <v>1194</v>
      </c>
      <c r="F31" s="401">
        <v>0.05</v>
      </c>
      <c r="G31" s="80"/>
      <c r="H31" s="80"/>
      <c r="I31" s="19"/>
    </row>
    <row r="32" spans="1:13" x14ac:dyDescent="0.25">
      <c r="B32" s="2" t="s">
        <v>366</v>
      </c>
      <c r="C32" s="2"/>
      <c r="D32" s="2"/>
      <c r="E32" s="400" t="s">
        <v>1196</v>
      </c>
      <c r="F32" s="401">
        <v>0.1</v>
      </c>
      <c r="G32" s="80"/>
      <c r="H32" s="80"/>
      <c r="I32" s="19"/>
    </row>
    <row r="33" spans="2:9" customFormat="1" x14ac:dyDescent="0.25">
      <c r="B33" s="2" t="s">
        <v>367</v>
      </c>
      <c r="C33" s="2"/>
      <c r="D33" s="2"/>
      <c r="E33" s="217" t="s">
        <v>1195</v>
      </c>
      <c r="F33" s="401">
        <v>0.2</v>
      </c>
      <c r="G33" s="80"/>
      <c r="H33" s="80"/>
      <c r="I33" s="19"/>
    </row>
    <row r="34" spans="2:9" customFormat="1" x14ac:dyDescent="0.25">
      <c r="B34" s="80"/>
      <c r="C34" s="80"/>
      <c r="D34" s="80"/>
      <c r="E34" s="233" t="s">
        <v>1197</v>
      </c>
      <c r="F34" s="401">
        <v>0</v>
      </c>
      <c r="G34" s="80"/>
      <c r="H34" s="80"/>
      <c r="I34" s="19"/>
    </row>
    <row r="35" spans="2:9" customFormat="1" x14ac:dyDescent="0.25">
      <c r="B35" s="88" t="s">
        <v>368</v>
      </c>
      <c r="C35" s="80"/>
      <c r="D35" s="80"/>
      <c r="E35" s="80"/>
      <c r="F35" s="80"/>
      <c r="G35" s="80"/>
      <c r="H35" s="80"/>
      <c r="I35" s="19"/>
    </row>
    <row r="36" spans="2:9" customFormat="1" x14ac:dyDescent="0.25">
      <c r="B36" s="80"/>
      <c r="C36" s="80"/>
      <c r="D36" s="80"/>
      <c r="E36" s="80"/>
      <c r="F36" s="80"/>
      <c r="G36" s="80"/>
      <c r="H36" s="80"/>
      <c r="I36" s="19"/>
    </row>
    <row r="37" spans="2:9" customFormat="1" x14ac:dyDescent="0.25">
      <c r="B37" s="48" t="s">
        <v>369</v>
      </c>
      <c r="C37" s="2"/>
      <c r="D37" s="2"/>
      <c r="E37" s="2"/>
      <c r="F37" s="2"/>
      <c r="G37" s="80"/>
      <c r="H37" s="80"/>
      <c r="I37" s="19"/>
    </row>
    <row r="38" spans="2:9" customFormat="1" x14ac:dyDescent="0.25">
      <c r="B38" s="80"/>
      <c r="C38" s="80"/>
      <c r="D38" s="80"/>
      <c r="E38" s="80"/>
      <c r="F38" s="80"/>
      <c r="G38" s="80"/>
      <c r="H38" s="80"/>
      <c r="I38" s="19"/>
    </row>
    <row r="39" spans="2:9" customFormat="1" x14ac:dyDescent="0.25"/>
    <row r="40" spans="2:9" customFormat="1" x14ac:dyDescent="0.25"/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zoomScaleNormal="100" workbookViewId="0">
      <selection activeCell="I8" sqref="I8"/>
    </sheetView>
  </sheetViews>
  <sheetFormatPr defaultRowHeight="15" x14ac:dyDescent="0.25"/>
  <cols>
    <col min="1" max="1" width="17" customWidth="1"/>
    <col min="2" max="2" width="12.42578125" customWidth="1"/>
    <col min="3" max="3" width="13.140625" customWidth="1"/>
    <col min="4" max="4" width="12.28515625" customWidth="1"/>
    <col min="5" max="5" width="13" customWidth="1"/>
    <col min="6" max="6" width="11.7109375" customWidth="1"/>
    <col min="7" max="7" width="41.42578125" customWidth="1"/>
    <col min="12" max="20" width="0" hidden="1" customWidth="1"/>
    <col min="26" max="26" width="0" hidden="1" customWidth="1"/>
  </cols>
  <sheetData>
    <row r="1" spans="1:18" ht="26.25" x14ac:dyDescent="0.4">
      <c r="B1" s="274" t="s">
        <v>635</v>
      </c>
    </row>
    <row r="2" spans="1:18" x14ac:dyDescent="0.25">
      <c r="A2" s="120"/>
      <c r="B2" s="120"/>
      <c r="C2" s="120"/>
      <c r="D2" s="120"/>
      <c r="E2" s="120"/>
      <c r="F2" s="120"/>
      <c r="G2" s="120"/>
      <c r="H2" s="120"/>
      <c r="I2" s="120"/>
      <c r="J2" s="120"/>
    </row>
    <row r="3" spans="1:18" ht="30" x14ac:dyDescent="0.25">
      <c r="A3" s="120"/>
      <c r="B3" s="275" t="s">
        <v>614</v>
      </c>
      <c r="C3" s="278" t="s">
        <v>636</v>
      </c>
      <c r="D3" s="278" t="s">
        <v>637</v>
      </c>
      <c r="E3" s="278" t="s">
        <v>638</v>
      </c>
      <c r="F3" s="278" t="s">
        <v>639</v>
      </c>
      <c r="G3" s="278" t="s">
        <v>619</v>
      </c>
      <c r="H3" s="120"/>
      <c r="I3" s="120"/>
      <c r="J3" s="120"/>
      <c r="L3" s="64" t="s">
        <v>614</v>
      </c>
      <c r="M3" s="64" t="s">
        <v>615</v>
      </c>
      <c r="N3" s="64" t="s">
        <v>616</v>
      </c>
      <c r="O3" s="64" t="s">
        <v>617</v>
      </c>
      <c r="P3" s="64" t="s">
        <v>618</v>
      </c>
      <c r="Q3" s="64" t="s">
        <v>619</v>
      </c>
      <c r="R3" s="64"/>
    </row>
    <row r="4" spans="1:18" x14ac:dyDescent="0.25">
      <c r="A4" s="120"/>
      <c r="B4" s="276">
        <v>75.25</v>
      </c>
      <c r="C4" s="279" t="s">
        <v>628</v>
      </c>
      <c r="D4" s="279" t="s">
        <v>626</v>
      </c>
      <c r="E4" s="279" t="s">
        <v>623</v>
      </c>
      <c r="F4" s="279" t="s">
        <v>626</v>
      </c>
      <c r="G4" s="279" t="s">
        <v>640</v>
      </c>
      <c r="H4" s="120"/>
      <c r="I4" s="120"/>
      <c r="J4" s="120"/>
      <c r="L4" s="64">
        <v>75.25</v>
      </c>
      <c r="M4" s="64" t="str">
        <f>VLOOKUP(VALUE(LEFT($B4,1)),angka,2)</f>
        <v>Tujuh</v>
      </c>
      <c r="N4" s="64" t="str">
        <f>VLOOKUP(VALUE(MID($B4,2,1)),angka,2)</f>
        <v>Lima</v>
      </c>
      <c r="O4" s="64" t="str">
        <f>VLOOKUP(VALUE(MID($B4,4,1)),angka,2)</f>
        <v>Dua</v>
      </c>
      <c r="P4" s="64" t="str">
        <f>VLOOKUP(VALUE(RIGHT($B4,1)),angka,2)</f>
        <v>Lima</v>
      </c>
      <c r="Q4" s="64" t="str">
        <f>M4&amp;" puluh "&amp;N4&amp;","&amp;O4&amp;P4</f>
        <v>Tujuh puluh Lima,DuaLima</v>
      </c>
      <c r="R4" s="64"/>
    </row>
    <row r="5" spans="1:18" x14ac:dyDescent="0.25">
      <c r="A5" s="120"/>
      <c r="B5" s="276">
        <v>45.67</v>
      </c>
      <c r="C5" s="217" t="str">
        <f>VLOOKUP(LEFT(B5)+0,$B$11:$C$21,2,FALSE)</f>
        <v>Empat</v>
      </c>
      <c r="D5" s="217" t="str">
        <f>VLOOKUP(MID(B5,2,1)+0,$B$11:$C$21,2,FALSE)</f>
        <v>Lima</v>
      </c>
      <c r="E5" s="217" t="str">
        <f>VLOOKUP(MID(B5,4,1)+0,$B$11:$C$21,2,FALSE)</f>
        <v>Enam</v>
      </c>
      <c r="F5" s="217" t="str">
        <f>VLOOKUP(RIGHT(B5,1)+0,$B$11:$C$21,2,FALSE)</f>
        <v>Tujuh</v>
      </c>
      <c r="G5" s="217" t="str">
        <f>_xlfn.CONCAT(C5," ","Puluh"," ",D5,",",E5,F5)</f>
        <v>Empat Puluh Lima,EnamTujuh</v>
      </c>
      <c r="H5" s="120"/>
      <c r="I5" s="120"/>
      <c r="J5" s="120"/>
      <c r="L5" s="64">
        <v>45.67</v>
      </c>
      <c r="M5" s="64" t="str">
        <f>VLOOKUP(VALUE(LEFT($B5,1)),angka,2)</f>
        <v>Empat</v>
      </c>
      <c r="N5" s="64" t="str">
        <f>VLOOKUP(VALUE(MID($B5,2,1)),angka,2)</f>
        <v>Lima</v>
      </c>
      <c r="O5" s="64" t="str">
        <f>VLOOKUP(VALUE(MID($B5,4,1)),angka,2)</f>
        <v>Enam</v>
      </c>
      <c r="P5" s="64" t="str">
        <f>VLOOKUP(VALUE(RIGHT($B5,1)),angka,2)</f>
        <v>Tujuh</v>
      </c>
      <c r="Q5" s="64" t="str">
        <f t="shared" ref="Q5:Q7" si="0">M5&amp;" puluh "&amp;N5&amp;","&amp;O5&amp;P5</f>
        <v>Empat puluh Lima,EnamTujuh</v>
      </c>
      <c r="R5" s="64"/>
    </row>
    <row r="6" spans="1:18" x14ac:dyDescent="0.25">
      <c r="A6" s="120"/>
      <c r="B6" s="276">
        <v>77.02</v>
      </c>
      <c r="C6" s="217" t="str">
        <f t="shared" ref="C6:C7" si="1">VLOOKUP(LEFT(B6)+0,$B$11:$C$21,2,FALSE)</f>
        <v>Tujuh</v>
      </c>
      <c r="D6" s="217" t="str">
        <f t="shared" ref="D6:D7" si="2">VLOOKUP(MID(B6,2,1)+0,$B$11:$C$21,2,FALSE)</f>
        <v>Tujuh</v>
      </c>
      <c r="E6" s="217" t="str">
        <f t="shared" ref="E6:E7" si="3">VLOOKUP(MID(B6,4,1)+0,$B$11:$C$21,2,FALSE)</f>
        <v>Nol</v>
      </c>
      <c r="F6" s="217" t="str">
        <f t="shared" ref="F6:F7" si="4">VLOOKUP(RIGHT(B6,1)+0,$B$11:$C$21,2,FALSE)</f>
        <v>Dua</v>
      </c>
      <c r="G6" s="217" t="str">
        <f t="shared" ref="G6:G7" si="5">_xlfn.CONCAT(C6," ","Puluh"," ",D6,",",E6,F6)</f>
        <v>Tujuh Puluh Tujuh,NolDua</v>
      </c>
      <c r="H6" s="120"/>
      <c r="I6" s="120"/>
      <c r="J6" s="120"/>
      <c r="L6" s="64">
        <v>77.02</v>
      </c>
      <c r="M6" s="64" t="str">
        <f>VLOOKUP(VALUE(LEFT($B6,1)),angka,2)</f>
        <v>Tujuh</v>
      </c>
      <c r="N6" s="64" t="str">
        <f>VLOOKUP(VALUE(MID($B6,2,1)),angka,2)</f>
        <v>Tujuh</v>
      </c>
      <c r="O6" s="64" t="str">
        <f>VLOOKUP(VALUE(MID($B6,4,1)),angka,2)</f>
        <v>Nol</v>
      </c>
      <c r="P6" s="64" t="str">
        <f>VLOOKUP(VALUE(RIGHT($B6,1)),angka,2)</f>
        <v>Dua</v>
      </c>
      <c r="Q6" s="64" t="str">
        <f t="shared" si="0"/>
        <v>Tujuh puluh Tujuh,NolDua</v>
      </c>
      <c r="R6" s="64"/>
    </row>
    <row r="7" spans="1:18" x14ac:dyDescent="0.25">
      <c r="A7" s="120"/>
      <c r="B7" s="276">
        <v>70.12</v>
      </c>
      <c r="C7" s="217" t="str">
        <f t="shared" si="1"/>
        <v>Tujuh</v>
      </c>
      <c r="D7" s="217" t="str">
        <f t="shared" si="2"/>
        <v>Nol</v>
      </c>
      <c r="E7" s="217" t="str">
        <f t="shared" si="3"/>
        <v>Satu</v>
      </c>
      <c r="F7" s="217" t="str">
        <f t="shared" si="4"/>
        <v>Dua</v>
      </c>
      <c r="G7" s="217" t="str">
        <f t="shared" si="5"/>
        <v>Tujuh Puluh Nol,SatuDua</v>
      </c>
      <c r="H7" s="120"/>
      <c r="I7" s="120"/>
      <c r="J7" s="120"/>
      <c r="L7" s="64">
        <v>70.12</v>
      </c>
      <c r="M7" s="64" t="str">
        <f>VLOOKUP(VALUE(LEFT($B7,1)),angka,2)</f>
        <v>Tujuh</v>
      </c>
      <c r="N7" s="64" t="str">
        <f>VLOOKUP(VALUE(MID($B7,2,1)),angka,2)</f>
        <v>Nol</v>
      </c>
      <c r="O7" s="64" t="str">
        <f>VLOOKUP(VALUE(MID($B7,4,1)),angka,2)</f>
        <v>Satu</v>
      </c>
      <c r="P7" s="64" t="str">
        <f>VLOOKUP(VALUE(RIGHT($B7,1)),angka,2)</f>
        <v>Dua</v>
      </c>
      <c r="Q7" s="64" t="str">
        <f t="shared" si="0"/>
        <v>Tujuh puluh Nol,SatuDua</v>
      </c>
      <c r="R7" s="64"/>
    </row>
    <row r="8" spans="1:18" x14ac:dyDescent="0.25">
      <c r="A8" s="120"/>
      <c r="B8" s="120"/>
      <c r="C8" s="120"/>
      <c r="D8" s="120"/>
      <c r="E8" s="120"/>
      <c r="F8" s="120"/>
      <c r="G8" s="120"/>
      <c r="H8" s="120"/>
      <c r="I8" s="120"/>
      <c r="J8" s="120"/>
    </row>
    <row r="9" spans="1:18" x14ac:dyDescent="0.25">
      <c r="A9" s="120"/>
      <c r="B9" s="120"/>
      <c r="C9" s="120"/>
      <c r="D9" s="120"/>
      <c r="E9" s="120"/>
      <c r="F9" s="120"/>
      <c r="G9" s="120"/>
      <c r="H9" s="120"/>
      <c r="I9" s="120"/>
      <c r="J9" s="120"/>
    </row>
    <row r="10" spans="1:18" x14ac:dyDescent="0.25">
      <c r="A10" s="120"/>
      <c r="B10" s="120" t="s">
        <v>620</v>
      </c>
      <c r="C10" s="120"/>
      <c r="D10" s="120"/>
      <c r="E10" s="120"/>
      <c r="F10" s="120"/>
      <c r="G10" s="120"/>
      <c r="H10" s="120"/>
      <c r="I10" s="120"/>
      <c r="J10" s="120"/>
    </row>
    <row r="11" spans="1:18" x14ac:dyDescent="0.25">
      <c r="A11" s="120"/>
      <c r="B11" s="280" t="s">
        <v>633</v>
      </c>
      <c r="C11" s="280" t="s">
        <v>634</v>
      </c>
      <c r="D11" s="120"/>
      <c r="E11" s="45" t="s">
        <v>631</v>
      </c>
      <c r="F11" s="120"/>
      <c r="G11" s="120"/>
      <c r="H11" s="120"/>
      <c r="I11" s="120"/>
      <c r="J11" s="120"/>
    </row>
    <row r="12" spans="1:18" x14ac:dyDescent="0.25">
      <c r="A12" s="120"/>
      <c r="B12" s="288">
        <v>0</v>
      </c>
      <c r="C12" s="249" t="s">
        <v>621</v>
      </c>
      <c r="D12" s="120"/>
      <c r="E12" s="45" t="s">
        <v>632</v>
      </c>
      <c r="F12" s="120"/>
      <c r="G12" s="120"/>
      <c r="H12" s="120"/>
      <c r="I12" s="120"/>
      <c r="J12" s="120"/>
    </row>
    <row r="13" spans="1:18" x14ac:dyDescent="0.25">
      <c r="A13" s="120"/>
      <c r="B13" s="249">
        <v>1</v>
      </c>
      <c r="C13" s="249" t="s">
        <v>622</v>
      </c>
      <c r="D13" s="120"/>
      <c r="E13" s="120"/>
      <c r="F13" s="120"/>
      <c r="G13" s="120"/>
      <c r="H13" s="120"/>
      <c r="I13" s="120"/>
      <c r="J13" s="120"/>
    </row>
    <row r="14" spans="1:18" x14ac:dyDescent="0.25">
      <c r="A14" s="120"/>
      <c r="B14" s="249">
        <v>2</v>
      </c>
      <c r="C14" s="249" t="s">
        <v>623</v>
      </c>
      <c r="D14" s="120"/>
      <c r="E14" s="120"/>
      <c r="F14" s="120"/>
      <c r="G14" s="120"/>
      <c r="H14" s="120"/>
      <c r="I14" s="120"/>
      <c r="J14" s="120"/>
    </row>
    <row r="15" spans="1:18" x14ac:dyDescent="0.25">
      <c r="A15" s="120"/>
      <c r="B15" s="249">
        <v>3</v>
      </c>
      <c r="C15" s="249" t="s">
        <v>624</v>
      </c>
      <c r="D15" s="120"/>
      <c r="E15" s="120"/>
      <c r="F15" s="120"/>
      <c r="G15" s="120"/>
      <c r="H15" s="120"/>
      <c r="I15" s="120"/>
      <c r="J15" s="120"/>
    </row>
    <row r="16" spans="1:18" x14ac:dyDescent="0.25">
      <c r="A16" s="120"/>
      <c r="B16" s="249">
        <v>4</v>
      </c>
      <c r="C16" s="249" t="s">
        <v>625</v>
      </c>
      <c r="D16" s="120"/>
      <c r="E16" s="120"/>
      <c r="F16" s="120"/>
      <c r="G16" s="120"/>
      <c r="H16" s="120"/>
      <c r="I16" s="120"/>
      <c r="J16" s="120"/>
    </row>
    <row r="17" spans="1:10" x14ac:dyDescent="0.25">
      <c r="A17" s="120"/>
      <c r="B17" s="249">
        <v>5</v>
      </c>
      <c r="C17" s="249" t="s">
        <v>626</v>
      </c>
      <c r="D17" s="120"/>
      <c r="E17" s="120"/>
      <c r="F17" s="120"/>
      <c r="G17" s="120"/>
      <c r="H17" s="120"/>
      <c r="I17" s="120"/>
      <c r="J17" s="120"/>
    </row>
    <row r="18" spans="1:10" x14ac:dyDescent="0.25">
      <c r="A18" s="120"/>
      <c r="B18" s="249">
        <v>6</v>
      </c>
      <c r="C18" s="249" t="s">
        <v>627</v>
      </c>
      <c r="D18" s="120"/>
      <c r="E18" s="120"/>
      <c r="F18" s="120"/>
      <c r="G18" s="120"/>
      <c r="H18" s="120"/>
      <c r="I18" s="120"/>
      <c r="J18" s="120"/>
    </row>
    <row r="19" spans="1:10" x14ac:dyDescent="0.25">
      <c r="A19" s="120"/>
      <c r="B19" s="249">
        <v>7</v>
      </c>
      <c r="C19" s="249" t="s">
        <v>628</v>
      </c>
      <c r="D19" s="120"/>
      <c r="E19" s="120"/>
      <c r="F19" s="120"/>
      <c r="G19" s="120"/>
      <c r="H19" s="120"/>
      <c r="I19" s="120"/>
      <c r="J19" s="120"/>
    </row>
    <row r="20" spans="1:10" x14ac:dyDescent="0.25">
      <c r="A20" s="120"/>
      <c r="B20" s="249">
        <v>8</v>
      </c>
      <c r="C20" s="249" t="s">
        <v>629</v>
      </c>
      <c r="D20" s="120"/>
      <c r="E20" s="120"/>
      <c r="F20" s="120"/>
      <c r="G20" s="120"/>
      <c r="H20" s="120"/>
      <c r="I20" s="120"/>
      <c r="J20" s="120"/>
    </row>
    <row r="21" spans="1:10" x14ac:dyDescent="0.25">
      <c r="A21" s="120"/>
      <c r="B21" s="249">
        <v>9</v>
      </c>
      <c r="C21" s="249" t="s">
        <v>630</v>
      </c>
      <c r="D21" s="120"/>
      <c r="E21" s="120"/>
      <c r="F21" s="120"/>
      <c r="G21" s="120"/>
      <c r="H21" s="120"/>
      <c r="I21" s="120"/>
      <c r="J21" s="120"/>
    </row>
    <row r="22" spans="1:10" x14ac:dyDescent="0.25">
      <c r="A22" s="120"/>
      <c r="B22" s="120"/>
      <c r="C22" s="120"/>
      <c r="D22" s="120"/>
      <c r="E22" s="120"/>
      <c r="F22" s="120"/>
      <c r="G22" s="120"/>
      <c r="H22" s="120"/>
      <c r="I22" s="120"/>
      <c r="J22" s="120"/>
    </row>
    <row r="23" spans="1:10" x14ac:dyDescent="0.25">
      <c r="A23" s="120"/>
      <c r="B23" s="120"/>
      <c r="C23" s="120"/>
      <c r="D23" s="120"/>
      <c r="E23" s="120"/>
      <c r="F23" s="277"/>
      <c r="G23" s="120"/>
      <c r="H23" s="120"/>
      <c r="I23" s="120"/>
      <c r="J23" s="120"/>
    </row>
    <row r="24" spans="1:10" x14ac:dyDescent="0.25">
      <c r="A24" s="120"/>
      <c r="B24" s="120"/>
      <c r="C24" s="120"/>
      <c r="D24" s="120"/>
      <c r="E24" s="120"/>
      <c r="F24" s="120"/>
      <c r="G24" s="120"/>
      <c r="H24" s="120"/>
      <c r="I24" s="120"/>
      <c r="J24" s="120"/>
    </row>
    <row r="25" spans="1:10" x14ac:dyDescent="0.25">
      <c r="A25" s="120"/>
      <c r="B25" s="120"/>
      <c r="C25" s="120"/>
      <c r="D25" s="120"/>
      <c r="E25" s="120"/>
      <c r="F25" s="120"/>
      <c r="G25" s="120"/>
      <c r="H25" s="120"/>
      <c r="I25" s="120"/>
      <c r="J25" s="120"/>
    </row>
    <row r="26" spans="1:10" x14ac:dyDescent="0.25">
      <c r="A26" s="120"/>
      <c r="B26" s="120"/>
      <c r="C26" s="120"/>
      <c r="D26" s="120"/>
      <c r="E26" s="120"/>
      <c r="F26" s="120"/>
      <c r="G26" s="120"/>
      <c r="H26" s="120"/>
      <c r="I26" s="120"/>
      <c r="J26" s="120"/>
    </row>
    <row r="28" spans="1:10" x14ac:dyDescent="0.25">
      <c r="E28" s="272"/>
      <c r="F28" s="272"/>
      <c r="G28" s="272"/>
    </row>
    <row r="32" spans="1:10" x14ac:dyDescent="0.25">
      <c r="E32" s="273"/>
    </row>
    <row r="40" spans="2:6" x14ac:dyDescent="0.25">
      <c r="B40" s="64"/>
      <c r="C40" s="64"/>
      <c r="D40" s="64"/>
      <c r="E40" s="64"/>
      <c r="F40" s="64"/>
    </row>
    <row r="41" spans="2:6" x14ac:dyDescent="0.25">
      <c r="B41" s="64"/>
      <c r="C41" s="64"/>
      <c r="D41" s="64"/>
      <c r="E41" s="64"/>
      <c r="F41" s="64"/>
    </row>
    <row r="42" spans="2:6" x14ac:dyDescent="0.25">
      <c r="B42" s="64"/>
      <c r="C42" s="64"/>
      <c r="D42" s="64"/>
      <c r="E42" s="64"/>
      <c r="F42" s="64"/>
    </row>
    <row r="43" spans="2:6" x14ac:dyDescent="0.25">
      <c r="B43" s="64"/>
      <c r="C43" s="64" t="str">
        <f>VLOOKUP(VALUE(MID($B6,IF(COLUMN()&lt;5,COLUMN()-2,COLUMN()-1),1)),$B$11:$C$21,2,0)</f>
        <v>Tujuh</v>
      </c>
      <c r="D43" s="64" t="str">
        <f>VLOOKUP(VALUE(MID($B6,IF(COLUMN()&lt;5,COLUMN()-2,COLUMN()-1),1)),$B$11:$C$21,2,0)</f>
        <v>Tujuh</v>
      </c>
      <c r="E43" s="64" t="str">
        <f>VLOOKUP(VALUE(MID($B6,IF(COLUMN()&lt;5,COLUMN()-2,COLUMN()-1),1)),$B$11:$C$21,2,0)</f>
        <v>Nol</v>
      </c>
      <c r="F43" s="64" t="str">
        <f>VLOOKUP(VALUE(MID($B6,IF(COLUMN()&lt;5,COLUMN()-2,COLUMN()-1),1)),$B$11:$C$21,2,0)</f>
        <v>Dua</v>
      </c>
    </row>
    <row r="44" spans="2:6" x14ac:dyDescent="0.25">
      <c r="B44" s="64"/>
      <c r="C44" s="64"/>
      <c r="D44" s="64"/>
      <c r="E44" s="64"/>
      <c r="F44" s="64"/>
    </row>
    <row r="45" spans="2:6" x14ac:dyDescent="0.25">
      <c r="B45" s="64"/>
      <c r="C45" s="64"/>
      <c r="D45" s="64"/>
      <c r="E45" s="64"/>
      <c r="F45" s="64"/>
    </row>
    <row r="46" spans="2:6" x14ac:dyDescent="0.25">
      <c r="B46" s="64"/>
      <c r="C46" s="64"/>
      <c r="D46" s="64"/>
      <c r="E46" s="64"/>
      <c r="F46" s="64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2"/>
  <sheetViews>
    <sheetView workbookViewId="0">
      <selection activeCell="I8" sqref="I8"/>
    </sheetView>
  </sheetViews>
  <sheetFormatPr defaultRowHeight="15" x14ac:dyDescent="0.25"/>
  <cols>
    <col min="1" max="1" width="9.140625" customWidth="1"/>
    <col min="2" max="2" width="13.7109375" customWidth="1"/>
    <col min="3" max="3" width="15.140625" customWidth="1"/>
    <col min="4" max="4" width="14.5703125" customWidth="1"/>
    <col min="5" max="5" width="3.7109375" customWidth="1"/>
    <col min="6" max="6" width="14.42578125" customWidth="1"/>
    <col min="7" max="8" width="11.140625" customWidth="1"/>
    <col min="9" max="9" width="12.5703125" customWidth="1"/>
    <col min="10" max="10" width="22.85546875" customWidth="1"/>
    <col min="22" max="22" width="12" customWidth="1"/>
    <col min="23" max="23" width="14.42578125" customWidth="1"/>
  </cols>
  <sheetData>
    <row r="1" spans="1:11" x14ac:dyDescent="0.25">
      <c r="A1" s="229"/>
      <c r="B1" s="230" t="s">
        <v>481</v>
      </c>
      <c r="C1" s="229"/>
      <c r="D1" s="229"/>
      <c r="E1" s="2"/>
      <c r="F1" s="2"/>
      <c r="G1" s="2"/>
      <c r="H1" s="2"/>
      <c r="I1" s="2"/>
      <c r="J1" s="2"/>
      <c r="K1" s="2"/>
    </row>
    <row r="2" spans="1:11" ht="18" customHeight="1" x14ac:dyDescent="0.25">
      <c r="A2" s="80"/>
      <c r="B2" s="395" t="s">
        <v>482</v>
      </c>
      <c r="C2" s="395"/>
      <c r="D2" s="395"/>
      <c r="E2" s="395"/>
      <c r="F2" s="395"/>
      <c r="G2" s="395"/>
      <c r="H2" s="395"/>
      <c r="I2" s="395"/>
      <c r="J2" s="395"/>
      <c r="K2" s="395"/>
    </row>
    <row r="3" spans="1:11" x14ac:dyDescent="0.25">
      <c r="A3" s="80"/>
      <c r="B3" s="395"/>
      <c r="C3" s="395"/>
      <c r="D3" s="395"/>
      <c r="E3" s="395"/>
      <c r="F3" s="395"/>
      <c r="G3" s="395"/>
      <c r="H3" s="395"/>
      <c r="I3" s="395"/>
      <c r="J3" s="395"/>
      <c r="K3" s="395"/>
    </row>
    <row r="4" spans="1:11" ht="25.5" customHeight="1" x14ac:dyDescent="0.25">
      <c r="A4" s="80"/>
      <c r="B4" s="395"/>
      <c r="C4" s="395"/>
      <c r="D4" s="395"/>
      <c r="E4" s="395"/>
      <c r="F4" s="395"/>
      <c r="G4" s="395"/>
      <c r="H4" s="395"/>
      <c r="I4" s="395"/>
      <c r="J4" s="395"/>
      <c r="K4" s="395"/>
    </row>
    <row r="5" spans="1:11" x14ac:dyDescent="0.25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</row>
    <row r="6" spans="1:11" x14ac:dyDescent="0.25">
      <c r="A6" s="80"/>
      <c r="B6" s="231" t="s">
        <v>370</v>
      </c>
      <c r="C6" s="231" t="s">
        <v>483</v>
      </c>
      <c r="D6" s="231" t="s">
        <v>484</v>
      </c>
      <c r="E6" s="80"/>
      <c r="F6" s="232" t="s">
        <v>370</v>
      </c>
      <c r="G6" s="232" t="s">
        <v>483</v>
      </c>
      <c r="H6" s="232" t="s">
        <v>463</v>
      </c>
      <c r="I6" s="232" t="s">
        <v>484</v>
      </c>
      <c r="J6" s="232" t="s">
        <v>466</v>
      </c>
      <c r="K6" s="80"/>
    </row>
    <row r="7" spans="1:11" x14ac:dyDescent="0.25">
      <c r="A7" s="80"/>
      <c r="B7" s="233" t="s">
        <v>379</v>
      </c>
      <c r="C7" s="233" t="s">
        <v>485</v>
      </c>
      <c r="D7" s="234">
        <v>10000</v>
      </c>
      <c r="E7" s="80"/>
      <c r="F7" s="233" t="s">
        <v>384</v>
      </c>
      <c r="G7" s="233" t="s">
        <v>486</v>
      </c>
      <c r="H7" s="235">
        <v>100</v>
      </c>
      <c r="I7" s="237">
        <f>IF($F$6="Kode Produk",VLOOKUP(F7,$B$7:$D$19,3,FALSE),IF($G$6="Kode Asal",VLOOKUP(G7,$B$7:$D$19,3,FALSE),"Tidak Ada"))</f>
        <v>8500</v>
      </c>
      <c r="J7" s="237"/>
      <c r="K7" s="80"/>
    </row>
    <row r="8" spans="1:11" x14ac:dyDescent="0.25">
      <c r="A8" s="80"/>
      <c r="B8" s="233" t="s">
        <v>379</v>
      </c>
      <c r="C8" s="233" t="s">
        <v>487</v>
      </c>
      <c r="D8" s="234">
        <v>12000</v>
      </c>
      <c r="E8" s="80"/>
      <c r="F8" s="233" t="s">
        <v>379</v>
      </c>
      <c r="G8" s="233" t="s">
        <v>487</v>
      </c>
      <c r="H8" s="235">
        <v>200</v>
      </c>
      <c r="I8" s="237">
        <f t="shared" ref="I8:I22" si="0">IF($F$6="Kode Produk",VLOOKUP(F8,$B$7:$D$19,3,FALSE),IF($G$6="Kode Asal",VLOOKUP(G8,$B$7:$D$19,3,FALSE),"Tidak Ada"))</f>
        <v>10000</v>
      </c>
      <c r="J8" s="237"/>
      <c r="K8" s="80"/>
    </row>
    <row r="9" spans="1:11" x14ac:dyDescent="0.25">
      <c r="A9" s="80"/>
      <c r="B9" s="233" t="s">
        <v>379</v>
      </c>
      <c r="C9" s="233" t="s">
        <v>486</v>
      </c>
      <c r="D9" s="234">
        <v>9500</v>
      </c>
      <c r="E9" s="80"/>
      <c r="F9" s="233" t="s">
        <v>379</v>
      </c>
      <c r="G9" s="233" t="s">
        <v>486</v>
      </c>
      <c r="H9" s="235">
        <v>150</v>
      </c>
      <c r="I9" s="237">
        <f t="shared" si="0"/>
        <v>10000</v>
      </c>
      <c r="J9" s="237"/>
      <c r="K9" s="80"/>
    </row>
    <row r="10" spans="1:11" x14ac:dyDescent="0.25">
      <c r="A10" s="80"/>
      <c r="B10" s="233" t="s">
        <v>384</v>
      </c>
      <c r="C10" s="233" t="s">
        <v>485</v>
      </c>
      <c r="D10" s="234">
        <v>8500</v>
      </c>
      <c r="E10" s="80"/>
      <c r="F10" s="233" t="s">
        <v>384</v>
      </c>
      <c r="G10" s="233" t="s">
        <v>487</v>
      </c>
      <c r="H10" s="235">
        <v>320</v>
      </c>
      <c r="I10" s="237">
        <f t="shared" si="0"/>
        <v>8500</v>
      </c>
      <c r="J10" s="237"/>
      <c r="K10" s="80"/>
    </row>
    <row r="11" spans="1:11" x14ac:dyDescent="0.25">
      <c r="A11" s="80"/>
      <c r="B11" s="233" t="s">
        <v>384</v>
      </c>
      <c r="C11" s="233" t="s">
        <v>487</v>
      </c>
      <c r="D11" s="234">
        <v>9000</v>
      </c>
      <c r="E11" s="80"/>
      <c r="F11" s="233" t="s">
        <v>388</v>
      </c>
      <c r="G11" s="233" t="s">
        <v>487</v>
      </c>
      <c r="H11" s="235">
        <v>200</v>
      </c>
      <c r="I11" s="237">
        <f t="shared" si="0"/>
        <v>9000</v>
      </c>
      <c r="J11" s="237"/>
      <c r="K11" s="80"/>
    </row>
    <row r="12" spans="1:11" x14ac:dyDescent="0.25">
      <c r="A12" s="80"/>
      <c r="B12" s="233" t="s">
        <v>384</v>
      </c>
      <c r="C12" s="233" t="s">
        <v>486</v>
      </c>
      <c r="D12" s="234">
        <v>9700</v>
      </c>
      <c r="E12" s="80"/>
      <c r="F12" s="233" t="s">
        <v>388</v>
      </c>
      <c r="G12" s="233" t="s">
        <v>488</v>
      </c>
      <c r="H12" s="235">
        <v>120</v>
      </c>
      <c r="I12" s="237">
        <f t="shared" si="0"/>
        <v>9000</v>
      </c>
      <c r="J12" s="237"/>
      <c r="K12" s="80"/>
    </row>
    <row r="13" spans="1:11" x14ac:dyDescent="0.25">
      <c r="A13" s="80"/>
      <c r="B13" s="233" t="s">
        <v>384</v>
      </c>
      <c r="C13" s="233" t="s">
        <v>489</v>
      </c>
      <c r="D13" s="234">
        <v>6000</v>
      </c>
      <c r="E13" s="80"/>
      <c r="F13" s="233" t="s">
        <v>379</v>
      </c>
      <c r="G13" s="233" t="s">
        <v>485</v>
      </c>
      <c r="H13" s="235">
        <v>140</v>
      </c>
      <c r="I13" s="237">
        <f t="shared" si="0"/>
        <v>10000</v>
      </c>
      <c r="J13" s="237"/>
      <c r="K13" s="80"/>
    </row>
    <row r="14" spans="1:11" x14ac:dyDescent="0.25">
      <c r="A14" s="80"/>
      <c r="B14" s="233" t="s">
        <v>388</v>
      </c>
      <c r="C14" s="233" t="s">
        <v>485</v>
      </c>
      <c r="D14" s="234">
        <v>9000</v>
      </c>
      <c r="E14" s="80"/>
      <c r="F14" s="233" t="s">
        <v>490</v>
      </c>
      <c r="G14" s="233" t="s">
        <v>489</v>
      </c>
      <c r="H14" s="235">
        <v>150</v>
      </c>
      <c r="I14" s="237">
        <f t="shared" si="0"/>
        <v>12000</v>
      </c>
      <c r="J14" s="237"/>
      <c r="K14" s="80"/>
    </row>
    <row r="15" spans="1:11" x14ac:dyDescent="0.25">
      <c r="A15" s="80"/>
      <c r="B15" s="233" t="s">
        <v>388</v>
      </c>
      <c r="C15" s="233" t="s">
        <v>487</v>
      </c>
      <c r="D15" s="234">
        <v>10000</v>
      </c>
      <c r="E15" s="80"/>
      <c r="F15" s="233" t="s">
        <v>384</v>
      </c>
      <c r="G15" s="233" t="s">
        <v>487</v>
      </c>
      <c r="H15" s="235">
        <v>142</v>
      </c>
      <c r="I15" s="237">
        <f t="shared" si="0"/>
        <v>8500</v>
      </c>
      <c r="J15" s="237"/>
      <c r="K15" s="80"/>
    </row>
    <row r="16" spans="1:11" x14ac:dyDescent="0.25">
      <c r="A16" s="80"/>
      <c r="B16" s="233" t="s">
        <v>388</v>
      </c>
      <c r="C16" s="233" t="s">
        <v>488</v>
      </c>
      <c r="D16" s="234">
        <v>6000</v>
      </c>
      <c r="E16" s="80"/>
      <c r="F16" s="233" t="s">
        <v>490</v>
      </c>
      <c r="G16" s="233" t="s">
        <v>487</v>
      </c>
      <c r="H16" s="235">
        <v>149</v>
      </c>
      <c r="I16" s="237">
        <f t="shared" si="0"/>
        <v>12000</v>
      </c>
      <c r="J16" s="237"/>
      <c r="K16" s="80"/>
    </row>
    <row r="17" spans="1:11" x14ac:dyDescent="0.25">
      <c r="A17" s="80"/>
      <c r="B17" s="233" t="s">
        <v>490</v>
      </c>
      <c r="C17" s="233" t="s">
        <v>485</v>
      </c>
      <c r="D17" s="234">
        <v>12000</v>
      </c>
      <c r="E17" s="80"/>
      <c r="F17" s="233" t="s">
        <v>388</v>
      </c>
      <c r="G17" s="233" t="s">
        <v>485</v>
      </c>
      <c r="H17" s="235">
        <v>150</v>
      </c>
      <c r="I17" s="237">
        <f t="shared" si="0"/>
        <v>9000</v>
      </c>
      <c r="J17" s="237"/>
      <c r="K17" s="80"/>
    </row>
    <row r="18" spans="1:11" x14ac:dyDescent="0.25">
      <c r="A18" s="80"/>
      <c r="B18" s="233" t="s">
        <v>490</v>
      </c>
      <c r="C18" s="233" t="s">
        <v>487</v>
      </c>
      <c r="D18" s="234">
        <v>13000</v>
      </c>
      <c r="E18" s="80"/>
      <c r="F18" s="233" t="s">
        <v>379</v>
      </c>
      <c r="G18" s="233" t="s">
        <v>487</v>
      </c>
      <c r="H18" s="235">
        <v>159</v>
      </c>
      <c r="I18" s="237">
        <f t="shared" si="0"/>
        <v>10000</v>
      </c>
      <c r="J18" s="237"/>
      <c r="K18" s="80"/>
    </row>
    <row r="19" spans="1:11" x14ac:dyDescent="0.25">
      <c r="A19" s="80"/>
      <c r="B19" s="233" t="s">
        <v>490</v>
      </c>
      <c r="C19" s="233" t="s">
        <v>489</v>
      </c>
      <c r="D19" s="234">
        <v>5000</v>
      </c>
      <c r="E19" s="80"/>
      <c r="F19" s="233" t="s">
        <v>384</v>
      </c>
      <c r="G19" s="233" t="s">
        <v>485</v>
      </c>
      <c r="H19" s="235">
        <v>130</v>
      </c>
      <c r="I19" s="237">
        <f t="shared" si="0"/>
        <v>8500</v>
      </c>
      <c r="J19" s="237"/>
      <c r="K19" s="80"/>
    </row>
    <row r="20" spans="1:11" x14ac:dyDescent="0.25">
      <c r="A20" s="80"/>
      <c r="B20" s="80"/>
      <c r="C20" s="80"/>
      <c r="D20" s="80"/>
      <c r="E20" s="80"/>
      <c r="F20" s="233" t="s">
        <v>388</v>
      </c>
      <c r="G20" s="233" t="s">
        <v>487</v>
      </c>
      <c r="H20" s="235">
        <v>290</v>
      </c>
      <c r="I20" s="237">
        <f t="shared" si="0"/>
        <v>9000</v>
      </c>
      <c r="J20" s="237"/>
      <c r="K20" s="80"/>
    </row>
    <row r="21" spans="1:11" x14ac:dyDescent="0.25">
      <c r="A21" s="80"/>
      <c r="B21" s="80"/>
      <c r="C21" s="80"/>
      <c r="D21" s="80"/>
      <c r="E21" s="80"/>
      <c r="F21" s="233" t="s">
        <v>490</v>
      </c>
      <c r="G21" s="233" t="s">
        <v>485</v>
      </c>
      <c r="H21" s="235">
        <v>310</v>
      </c>
      <c r="I21" s="237">
        <f t="shared" si="0"/>
        <v>12000</v>
      </c>
      <c r="J21" s="237"/>
      <c r="K21" s="80"/>
    </row>
    <row r="22" spans="1:11" x14ac:dyDescent="0.25">
      <c r="A22" s="80"/>
      <c r="B22" s="80"/>
      <c r="C22" s="80"/>
      <c r="D22" s="80"/>
      <c r="E22" s="80"/>
      <c r="F22" s="233" t="s">
        <v>384</v>
      </c>
      <c r="G22" s="233" t="s">
        <v>489</v>
      </c>
      <c r="H22" s="235">
        <v>220</v>
      </c>
      <c r="I22" s="237">
        <f t="shared" si="0"/>
        <v>8500</v>
      </c>
      <c r="J22" s="237"/>
      <c r="K22" s="80"/>
    </row>
    <row r="23" spans="1:11" x14ac:dyDescent="0.25">
      <c r="A23" s="80"/>
      <c r="B23" s="236" t="s">
        <v>370</v>
      </c>
      <c r="C23" s="236" t="s">
        <v>78</v>
      </c>
      <c r="D23" s="80"/>
      <c r="E23" s="80"/>
      <c r="F23" s="80"/>
      <c r="G23" s="80"/>
      <c r="H23" s="91"/>
      <c r="I23" s="80"/>
      <c r="J23" s="80"/>
      <c r="K23" s="80"/>
    </row>
    <row r="24" spans="1:11" x14ac:dyDescent="0.25">
      <c r="A24" s="80"/>
      <c r="B24" s="236" t="s">
        <v>379</v>
      </c>
      <c r="C24" s="236" t="s">
        <v>380</v>
      </c>
      <c r="D24" s="80"/>
      <c r="E24" s="80"/>
      <c r="F24" s="80"/>
      <c r="G24" s="80"/>
      <c r="H24" s="80"/>
      <c r="I24" s="80"/>
      <c r="J24" s="80"/>
      <c r="K24" s="80"/>
    </row>
    <row r="25" spans="1:11" x14ac:dyDescent="0.25">
      <c r="A25" s="80"/>
      <c r="B25" s="236" t="s">
        <v>384</v>
      </c>
      <c r="C25" s="236" t="s">
        <v>385</v>
      </c>
      <c r="D25" s="80"/>
      <c r="E25" s="80"/>
      <c r="F25" s="80"/>
      <c r="G25" s="80"/>
      <c r="H25" s="80"/>
      <c r="I25" s="80"/>
      <c r="J25" s="80"/>
      <c r="K25" s="80"/>
    </row>
    <row r="26" spans="1:11" x14ac:dyDescent="0.25">
      <c r="A26" s="80"/>
      <c r="B26" s="236" t="s">
        <v>388</v>
      </c>
      <c r="C26" s="236" t="s">
        <v>491</v>
      </c>
      <c r="D26" s="80"/>
      <c r="E26" s="80"/>
      <c r="F26" s="80"/>
      <c r="G26" s="80"/>
      <c r="H26" s="80"/>
      <c r="I26" s="80"/>
      <c r="J26" s="80"/>
      <c r="K26" s="80"/>
    </row>
    <row r="27" spans="1:11" x14ac:dyDescent="0.25">
      <c r="A27" s="80"/>
      <c r="B27" s="236" t="s">
        <v>490</v>
      </c>
      <c r="C27" s="236" t="s">
        <v>492</v>
      </c>
      <c r="D27" s="80"/>
      <c r="E27" s="80"/>
      <c r="F27" s="80"/>
      <c r="G27" s="80"/>
      <c r="H27" s="80"/>
      <c r="I27" s="80"/>
      <c r="J27" s="80"/>
      <c r="K27" s="80"/>
    </row>
    <row r="28" spans="1:11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1:11" x14ac:dyDescent="0.2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spans="1:11" x14ac:dyDescent="0.25">
      <c r="A30" s="80"/>
      <c r="B30" s="236" t="s">
        <v>483</v>
      </c>
      <c r="C30" s="236" t="s">
        <v>78</v>
      </c>
      <c r="D30" s="80"/>
      <c r="E30" s="80"/>
      <c r="F30" s="80"/>
      <c r="G30" s="80"/>
      <c r="H30" s="80"/>
      <c r="I30" s="80"/>
      <c r="J30" s="80"/>
      <c r="K30" s="80"/>
    </row>
    <row r="31" spans="1:11" x14ac:dyDescent="0.25">
      <c r="A31" s="80"/>
      <c r="B31" s="236" t="s">
        <v>485</v>
      </c>
      <c r="C31" s="236" t="s">
        <v>493</v>
      </c>
      <c r="D31" s="80"/>
      <c r="E31" s="80"/>
      <c r="F31" s="80"/>
      <c r="G31" s="80"/>
      <c r="H31" s="80"/>
      <c r="I31" s="80"/>
      <c r="J31" s="80"/>
      <c r="K31" s="80"/>
    </row>
    <row r="32" spans="1:11" x14ac:dyDescent="0.25">
      <c r="A32" s="80"/>
      <c r="B32" s="236" t="s">
        <v>487</v>
      </c>
      <c r="C32" s="236" t="s">
        <v>494</v>
      </c>
      <c r="D32" s="80"/>
      <c r="E32" s="80"/>
      <c r="F32" s="80"/>
      <c r="G32" s="80"/>
      <c r="H32" s="80"/>
      <c r="I32" s="80"/>
      <c r="J32" s="80"/>
      <c r="K32" s="80"/>
    </row>
    <row r="33" spans="1:11" x14ac:dyDescent="0.25">
      <c r="A33" s="80"/>
      <c r="B33" s="236" t="s">
        <v>486</v>
      </c>
      <c r="C33" s="236" t="s">
        <v>495</v>
      </c>
      <c r="D33" s="80"/>
      <c r="E33" s="80"/>
      <c r="F33" s="80"/>
      <c r="G33" s="80"/>
      <c r="H33" s="80"/>
      <c r="I33" s="80"/>
      <c r="J33" s="80"/>
      <c r="K33" s="80"/>
    </row>
    <row r="34" spans="1:11" x14ac:dyDescent="0.25">
      <c r="A34" s="80"/>
      <c r="B34" s="236" t="s">
        <v>489</v>
      </c>
      <c r="C34" s="236" t="s">
        <v>496</v>
      </c>
      <c r="D34" s="80"/>
      <c r="E34" s="80"/>
      <c r="F34" s="80"/>
      <c r="G34" s="80"/>
      <c r="H34" s="80"/>
      <c r="I34" s="80"/>
      <c r="J34" s="80"/>
      <c r="K34" s="80"/>
    </row>
    <row r="35" spans="1:11" x14ac:dyDescent="0.25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</row>
    <row r="36" spans="1:11" x14ac:dyDescent="0.25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</row>
    <row r="37" spans="1:11" x14ac:dyDescent="0.25">
      <c r="I37" s="64" t="e">
        <f t="shared" ref="I37:I52" si="1">VLOOKUP(F7&amp;G7,$A$7:$D$19,4,0)</f>
        <v>#N/A</v>
      </c>
    </row>
    <row r="38" spans="1:11" x14ac:dyDescent="0.25">
      <c r="I38" s="64" t="e">
        <f t="shared" si="1"/>
        <v>#N/A</v>
      </c>
    </row>
    <row r="39" spans="1:11" x14ac:dyDescent="0.25">
      <c r="I39" s="64" t="e">
        <f t="shared" si="1"/>
        <v>#N/A</v>
      </c>
    </row>
    <row r="40" spans="1:11" x14ac:dyDescent="0.25">
      <c r="I40" s="64" t="e">
        <f t="shared" si="1"/>
        <v>#N/A</v>
      </c>
    </row>
    <row r="41" spans="1:11" x14ac:dyDescent="0.25">
      <c r="I41" s="64" t="e">
        <f t="shared" si="1"/>
        <v>#N/A</v>
      </c>
    </row>
    <row r="42" spans="1:11" x14ac:dyDescent="0.25">
      <c r="I42" s="64" t="e">
        <f t="shared" si="1"/>
        <v>#N/A</v>
      </c>
    </row>
    <row r="43" spans="1:11" x14ac:dyDescent="0.25">
      <c r="I43" s="64" t="e">
        <f t="shared" si="1"/>
        <v>#N/A</v>
      </c>
    </row>
    <row r="44" spans="1:11" x14ac:dyDescent="0.25">
      <c r="I44" s="64" t="e">
        <f t="shared" si="1"/>
        <v>#N/A</v>
      </c>
    </row>
    <row r="45" spans="1:11" x14ac:dyDescent="0.25">
      <c r="I45" s="64" t="e">
        <f t="shared" si="1"/>
        <v>#N/A</v>
      </c>
    </row>
    <row r="46" spans="1:11" x14ac:dyDescent="0.25">
      <c r="I46" s="64" t="e">
        <f t="shared" si="1"/>
        <v>#N/A</v>
      </c>
    </row>
    <row r="47" spans="1:11" x14ac:dyDescent="0.25">
      <c r="I47" s="64" t="e">
        <f t="shared" si="1"/>
        <v>#N/A</v>
      </c>
    </row>
    <row r="48" spans="1:11" x14ac:dyDescent="0.25">
      <c r="I48" s="64" t="e">
        <f t="shared" si="1"/>
        <v>#N/A</v>
      </c>
    </row>
    <row r="49" spans="9:9" x14ac:dyDescent="0.25">
      <c r="I49" s="64" t="e">
        <f t="shared" si="1"/>
        <v>#N/A</v>
      </c>
    </row>
    <row r="50" spans="9:9" x14ac:dyDescent="0.25">
      <c r="I50" s="64" t="e">
        <f t="shared" si="1"/>
        <v>#N/A</v>
      </c>
    </row>
    <row r="51" spans="9:9" x14ac:dyDescent="0.25">
      <c r="I51" s="64" t="e">
        <f t="shared" si="1"/>
        <v>#N/A</v>
      </c>
    </row>
    <row r="52" spans="9:9" x14ac:dyDescent="0.25">
      <c r="I52" s="64" t="e">
        <f t="shared" si="1"/>
        <v>#N/A</v>
      </c>
    </row>
  </sheetData>
  <mergeCells count="1">
    <mergeCell ref="B2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3"/>
  <sheetViews>
    <sheetView workbookViewId="0">
      <selection activeCell="M12" sqref="M12"/>
    </sheetView>
  </sheetViews>
  <sheetFormatPr defaultRowHeight="15" x14ac:dyDescent="0.25"/>
  <cols>
    <col min="1" max="1" width="3.28515625" customWidth="1"/>
    <col min="3" max="3" width="12.5703125" customWidth="1"/>
    <col min="4" max="4" width="10.28515625" customWidth="1"/>
    <col min="5" max="5" width="11.7109375" customWidth="1"/>
    <col min="6" max="6" width="4" customWidth="1"/>
    <col min="7" max="7" width="9.42578125" customWidth="1"/>
    <col min="8" max="8" width="9.28515625" customWidth="1"/>
    <col min="9" max="9" width="18.140625" customWidth="1"/>
    <col min="10" max="10" width="15.28515625" customWidth="1"/>
    <col min="11" max="11" width="20.42578125" customWidth="1"/>
    <col min="12" max="12" width="10.85546875" customWidth="1"/>
  </cols>
  <sheetData>
    <row r="1" spans="1:11" x14ac:dyDescent="0.25">
      <c r="A1" s="238"/>
      <c r="B1" s="238" t="s">
        <v>497</v>
      </c>
      <c r="C1" s="238"/>
      <c r="D1" s="238"/>
      <c r="E1" s="238"/>
      <c r="F1" s="238"/>
      <c r="G1" s="238"/>
      <c r="H1" s="238"/>
      <c r="I1" s="238"/>
      <c r="J1" s="238"/>
      <c r="K1" s="238"/>
    </row>
    <row r="2" spans="1:11" x14ac:dyDescent="0.25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</row>
    <row r="3" spans="1:11" x14ac:dyDescent="0.25">
      <c r="A3" s="238"/>
      <c r="B3" s="238" t="s">
        <v>498</v>
      </c>
      <c r="C3" s="238"/>
      <c r="D3" s="238"/>
      <c r="E3" s="238"/>
      <c r="F3" s="238"/>
      <c r="G3" s="238"/>
      <c r="H3" s="238"/>
      <c r="I3" s="238"/>
      <c r="J3" s="238"/>
      <c r="K3" s="238"/>
    </row>
    <row r="4" spans="1:11" ht="21" x14ac:dyDescent="0.35">
      <c r="A4" s="238"/>
      <c r="B4" s="239" t="s">
        <v>1</v>
      </c>
      <c r="C4" s="240" t="s">
        <v>499</v>
      </c>
      <c r="D4" s="240" t="s">
        <v>500</v>
      </c>
      <c r="E4" s="240" t="s">
        <v>501</v>
      </c>
      <c r="F4" s="238"/>
      <c r="G4" s="241" t="s">
        <v>502</v>
      </c>
      <c r="H4" s="241" t="s">
        <v>503</v>
      </c>
      <c r="I4" s="241" t="s">
        <v>1161</v>
      </c>
      <c r="J4" s="238"/>
      <c r="K4" s="238"/>
    </row>
    <row r="5" spans="1:11" x14ac:dyDescent="0.25">
      <c r="A5" s="238"/>
      <c r="B5" s="242" t="s">
        <v>504</v>
      </c>
      <c r="C5" s="243">
        <v>12000</v>
      </c>
      <c r="D5" s="243">
        <v>100</v>
      </c>
      <c r="E5" s="243">
        <v>15000</v>
      </c>
      <c r="F5" s="238"/>
      <c r="G5" s="244" t="s">
        <v>504</v>
      </c>
      <c r="H5" s="244" t="s">
        <v>505</v>
      </c>
      <c r="I5" s="245">
        <f>VLOOKUP(G5,$B$4:$E$8,IF(H5="USD",2,IF(H5="Yen",3,4)),FALSE)</f>
        <v>15000</v>
      </c>
      <c r="J5" s="238"/>
      <c r="K5" s="238"/>
    </row>
    <row r="6" spans="1:11" x14ac:dyDescent="0.25">
      <c r="A6" s="238"/>
      <c r="B6" s="246" t="s">
        <v>506</v>
      </c>
      <c r="C6" s="243">
        <v>11500</v>
      </c>
      <c r="D6" s="243">
        <v>110</v>
      </c>
      <c r="E6" s="243">
        <v>15500</v>
      </c>
      <c r="F6" s="238"/>
      <c r="G6" s="244" t="s">
        <v>507</v>
      </c>
      <c r="H6" s="244" t="s">
        <v>499</v>
      </c>
      <c r="I6" s="245">
        <f t="shared" ref="I6:I15" si="0">VLOOKUP(G6,$B$4:$E$8,IF(H6="USD",2,IF(H6="Yen",3,4)),FALSE)</f>
        <v>13000</v>
      </c>
      <c r="J6" s="238"/>
      <c r="K6" s="238"/>
    </row>
    <row r="7" spans="1:11" x14ac:dyDescent="0.25">
      <c r="A7" s="238"/>
      <c r="B7" s="242" t="s">
        <v>507</v>
      </c>
      <c r="C7" s="243">
        <v>13000</v>
      </c>
      <c r="D7" s="243">
        <v>98</v>
      </c>
      <c r="E7" s="243">
        <v>14700</v>
      </c>
      <c r="F7" s="238"/>
      <c r="G7" s="244" t="s">
        <v>507</v>
      </c>
      <c r="H7" s="244" t="s">
        <v>508</v>
      </c>
      <c r="I7" s="245">
        <f t="shared" si="0"/>
        <v>98</v>
      </c>
      <c r="J7" s="238"/>
      <c r="K7" s="238"/>
    </row>
    <row r="8" spans="1:11" x14ac:dyDescent="0.25">
      <c r="A8" s="238"/>
      <c r="B8" s="246" t="s">
        <v>509</v>
      </c>
      <c r="C8" s="243">
        <v>12750</v>
      </c>
      <c r="D8" s="243">
        <v>104</v>
      </c>
      <c r="E8" s="243">
        <v>15050</v>
      </c>
      <c r="F8" s="238"/>
      <c r="G8" s="244" t="s">
        <v>506</v>
      </c>
      <c r="H8" s="244" t="s">
        <v>499</v>
      </c>
      <c r="I8" s="245">
        <f t="shared" si="0"/>
        <v>11500</v>
      </c>
      <c r="J8" s="238"/>
      <c r="K8" s="238"/>
    </row>
    <row r="9" spans="1:11" x14ac:dyDescent="0.25">
      <c r="A9" s="238"/>
      <c r="B9" s="247"/>
      <c r="C9" s="247"/>
      <c r="D9" s="247"/>
      <c r="E9" s="247"/>
      <c r="F9" s="238"/>
      <c r="G9" s="244" t="s">
        <v>509</v>
      </c>
      <c r="H9" s="244" t="s">
        <v>499</v>
      </c>
      <c r="I9" s="245">
        <f t="shared" si="0"/>
        <v>12750</v>
      </c>
      <c r="J9" s="238"/>
      <c r="K9" s="238"/>
    </row>
    <row r="10" spans="1:11" x14ac:dyDescent="0.25">
      <c r="A10" s="238"/>
      <c r="B10" s="238"/>
      <c r="C10" s="238"/>
      <c r="D10" s="238"/>
      <c r="E10" s="238"/>
      <c r="F10" s="238"/>
      <c r="G10" s="244" t="s">
        <v>504</v>
      </c>
      <c r="H10" s="244" t="s">
        <v>508</v>
      </c>
      <c r="I10" s="245">
        <f t="shared" si="0"/>
        <v>100</v>
      </c>
      <c r="J10" s="238"/>
      <c r="K10" s="238"/>
    </row>
    <row r="11" spans="1:11" x14ac:dyDescent="0.25">
      <c r="A11" s="238"/>
      <c r="B11" s="242" t="s">
        <v>504</v>
      </c>
      <c r="C11" s="240" t="s">
        <v>499</v>
      </c>
      <c r="D11" s="238"/>
      <c r="E11" s="238"/>
      <c r="F11" s="238"/>
      <c r="G11" s="244" t="s">
        <v>506</v>
      </c>
      <c r="H11" s="244" t="s">
        <v>499</v>
      </c>
      <c r="I11" s="245">
        <f t="shared" si="0"/>
        <v>11500</v>
      </c>
      <c r="J11" s="238"/>
      <c r="K11" s="238"/>
    </row>
    <row r="12" spans="1:11" x14ac:dyDescent="0.25">
      <c r="A12" s="238"/>
      <c r="B12" s="246" t="s">
        <v>506</v>
      </c>
      <c r="C12" s="240" t="s">
        <v>500</v>
      </c>
      <c r="D12" s="238"/>
      <c r="E12" s="238"/>
      <c r="F12" s="238"/>
      <c r="G12" s="244" t="s">
        <v>507</v>
      </c>
      <c r="H12" s="244" t="s">
        <v>505</v>
      </c>
      <c r="I12" s="245">
        <f t="shared" si="0"/>
        <v>14700</v>
      </c>
      <c r="J12" s="238"/>
      <c r="K12" s="238"/>
    </row>
    <row r="13" spans="1:11" x14ac:dyDescent="0.25">
      <c r="A13" s="238"/>
      <c r="B13" s="242" t="s">
        <v>507</v>
      </c>
      <c r="C13" s="240" t="s">
        <v>501</v>
      </c>
      <c r="D13" s="238"/>
      <c r="E13" s="238"/>
      <c r="F13" s="238"/>
      <c r="G13" s="244" t="s">
        <v>506</v>
      </c>
      <c r="H13" s="244" t="s">
        <v>499</v>
      </c>
      <c r="I13" s="245">
        <f t="shared" si="0"/>
        <v>11500</v>
      </c>
      <c r="J13" s="238"/>
      <c r="K13" s="238"/>
    </row>
    <row r="14" spans="1:11" x14ac:dyDescent="0.25">
      <c r="A14" s="238"/>
      <c r="B14" s="246" t="s">
        <v>509</v>
      </c>
      <c r="C14" s="238"/>
      <c r="D14" s="238"/>
      <c r="E14" s="238"/>
      <c r="F14" s="238"/>
      <c r="G14" s="244" t="s">
        <v>509</v>
      </c>
      <c r="H14" s="244" t="s">
        <v>505</v>
      </c>
      <c r="I14" s="245">
        <f t="shared" si="0"/>
        <v>15050</v>
      </c>
      <c r="J14" s="238"/>
      <c r="K14" s="238"/>
    </row>
    <row r="15" spans="1:11" x14ac:dyDescent="0.25">
      <c r="A15" s="238"/>
      <c r="B15" s="238"/>
      <c r="C15" s="238"/>
      <c r="D15" s="238"/>
      <c r="E15" s="238"/>
      <c r="F15" s="238"/>
      <c r="G15" s="244" t="s">
        <v>509</v>
      </c>
      <c r="H15" s="244" t="s">
        <v>499</v>
      </c>
      <c r="I15" s="245">
        <f t="shared" si="0"/>
        <v>12750</v>
      </c>
      <c r="J15" s="238"/>
      <c r="K15" s="238"/>
    </row>
    <row r="16" spans="1:11" x14ac:dyDescent="0.25">
      <c r="A16" s="238"/>
      <c r="B16" s="238"/>
      <c r="C16" s="238"/>
      <c r="D16" s="238"/>
      <c r="E16" s="238"/>
      <c r="F16" s="238"/>
      <c r="G16" s="238"/>
      <c r="H16" s="238"/>
      <c r="I16" s="238"/>
      <c r="J16" s="238"/>
      <c r="K16" s="238" t="s">
        <v>442</v>
      </c>
    </row>
    <row r="17" spans="1:12" x14ac:dyDescent="0.25">
      <c r="A17" s="238"/>
      <c r="B17" s="238"/>
      <c r="C17" s="238"/>
      <c r="D17" s="238"/>
      <c r="E17" s="238"/>
      <c r="F17" s="238"/>
      <c r="G17" s="238"/>
      <c r="H17" s="238"/>
      <c r="I17" s="248"/>
      <c r="J17" s="238"/>
      <c r="K17" s="238"/>
    </row>
    <row r="18" spans="1:12" x14ac:dyDescent="0.25">
      <c r="A18" s="238"/>
      <c r="B18" s="238"/>
      <c r="C18" s="238"/>
      <c r="D18" s="238"/>
      <c r="E18" s="238"/>
      <c r="F18" s="238"/>
      <c r="G18" s="238"/>
      <c r="H18" s="238"/>
      <c r="I18" s="238"/>
      <c r="J18" s="238"/>
      <c r="K18" s="238" t="s">
        <v>646</v>
      </c>
    </row>
    <row r="32" spans="1:12" x14ac:dyDescent="0.25">
      <c r="I32" s="64">
        <f t="shared" ref="I32:I42" si="1">VLOOKUP(G5,$B$5:$E$8,IF(H5="USD",2,IF(H5="YEN",3,4)),0)</f>
        <v>15000</v>
      </c>
      <c r="J32" s="64" t="e" vm="1">
        <f t="shared" ref="J32:J42" si="2">VLOOKUP(G5,$B$5:$E$9,HLOOKUP(H5,$C$4:$E$9,6,0),0)</f>
        <v>#VALUE!</v>
      </c>
      <c r="K32" s="64">
        <f t="shared" ref="K32:K42" si="3">VLOOKUP(G5,$B$5:$E$8,MATCH(H5,$C$4:$E$4,0)+1,0)</f>
        <v>15000</v>
      </c>
      <c r="L32" s="64"/>
    </row>
    <row r="33" spans="9:12" x14ac:dyDescent="0.25">
      <c r="I33" s="64">
        <f t="shared" si="1"/>
        <v>13000</v>
      </c>
      <c r="J33" s="64" t="e" vm="1">
        <f t="shared" si="2"/>
        <v>#VALUE!</v>
      </c>
      <c r="K33" s="64">
        <f t="shared" si="3"/>
        <v>13000</v>
      </c>
      <c r="L33" s="64"/>
    </row>
    <row r="34" spans="9:12" x14ac:dyDescent="0.25">
      <c r="I34" s="64">
        <f t="shared" si="1"/>
        <v>98</v>
      </c>
      <c r="J34" s="64" t="e" vm="1">
        <f t="shared" si="2"/>
        <v>#VALUE!</v>
      </c>
      <c r="K34" s="64">
        <f t="shared" si="3"/>
        <v>98</v>
      </c>
      <c r="L34" s="64"/>
    </row>
    <row r="35" spans="9:12" x14ac:dyDescent="0.25">
      <c r="I35" s="64">
        <f t="shared" si="1"/>
        <v>11500</v>
      </c>
      <c r="J35" s="64" t="e" vm="1">
        <f t="shared" si="2"/>
        <v>#VALUE!</v>
      </c>
      <c r="K35" s="64">
        <f t="shared" si="3"/>
        <v>11500</v>
      </c>
      <c r="L35" s="64"/>
    </row>
    <row r="36" spans="9:12" x14ac:dyDescent="0.25">
      <c r="I36" s="64">
        <f t="shared" si="1"/>
        <v>12750</v>
      </c>
      <c r="J36" s="64" t="e" vm="1">
        <f t="shared" si="2"/>
        <v>#VALUE!</v>
      </c>
      <c r="K36" s="64">
        <f t="shared" si="3"/>
        <v>12750</v>
      </c>
      <c r="L36" s="64"/>
    </row>
    <row r="37" spans="9:12" x14ac:dyDescent="0.25">
      <c r="I37" s="64">
        <f t="shared" si="1"/>
        <v>100</v>
      </c>
      <c r="J37" s="64" t="e" vm="1">
        <f t="shared" si="2"/>
        <v>#VALUE!</v>
      </c>
      <c r="K37" s="64">
        <f t="shared" si="3"/>
        <v>100</v>
      </c>
      <c r="L37" s="64"/>
    </row>
    <row r="38" spans="9:12" x14ac:dyDescent="0.25">
      <c r="I38" s="64">
        <f t="shared" si="1"/>
        <v>11500</v>
      </c>
      <c r="J38" s="64" t="e" vm="1">
        <f t="shared" si="2"/>
        <v>#VALUE!</v>
      </c>
      <c r="K38" s="64">
        <f t="shared" si="3"/>
        <v>11500</v>
      </c>
      <c r="L38" s="64"/>
    </row>
    <row r="39" spans="9:12" x14ac:dyDescent="0.25">
      <c r="I39" s="64">
        <f t="shared" si="1"/>
        <v>14700</v>
      </c>
      <c r="J39" s="64" t="e" vm="1">
        <f t="shared" si="2"/>
        <v>#VALUE!</v>
      </c>
      <c r="K39" s="64">
        <f t="shared" si="3"/>
        <v>14700</v>
      </c>
      <c r="L39" s="64"/>
    </row>
    <row r="40" spans="9:12" x14ac:dyDescent="0.25">
      <c r="I40" s="64">
        <f t="shared" si="1"/>
        <v>11500</v>
      </c>
      <c r="J40" s="64" t="e" vm="1">
        <f t="shared" si="2"/>
        <v>#VALUE!</v>
      </c>
      <c r="K40" s="64">
        <f t="shared" si="3"/>
        <v>11500</v>
      </c>
      <c r="L40" s="64"/>
    </row>
    <row r="41" spans="9:12" x14ac:dyDescent="0.25">
      <c r="I41" s="64">
        <f t="shared" si="1"/>
        <v>15050</v>
      </c>
      <c r="J41" s="64" t="e" vm="1">
        <f t="shared" si="2"/>
        <v>#VALUE!</v>
      </c>
      <c r="K41" s="64">
        <f t="shared" si="3"/>
        <v>15050</v>
      </c>
      <c r="L41" s="64"/>
    </row>
    <row r="42" spans="9:12" x14ac:dyDescent="0.25">
      <c r="I42" s="64">
        <f t="shared" si="1"/>
        <v>12750</v>
      </c>
      <c r="J42" s="64" t="e" vm="1">
        <f t="shared" si="2"/>
        <v>#VALUE!</v>
      </c>
      <c r="K42" s="64">
        <f t="shared" si="3"/>
        <v>12750</v>
      </c>
      <c r="L42" s="64"/>
    </row>
    <row r="43" spans="9:12" x14ac:dyDescent="0.25">
      <c r="I43" s="64"/>
      <c r="J43" s="64"/>
      <c r="K43" s="64"/>
      <c r="L43" s="6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2"/>
  <sheetViews>
    <sheetView tabSelected="1" topLeftCell="A4" workbookViewId="0">
      <selection activeCell="H14" sqref="H14"/>
    </sheetView>
  </sheetViews>
  <sheetFormatPr defaultRowHeight="12.75" x14ac:dyDescent="0.25"/>
  <cols>
    <col min="1" max="1" width="12" style="328" customWidth="1"/>
    <col min="2" max="2" width="13.28515625" style="328" customWidth="1"/>
    <col min="3" max="3" width="12.140625" style="328" customWidth="1"/>
    <col min="4" max="4" width="9.28515625" style="328" customWidth="1"/>
    <col min="5" max="5" width="15" style="328" customWidth="1"/>
    <col min="6" max="6" width="13.7109375" style="328" customWidth="1"/>
    <col min="7" max="7" width="15.5703125" style="328" customWidth="1"/>
    <col min="8" max="8" width="24.7109375" style="328" customWidth="1"/>
    <col min="9" max="256" width="9.140625" style="328"/>
    <col min="257" max="257" width="12" style="328" customWidth="1"/>
    <col min="258" max="258" width="13.28515625" style="328" customWidth="1"/>
    <col min="259" max="259" width="12.140625" style="328" customWidth="1"/>
    <col min="260" max="260" width="9.28515625" style="328" customWidth="1"/>
    <col min="261" max="261" width="15" style="328" customWidth="1"/>
    <col min="262" max="262" width="13.7109375" style="328" customWidth="1"/>
    <col min="263" max="263" width="15.5703125" style="328" customWidth="1"/>
    <col min="264" max="264" width="24.7109375" style="328" customWidth="1"/>
    <col min="265" max="512" width="9.140625" style="328"/>
    <col min="513" max="513" width="12" style="328" customWidth="1"/>
    <col min="514" max="514" width="13.28515625" style="328" customWidth="1"/>
    <col min="515" max="515" width="12.140625" style="328" customWidth="1"/>
    <col min="516" max="516" width="9.28515625" style="328" customWidth="1"/>
    <col min="517" max="517" width="15" style="328" customWidth="1"/>
    <col min="518" max="518" width="13.7109375" style="328" customWidth="1"/>
    <col min="519" max="519" width="15.5703125" style="328" customWidth="1"/>
    <col min="520" max="520" width="24.7109375" style="328" customWidth="1"/>
    <col min="521" max="768" width="9.140625" style="328"/>
    <col min="769" max="769" width="12" style="328" customWidth="1"/>
    <col min="770" max="770" width="13.28515625" style="328" customWidth="1"/>
    <col min="771" max="771" width="12.140625" style="328" customWidth="1"/>
    <col min="772" max="772" width="9.28515625" style="328" customWidth="1"/>
    <col min="773" max="773" width="15" style="328" customWidth="1"/>
    <col min="774" max="774" width="13.7109375" style="328" customWidth="1"/>
    <col min="775" max="775" width="15.5703125" style="328" customWidth="1"/>
    <col min="776" max="776" width="24.7109375" style="328" customWidth="1"/>
    <col min="777" max="1024" width="9.140625" style="328"/>
    <col min="1025" max="1025" width="12" style="328" customWidth="1"/>
    <col min="1026" max="1026" width="13.28515625" style="328" customWidth="1"/>
    <col min="1027" max="1027" width="12.140625" style="328" customWidth="1"/>
    <col min="1028" max="1028" width="9.28515625" style="328" customWidth="1"/>
    <col min="1029" max="1029" width="15" style="328" customWidth="1"/>
    <col min="1030" max="1030" width="13.7109375" style="328" customWidth="1"/>
    <col min="1031" max="1031" width="15.5703125" style="328" customWidth="1"/>
    <col min="1032" max="1032" width="24.7109375" style="328" customWidth="1"/>
    <col min="1033" max="1280" width="9.140625" style="328"/>
    <col min="1281" max="1281" width="12" style="328" customWidth="1"/>
    <col min="1282" max="1282" width="13.28515625" style="328" customWidth="1"/>
    <col min="1283" max="1283" width="12.140625" style="328" customWidth="1"/>
    <col min="1284" max="1284" width="9.28515625" style="328" customWidth="1"/>
    <col min="1285" max="1285" width="15" style="328" customWidth="1"/>
    <col min="1286" max="1286" width="13.7109375" style="328" customWidth="1"/>
    <col min="1287" max="1287" width="15.5703125" style="328" customWidth="1"/>
    <col min="1288" max="1288" width="24.7109375" style="328" customWidth="1"/>
    <col min="1289" max="1536" width="9.140625" style="328"/>
    <col min="1537" max="1537" width="12" style="328" customWidth="1"/>
    <col min="1538" max="1538" width="13.28515625" style="328" customWidth="1"/>
    <col min="1539" max="1539" width="12.140625" style="328" customWidth="1"/>
    <col min="1540" max="1540" width="9.28515625" style="328" customWidth="1"/>
    <col min="1541" max="1541" width="15" style="328" customWidth="1"/>
    <col min="1542" max="1542" width="13.7109375" style="328" customWidth="1"/>
    <col min="1543" max="1543" width="15.5703125" style="328" customWidth="1"/>
    <col min="1544" max="1544" width="24.7109375" style="328" customWidth="1"/>
    <col min="1545" max="1792" width="9.140625" style="328"/>
    <col min="1793" max="1793" width="12" style="328" customWidth="1"/>
    <col min="1794" max="1794" width="13.28515625" style="328" customWidth="1"/>
    <col min="1795" max="1795" width="12.140625" style="328" customWidth="1"/>
    <col min="1796" max="1796" width="9.28515625" style="328" customWidth="1"/>
    <col min="1797" max="1797" width="15" style="328" customWidth="1"/>
    <col min="1798" max="1798" width="13.7109375" style="328" customWidth="1"/>
    <col min="1799" max="1799" width="15.5703125" style="328" customWidth="1"/>
    <col min="1800" max="1800" width="24.7109375" style="328" customWidth="1"/>
    <col min="1801" max="2048" width="9.140625" style="328"/>
    <col min="2049" max="2049" width="12" style="328" customWidth="1"/>
    <col min="2050" max="2050" width="13.28515625" style="328" customWidth="1"/>
    <col min="2051" max="2051" width="12.140625" style="328" customWidth="1"/>
    <col min="2052" max="2052" width="9.28515625" style="328" customWidth="1"/>
    <col min="2053" max="2053" width="15" style="328" customWidth="1"/>
    <col min="2054" max="2054" width="13.7109375" style="328" customWidth="1"/>
    <col min="2055" max="2055" width="15.5703125" style="328" customWidth="1"/>
    <col min="2056" max="2056" width="24.7109375" style="328" customWidth="1"/>
    <col min="2057" max="2304" width="9.140625" style="328"/>
    <col min="2305" max="2305" width="12" style="328" customWidth="1"/>
    <col min="2306" max="2306" width="13.28515625" style="328" customWidth="1"/>
    <col min="2307" max="2307" width="12.140625" style="328" customWidth="1"/>
    <col min="2308" max="2308" width="9.28515625" style="328" customWidth="1"/>
    <col min="2309" max="2309" width="15" style="328" customWidth="1"/>
    <col min="2310" max="2310" width="13.7109375" style="328" customWidth="1"/>
    <col min="2311" max="2311" width="15.5703125" style="328" customWidth="1"/>
    <col min="2312" max="2312" width="24.7109375" style="328" customWidth="1"/>
    <col min="2313" max="2560" width="9.140625" style="328"/>
    <col min="2561" max="2561" width="12" style="328" customWidth="1"/>
    <col min="2562" max="2562" width="13.28515625" style="328" customWidth="1"/>
    <col min="2563" max="2563" width="12.140625" style="328" customWidth="1"/>
    <col min="2564" max="2564" width="9.28515625" style="328" customWidth="1"/>
    <col min="2565" max="2565" width="15" style="328" customWidth="1"/>
    <col min="2566" max="2566" width="13.7109375" style="328" customWidth="1"/>
    <col min="2567" max="2567" width="15.5703125" style="328" customWidth="1"/>
    <col min="2568" max="2568" width="24.7109375" style="328" customWidth="1"/>
    <col min="2569" max="2816" width="9.140625" style="328"/>
    <col min="2817" max="2817" width="12" style="328" customWidth="1"/>
    <col min="2818" max="2818" width="13.28515625" style="328" customWidth="1"/>
    <col min="2819" max="2819" width="12.140625" style="328" customWidth="1"/>
    <col min="2820" max="2820" width="9.28515625" style="328" customWidth="1"/>
    <col min="2821" max="2821" width="15" style="328" customWidth="1"/>
    <col min="2822" max="2822" width="13.7109375" style="328" customWidth="1"/>
    <col min="2823" max="2823" width="15.5703125" style="328" customWidth="1"/>
    <col min="2824" max="2824" width="24.7109375" style="328" customWidth="1"/>
    <col min="2825" max="3072" width="9.140625" style="328"/>
    <col min="3073" max="3073" width="12" style="328" customWidth="1"/>
    <col min="3074" max="3074" width="13.28515625" style="328" customWidth="1"/>
    <col min="3075" max="3075" width="12.140625" style="328" customWidth="1"/>
    <col min="3076" max="3076" width="9.28515625" style="328" customWidth="1"/>
    <col min="3077" max="3077" width="15" style="328" customWidth="1"/>
    <col min="3078" max="3078" width="13.7109375" style="328" customWidth="1"/>
    <col min="3079" max="3079" width="15.5703125" style="328" customWidth="1"/>
    <col min="3080" max="3080" width="24.7109375" style="328" customWidth="1"/>
    <col min="3081" max="3328" width="9.140625" style="328"/>
    <col min="3329" max="3329" width="12" style="328" customWidth="1"/>
    <col min="3330" max="3330" width="13.28515625" style="328" customWidth="1"/>
    <col min="3331" max="3331" width="12.140625" style="328" customWidth="1"/>
    <col min="3332" max="3332" width="9.28515625" style="328" customWidth="1"/>
    <col min="3333" max="3333" width="15" style="328" customWidth="1"/>
    <col min="3334" max="3334" width="13.7109375" style="328" customWidth="1"/>
    <col min="3335" max="3335" width="15.5703125" style="328" customWidth="1"/>
    <col min="3336" max="3336" width="24.7109375" style="328" customWidth="1"/>
    <col min="3337" max="3584" width="9.140625" style="328"/>
    <col min="3585" max="3585" width="12" style="328" customWidth="1"/>
    <col min="3586" max="3586" width="13.28515625" style="328" customWidth="1"/>
    <col min="3587" max="3587" width="12.140625" style="328" customWidth="1"/>
    <col min="3588" max="3588" width="9.28515625" style="328" customWidth="1"/>
    <col min="3589" max="3589" width="15" style="328" customWidth="1"/>
    <col min="3590" max="3590" width="13.7109375" style="328" customWidth="1"/>
    <col min="3591" max="3591" width="15.5703125" style="328" customWidth="1"/>
    <col min="3592" max="3592" width="24.7109375" style="328" customWidth="1"/>
    <col min="3593" max="3840" width="9.140625" style="328"/>
    <col min="3841" max="3841" width="12" style="328" customWidth="1"/>
    <col min="3842" max="3842" width="13.28515625" style="328" customWidth="1"/>
    <col min="3843" max="3843" width="12.140625" style="328" customWidth="1"/>
    <col min="3844" max="3844" width="9.28515625" style="328" customWidth="1"/>
    <col min="3845" max="3845" width="15" style="328" customWidth="1"/>
    <col min="3846" max="3846" width="13.7109375" style="328" customWidth="1"/>
    <col min="3847" max="3847" width="15.5703125" style="328" customWidth="1"/>
    <col min="3848" max="3848" width="24.7109375" style="328" customWidth="1"/>
    <col min="3849" max="4096" width="9.140625" style="328"/>
    <col min="4097" max="4097" width="12" style="328" customWidth="1"/>
    <col min="4098" max="4098" width="13.28515625" style="328" customWidth="1"/>
    <col min="4099" max="4099" width="12.140625" style="328" customWidth="1"/>
    <col min="4100" max="4100" width="9.28515625" style="328" customWidth="1"/>
    <col min="4101" max="4101" width="15" style="328" customWidth="1"/>
    <col min="4102" max="4102" width="13.7109375" style="328" customWidth="1"/>
    <col min="4103" max="4103" width="15.5703125" style="328" customWidth="1"/>
    <col min="4104" max="4104" width="24.7109375" style="328" customWidth="1"/>
    <col min="4105" max="4352" width="9.140625" style="328"/>
    <col min="4353" max="4353" width="12" style="328" customWidth="1"/>
    <col min="4354" max="4354" width="13.28515625" style="328" customWidth="1"/>
    <col min="4355" max="4355" width="12.140625" style="328" customWidth="1"/>
    <col min="4356" max="4356" width="9.28515625" style="328" customWidth="1"/>
    <col min="4357" max="4357" width="15" style="328" customWidth="1"/>
    <col min="4358" max="4358" width="13.7109375" style="328" customWidth="1"/>
    <col min="4359" max="4359" width="15.5703125" style="328" customWidth="1"/>
    <col min="4360" max="4360" width="24.7109375" style="328" customWidth="1"/>
    <col min="4361" max="4608" width="9.140625" style="328"/>
    <col min="4609" max="4609" width="12" style="328" customWidth="1"/>
    <col min="4610" max="4610" width="13.28515625" style="328" customWidth="1"/>
    <col min="4611" max="4611" width="12.140625" style="328" customWidth="1"/>
    <col min="4612" max="4612" width="9.28515625" style="328" customWidth="1"/>
    <col min="4613" max="4613" width="15" style="328" customWidth="1"/>
    <col min="4614" max="4614" width="13.7109375" style="328" customWidth="1"/>
    <col min="4615" max="4615" width="15.5703125" style="328" customWidth="1"/>
    <col min="4616" max="4616" width="24.7109375" style="328" customWidth="1"/>
    <col min="4617" max="4864" width="9.140625" style="328"/>
    <col min="4865" max="4865" width="12" style="328" customWidth="1"/>
    <col min="4866" max="4866" width="13.28515625" style="328" customWidth="1"/>
    <col min="4867" max="4867" width="12.140625" style="328" customWidth="1"/>
    <col min="4868" max="4868" width="9.28515625" style="328" customWidth="1"/>
    <col min="4869" max="4869" width="15" style="328" customWidth="1"/>
    <col min="4870" max="4870" width="13.7109375" style="328" customWidth="1"/>
    <col min="4871" max="4871" width="15.5703125" style="328" customWidth="1"/>
    <col min="4872" max="4872" width="24.7109375" style="328" customWidth="1"/>
    <col min="4873" max="5120" width="9.140625" style="328"/>
    <col min="5121" max="5121" width="12" style="328" customWidth="1"/>
    <col min="5122" max="5122" width="13.28515625" style="328" customWidth="1"/>
    <col min="5123" max="5123" width="12.140625" style="328" customWidth="1"/>
    <col min="5124" max="5124" width="9.28515625" style="328" customWidth="1"/>
    <col min="5125" max="5125" width="15" style="328" customWidth="1"/>
    <col min="5126" max="5126" width="13.7109375" style="328" customWidth="1"/>
    <col min="5127" max="5127" width="15.5703125" style="328" customWidth="1"/>
    <col min="5128" max="5128" width="24.7109375" style="328" customWidth="1"/>
    <col min="5129" max="5376" width="9.140625" style="328"/>
    <col min="5377" max="5377" width="12" style="328" customWidth="1"/>
    <col min="5378" max="5378" width="13.28515625" style="328" customWidth="1"/>
    <col min="5379" max="5379" width="12.140625" style="328" customWidth="1"/>
    <col min="5380" max="5380" width="9.28515625" style="328" customWidth="1"/>
    <col min="5381" max="5381" width="15" style="328" customWidth="1"/>
    <col min="5382" max="5382" width="13.7109375" style="328" customWidth="1"/>
    <col min="5383" max="5383" width="15.5703125" style="328" customWidth="1"/>
    <col min="5384" max="5384" width="24.7109375" style="328" customWidth="1"/>
    <col min="5385" max="5632" width="9.140625" style="328"/>
    <col min="5633" max="5633" width="12" style="328" customWidth="1"/>
    <col min="5634" max="5634" width="13.28515625" style="328" customWidth="1"/>
    <col min="5635" max="5635" width="12.140625" style="328" customWidth="1"/>
    <col min="5636" max="5636" width="9.28515625" style="328" customWidth="1"/>
    <col min="5637" max="5637" width="15" style="328" customWidth="1"/>
    <col min="5638" max="5638" width="13.7109375" style="328" customWidth="1"/>
    <col min="5639" max="5639" width="15.5703125" style="328" customWidth="1"/>
    <col min="5640" max="5640" width="24.7109375" style="328" customWidth="1"/>
    <col min="5641" max="5888" width="9.140625" style="328"/>
    <col min="5889" max="5889" width="12" style="328" customWidth="1"/>
    <col min="5890" max="5890" width="13.28515625" style="328" customWidth="1"/>
    <col min="5891" max="5891" width="12.140625" style="328" customWidth="1"/>
    <col min="5892" max="5892" width="9.28515625" style="328" customWidth="1"/>
    <col min="5893" max="5893" width="15" style="328" customWidth="1"/>
    <col min="5894" max="5894" width="13.7109375" style="328" customWidth="1"/>
    <col min="5895" max="5895" width="15.5703125" style="328" customWidth="1"/>
    <col min="5896" max="5896" width="24.7109375" style="328" customWidth="1"/>
    <col min="5897" max="6144" width="9.140625" style="328"/>
    <col min="6145" max="6145" width="12" style="328" customWidth="1"/>
    <col min="6146" max="6146" width="13.28515625" style="328" customWidth="1"/>
    <col min="6147" max="6147" width="12.140625" style="328" customWidth="1"/>
    <col min="6148" max="6148" width="9.28515625" style="328" customWidth="1"/>
    <col min="6149" max="6149" width="15" style="328" customWidth="1"/>
    <col min="6150" max="6150" width="13.7109375" style="328" customWidth="1"/>
    <col min="6151" max="6151" width="15.5703125" style="328" customWidth="1"/>
    <col min="6152" max="6152" width="24.7109375" style="328" customWidth="1"/>
    <col min="6153" max="6400" width="9.140625" style="328"/>
    <col min="6401" max="6401" width="12" style="328" customWidth="1"/>
    <col min="6402" max="6402" width="13.28515625" style="328" customWidth="1"/>
    <col min="6403" max="6403" width="12.140625" style="328" customWidth="1"/>
    <col min="6404" max="6404" width="9.28515625" style="328" customWidth="1"/>
    <col min="6405" max="6405" width="15" style="328" customWidth="1"/>
    <col min="6406" max="6406" width="13.7109375" style="328" customWidth="1"/>
    <col min="6407" max="6407" width="15.5703125" style="328" customWidth="1"/>
    <col min="6408" max="6408" width="24.7109375" style="328" customWidth="1"/>
    <col min="6409" max="6656" width="9.140625" style="328"/>
    <col min="6657" max="6657" width="12" style="328" customWidth="1"/>
    <col min="6658" max="6658" width="13.28515625" style="328" customWidth="1"/>
    <col min="6659" max="6659" width="12.140625" style="328" customWidth="1"/>
    <col min="6660" max="6660" width="9.28515625" style="328" customWidth="1"/>
    <col min="6661" max="6661" width="15" style="328" customWidth="1"/>
    <col min="6662" max="6662" width="13.7109375" style="328" customWidth="1"/>
    <col min="6663" max="6663" width="15.5703125" style="328" customWidth="1"/>
    <col min="6664" max="6664" width="24.7109375" style="328" customWidth="1"/>
    <col min="6665" max="6912" width="9.140625" style="328"/>
    <col min="6913" max="6913" width="12" style="328" customWidth="1"/>
    <col min="6914" max="6914" width="13.28515625" style="328" customWidth="1"/>
    <col min="6915" max="6915" width="12.140625" style="328" customWidth="1"/>
    <col min="6916" max="6916" width="9.28515625" style="328" customWidth="1"/>
    <col min="6917" max="6917" width="15" style="328" customWidth="1"/>
    <col min="6918" max="6918" width="13.7109375" style="328" customWidth="1"/>
    <col min="6919" max="6919" width="15.5703125" style="328" customWidth="1"/>
    <col min="6920" max="6920" width="24.7109375" style="328" customWidth="1"/>
    <col min="6921" max="7168" width="9.140625" style="328"/>
    <col min="7169" max="7169" width="12" style="328" customWidth="1"/>
    <col min="7170" max="7170" width="13.28515625" style="328" customWidth="1"/>
    <col min="7171" max="7171" width="12.140625" style="328" customWidth="1"/>
    <col min="7172" max="7172" width="9.28515625" style="328" customWidth="1"/>
    <col min="7173" max="7173" width="15" style="328" customWidth="1"/>
    <col min="7174" max="7174" width="13.7109375" style="328" customWidth="1"/>
    <col min="7175" max="7175" width="15.5703125" style="328" customWidth="1"/>
    <col min="7176" max="7176" width="24.7109375" style="328" customWidth="1"/>
    <col min="7177" max="7424" width="9.140625" style="328"/>
    <col min="7425" max="7425" width="12" style="328" customWidth="1"/>
    <col min="7426" max="7426" width="13.28515625" style="328" customWidth="1"/>
    <col min="7427" max="7427" width="12.140625" style="328" customWidth="1"/>
    <col min="7428" max="7428" width="9.28515625" style="328" customWidth="1"/>
    <col min="7429" max="7429" width="15" style="328" customWidth="1"/>
    <col min="7430" max="7430" width="13.7109375" style="328" customWidth="1"/>
    <col min="7431" max="7431" width="15.5703125" style="328" customWidth="1"/>
    <col min="7432" max="7432" width="24.7109375" style="328" customWidth="1"/>
    <col min="7433" max="7680" width="9.140625" style="328"/>
    <col min="7681" max="7681" width="12" style="328" customWidth="1"/>
    <col min="7682" max="7682" width="13.28515625" style="328" customWidth="1"/>
    <col min="7683" max="7683" width="12.140625" style="328" customWidth="1"/>
    <col min="7684" max="7684" width="9.28515625" style="328" customWidth="1"/>
    <col min="7685" max="7685" width="15" style="328" customWidth="1"/>
    <col min="7686" max="7686" width="13.7109375" style="328" customWidth="1"/>
    <col min="7687" max="7687" width="15.5703125" style="328" customWidth="1"/>
    <col min="7688" max="7688" width="24.7109375" style="328" customWidth="1"/>
    <col min="7689" max="7936" width="9.140625" style="328"/>
    <col min="7937" max="7937" width="12" style="328" customWidth="1"/>
    <col min="7938" max="7938" width="13.28515625" style="328" customWidth="1"/>
    <col min="7939" max="7939" width="12.140625" style="328" customWidth="1"/>
    <col min="7940" max="7940" width="9.28515625" style="328" customWidth="1"/>
    <col min="7941" max="7941" width="15" style="328" customWidth="1"/>
    <col min="7942" max="7942" width="13.7109375" style="328" customWidth="1"/>
    <col min="7943" max="7943" width="15.5703125" style="328" customWidth="1"/>
    <col min="7944" max="7944" width="24.7109375" style="328" customWidth="1"/>
    <col min="7945" max="8192" width="9.140625" style="328"/>
    <col min="8193" max="8193" width="12" style="328" customWidth="1"/>
    <col min="8194" max="8194" width="13.28515625" style="328" customWidth="1"/>
    <col min="8195" max="8195" width="12.140625" style="328" customWidth="1"/>
    <col min="8196" max="8196" width="9.28515625" style="328" customWidth="1"/>
    <col min="8197" max="8197" width="15" style="328" customWidth="1"/>
    <col min="8198" max="8198" width="13.7109375" style="328" customWidth="1"/>
    <col min="8199" max="8199" width="15.5703125" style="328" customWidth="1"/>
    <col min="8200" max="8200" width="24.7109375" style="328" customWidth="1"/>
    <col min="8201" max="8448" width="9.140625" style="328"/>
    <col min="8449" max="8449" width="12" style="328" customWidth="1"/>
    <col min="8450" max="8450" width="13.28515625" style="328" customWidth="1"/>
    <col min="8451" max="8451" width="12.140625" style="328" customWidth="1"/>
    <col min="8452" max="8452" width="9.28515625" style="328" customWidth="1"/>
    <col min="8453" max="8453" width="15" style="328" customWidth="1"/>
    <col min="8454" max="8454" width="13.7109375" style="328" customWidth="1"/>
    <col min="8455" max="8455" width="15.5703125" style="328" customWidth="1"/>
    <col min="8456" max="8456" width="24.7109375" style="328" customWidth="1"/>
    <col min="8457" max="8704" width="9.140625" style="328"/>
    <col min="8705" max="8705" width="12" style="328" customWidth="1"/>
    <col min="8706" max="8706" width="13.28515625" style="328" customWidth="1"/>
    <col min="8707" max="8707" width="12.140625" style="328" customWidth="1"/>
    <col min="8708" max="8708" width="9.28515625" style="328" customWidth="1"/>
    <col min="8709" max="8709" width="15" style="328" customWidth="1"/>
    <col min="8710" max="8710" width="13.7109375" style="328" customWidth="1"/>
    <col min="8711" max="8711" width="15.5703125" style="328" customWidth="1"/>
    <col min="8712" max="8712" width="24.7109375" style="328" customWidth="1"/>
    <col min="8713" max="8960" width="9.140625" style="328"/>
    <col min="8961" max="8961" width="12" style="328" customWidth="1"/>
    <col min="8962" max="8962" width="13.28515625" style="328" customWidth="1"/>
    <col min="8963" max="8963" width="12.140625" style="328" customWidth="1"/>
    <col min="8964" max="8964" width="9.28515625" style="328" customWidth="1"/>
    <col min="8965" max="8965" width="15" style="328" customWidth="1"/>
    <col min="8966" max="8966" width="13.7109375" style="328" customWidth="1"/>
    <col min="8967" max="8967" width="15.5703125" style="328" customWidth="1"/>
    <col min="8968" max="8968" width="24.7109375" style="328" customWidth="1"/>
    <col min="8969" max="9216" width="9.140625" style="328"/>
    <col min="9217" max="9217" width="12" style="328" customWidth="1"/>
    <col min="9218" max="9218" width="13.28515625" style="328" customWidth="1"/>
    <col min="9219" max="9219" width="12.140625" style="328" customWidth="1"/>
    <col min="9220" max="9220" width="9.28515625" style="328" customWidth="1"/>
    <col min="9221" max="9221" width="15" style="328" customWidth="1"/>
    <col min="9222" max="9222" width="13.7109375" style="328" customWidth="1"/>
    <col min="9223" max="9223" width="15.5703125" style="328" customWidth="1"/>
    <col min="9224" max="9224" width="24.7109375" style="328" customWidth="1"/>
    <col min="9225" max="9472" width="9.140625" style="328"/>
    <col min="9473" max="9473" width="12" style="328" customWidth="1"/>
    <col min="9474" max="9474" width="13.28515625" style="328" customWidth="1"/>
    <col min="9475" max="9475" width="12.140625" style="328" customWidth="1"/>
    <col min="9476" max="9476" width="9.28515625" style="328" customWidth="1"/>
    <col min="9477" max="9477" width="15" style="328" customWidth="1"/>
    <col min="9478" max="9478" width="13.7109375" style="328" customWidth="1"/>
    <col min="9479" max="9479" width="15.5703125" style="328" customWidth="1"/>
    <col min="9480" max="9480" width="24.7109375" style="328" customWidth="1"/>
    <col min="9481" max="9728" width="9.140625" style="328"/>
    <col min="9729" max="9729" width="12" style="328" customWidth="1"/>
    <col min="9730" max="9730" width="13.28515625" style="328" customWidth="1"/>
    <col min="9731" max="9731" width="12.140625" style="328" customWidth="1"/>
    <col min="9732" max="9732" width="9.28515625" style="328" customWidth="1"/>
    <col min="9733" max="9733" width="15" style="328" customWidth="1"/>
    <col min="9734" max="9734" width="13.7109375" style="328" customWidth="1"/>
    <col min="9735" max="9735" width="15.5703125" style="328" customWidth="1"/>
    <col min="9736" max="9736" width="24.7109375" style="328" customWidth="1"/>
    <col min="9737" max="9984" width="9.140625" style="328"/>
    <col min="9985" max="9985" width="12" style="328" customWidth="1"/>
    <col min="9986" max="9986" width="13.28515625" style="328" customWidth="1"/>
    <col min="9987" max="9987" width="12.140625" style="328" customWidth="1"/>
    <col min="9988" max="9988" width="9.28515625" style="328" customWidth="1"/>
    <col min="9989" max="9989" width="15" style="328" customWidth="1"/>
    <col min="9990" max="9990" width="13.7109375" style="328" customWidth="1"/>
    <col min="9991" max="9991" width="15.5703125" style="328" customWidth="1"/>
    <col min="9992" max="9992" width="24.7109375" style="328" customWidth="1"/>
    <col min="9993" max="10240" width="9.140625" style="328"/>
    <col min="10241" max="10241" width="12" style="328" customWidth="1"/>
    <col min="10242" max="10242" width="13.28515625" style="328" customWidth="1"/>
    <col min="10243" max="10243" width="12.140625" style="328" customWidth="1"/>
    <col min="10244" max="10244" width="9.28515625" style="328" customWidth="1"/>
    <col min="10245" max="10245" width="15" style="328" customWidth="1"/>
    <col min="10246" max="10246" width="13.7109375" style="328" customWidth="1"/>
    <col min="10247" max="10247" width="15.5703125" style="328" customWidth="1"/>
    <col min="10248" max="10248" width="24.7109375" style="328" customWidth="1"/>
    <col min="10249" max="10496" width="9.140625" style="328"/>
    <col min="10497" max="10497" width="12" style="328" customWidth="1"/>
    <col min="10498" max="10498" width="13.28515625" style="328" customWidth="1"/>
    <col min="10499" max="10499" width="12.140625" style="328" customWidth="1"/>
    <col min="10500" max="10500" width="9.28515625" style="328" customWidth="1"/>
    <col min="10501" max="10501" width="15" style="328" customWidth="1"/>
    <col min="10502" max="10502" width="13.7109375" style="328" customWidth="1"/>
    <col min="10503" max="10503" width="15.5703125" style="328" customWidth="1"/>
    <col min="10504" max="10504" width="24.7109375" style="328" customWidth="1"/>
    <col min="10505" max="10752" width="9.140625" style="328"/>
    <col min="10753" max="10753" width="12" style="328" customWidth="1"/>
    <col min="10754" max="10754" width="13.28515625" style="328" customWidth="1"/>
    <col min="10755" max="10755" width="12.140625" style="328" customWidth="1"/>
    <col min="10756" max="10756" width="9.28515625" style="328" customWidth="1"/>
    <col min="10757" max="10757" width="15" style="328" customWidth="1"/>
    <col min="10758" max="10758" width="13.7109375" style="328" customWidth="1"/>
    <col min="10759" max="10759" width="15.5703125" style="328" customWidth="1"/>
    <col min="10760" max="10760" width="24.7109375" style="328" customWidth="1"/>
    <col min="10761" max="11008" width="9.140625" style="328"/>
    <col min="11009" max="11009" width="12" style="328" customWidth="1"/>
    <col min="11010" max="11010" width="13.28515625" style="328" customWidth="1"/>
    <col min="11011" max="11011" width="12.140625" style="328" customWidth="1"/>
    <col min="11012" max="11012" width="9.28515625" style="328" customWidth="1"/>
    <col min="11013" max="11013" width="15" style="328" customWidth="1"/>
    <col min="11014" max="11014" width="13.7109375" style="328" customWidth="1"/>
    <col min="11015" max="11015" width="15.5703125" style="328" customWidth="1"/>
    <col min="11016" max="11016" width="24.7109375" style="328" customWidth="1"/>
    <col min="11017" max="11264" width="9.140625" style="328"/>
    <col min="11265" max="11265" width="12" style="328" customWidth="1"/>
    <col min="11266" max="11266" width="13.28515625" style="328" customWidth="1"/>
    <col min="11267" max="11267" width="12.140625" style="328" customWidth="1"/>
    <col min="11268" max="11268" width="9.28515625" style="328" customWidth="1"/>
    <col min="11269" max="11269" width="15" style="328" customWidth="1"/>
    <col min="11270" max="11270" width="13.7109375" style="328" customWidth="1"/>
    <col min="11271" max="11271" width="15.5703125" style="328" customWidth="1"/>
    <col min="11272" max="11272" width="24.7109375" style="328" customWidth="1"/>
    <col min="11273" max="11520" width="9.140625" style="328"/>
    <col min="11521" max="11521" width="12" style="328" customWidth="1"/>
    <col min="11522" max="11522" width="13.28515625" style="328" customWidth="1"/>
    <col min="11523" max="11523" width="12.140625" style="328" customWidth="1"/>
    <col min="11524" max="11524" width="9.28515625" style="328" customWidth="1"/>
    <col min="11525" max="11525" width="15" style="328" customWidth="1"/>
    <col min="11526" max="11526" width="13.7109375" style="328" customWidth="1"/>
    <col min="11527" max="11527" width="15.5703125" style="328" customWidth="1"/>
    <col min="11528" max="11528" width="24.7109375" style="328" customWidth="1"/>
    <col min="11529" max="11776" width="9.140625" style="328"/>
    <col min="11777" max="11777" width="12" style="328" customWidth="1"/>
    <col min="11778" max="11778" width="13.28515625" style="328" customWidth="1"/>
    <col min="11779" max="11779" width="12.140625" style="328" customWidth="1"/>
    <col min="11780" max="11780" width="9.28515625" style="328" customWidth="1"/>
    <col min="11781" max="11781" width="15" style="328" customWidth="1"/>
    <col min="11782" max="11782" width="13.7109375" style="328" customWidth="1"/>
    <col min="11783" max="11783" width="15.5703125" style="328" customWidth="1"/>
    <col min="11784" max="11784" width="24.7109375" style="328" customWidth="1"/>
    <col min="11785" max="12032" width="9.140625" style="328"/>
    <col min="12033" max="12033" width="12" style="328" customWidth="1"/>
    <col min="12034" max="12034" width="13.28515625" style="328" customWidth="1"/>
    <col min="12035" max="12035" width="12.140625" style="328" customWidth="1"/>
    <col min="12036" max="12036" width="9.28515625" style="328" customWidth="1"/>
    <col min="12037" max="12037" width="15" style="328" customWidth="1"/>
    <col min="12038" max="12038" width="13.7109375" style="328" customWidth="1"/>
    <col min="12039" max="12039" width="15.5703125" style="328" customWidth="1"/>
    <col min="12040" max="12040" width="24.7109375" style="328" customWidth="1"/>
    <col min="12041" max="12288" width="9.140625" style="328"/>
    <col min="12289" max="12289" width="12" style="328" customWidth="1"/>
    <col min="12290" max="12290" width="13.28515625" style="328" customWidth="1"/>
    <col min="12291" max="12291" width="12.140625" style="328" customWidth="1"/>
    <col min="12292" max="12292" width="9.28515625" style="328" customWidth="1"/>
    <col min="12293" max="12293" width="15" style="328" customWidth="1"/>
    <col min="12294" max="12294" width="13.7109375" style="328" customWidth="1"/>
    <col min="12295" max="12295" width="15.5703125" style="328" customWidth="1"/>
    <col min="12296" max="12296" width="24.7109375" style="328" customWidth="1"/>
    <col min="12297" max="12544" width="9.140625" style="328"/>
    <col min="12545" max="12545" width="12" style="328" customWidth="1"/>
    <col min="12546" max="12546" width="13.28515625" style="328" customWidth="1"/>
    <col min="12547" max="12547" width="12.140625" style="328" customWidth="1"/>
    <col min="12548" max="12548" width="9.28515625" style="328" customWidth="1"/>
    <col min="12549" max="12549" width="15" style="328" customWidth="1"/>
    <col min="12550" max="12550" width="13.7109375" style="328" customWidth="1"/>
    <col min="12551" max="12551" width="15.5703125" style="328" customWidth="1"/>
    <col min="12552" max="12552" width="24.7109375" style="328" customWidth="1"/>
    <col min="12553" max="12800" width="9.140625" style="328"/>
    <col min="12801" max="12801" width="12" style="328" customWidth="1"/>
    <col min="12802" max="12802" width="13.28515625" style="328" customWidth="1"/>
    <col min="12803" max="12803" width="12.140625" style="328" customWidth="1"/>
    <col min="12804" max="12804" width="9.28515625" style="328" customWidth="1"/>
    <col min="12805" max="12805" width="15" style="328" customWidth="1"/>
    <col min="12806" max="12806" width="13.7109375" style="328" customWidth="1"/>
    <col min="12807" max="12807" width="15.5703125" style="328" customWidth="1"/>
    <col min="12808" max="12808" width="24.7109375" style="328" customWidth="1"/>
    <col min="12809" max="13056" width="9.140625" style="328"/>
    <col min="13057" max="13057" width="12" style="328" customWidth="1"/>
    <col min="13058" max="13058" width="13.28515625" style="328" customWidth="1"/>
    <col min="13059" max="13059" width="12.140625" style="328" customWidth="1"/>
    <col min="13060" max="13060" width="9.28515625" style="328" customWidth="1"/>
    <col min="13061" max="13061" width="15" style="328" customWidth="1"/>
    <col min="13062" max="13062" width="13.7109375" style="328" customWidth="1"/>
    <col min="13063" max="13063" width="15.5703125" style="328" customWidth="1"/>
    <col min="13064" max="13064" width="24.7109375" style="328" customWidth="1"/>
    <col min="13065" max="13312" width="9.140625" style="328"/>
    <col min="13313" max="13313" width="12" style="328" customWidth="1"/>
    <col min="13314" max="13314" width="13.28515625" style="328" customWidth="1"/>
    <col min="13315" max="13315" width="12.140625" style="328" customWidth="1"/>
    <col min="13316" max="13316" width="9.28515625" style="328" customWidth="1"/>
    <col min="13317" max="13317" width="15" style="328" customWidth="1"/>
    <col min="13318" max="13318" width="13.7109375" style="328" customWidth="1"/>
    <col min="13319" max="13319" width="15.5703125" style="328" customWidth="1"/>
    <col min="13320" max="13320" width="24.7109375" style="328" customWidth="1"/>
    <col min="13321" max="13568" width="9.140625" style="328"/>
    <col min="13569" max="13569" width="12" style="328" customWidth="1"/>
    <col min="13570" max="13570" width="13.28515625" style="328" customWidth="1"/>
    <col min="13571" max="13571" width="12.140625" style="328" customWidth="1"/>
    <col min="13572" max="13572" width="9.28515625" style="328" customWidth="1"/>
    <col min="13573" max="13573" width="15" style="328" customWidth="1"/>
    <col min="13574" max="13574" width="13.7109375" style="328" customWidth="1"/>
    <col min="13575" max="13575" width="15.5703125" style="328" customWidth="1"/>
    <col min="13576" max="13576" width="24.7109375" style="328" customWidth="1"/>
    <col min="13577" max="13824" width="9.140625" style="328"/>
    <col min="13825" max="13825" width="12" style="328" customWidth="1"/>
    <col min="13826" max="13826" width="13.28515625" style="328" customWidth="1"/>
    <col min="13827" max="13827" width="12.140625" style="328" customWidth="1"/>
    <col min="13828" max="13828" width="9.28515625" style="328" customWidth="1"/>
    <col min="13829" max="13829" width="15" style="328" customWidth="1"/>
    <col min="13830" max="13830" width="13.7109375" style="328" customWidth="1"/>
    <col min="13831" max="13831" width="15.5703125" style="328" customWidth="1"/>
    <col min="13832" max="13832" width="24.7109375" style="328" customWidth="1"/>
    <col min="13833" max="14080" width="9.140625" style="328"/>
    <col min="14081" max="14081" width="12" style="328" customWidth="1"/>
    <col min="14082" max="14082" width="13.28515625" style="328" customWidth="1"/>
    <col min="14083" max="14083" width="12.140625" style="328" customWidth="1"/>
    <col min="14084" max="14084" width="9.28515625" style="328" customWidth="1"/>
    <col min="14085" max="14085" width="15" style="328" customWidth="1"/>
    <col min="14086" max="14086" width="13.7109375" style="328" customWidth="1"/>
    <col min="14087" max="14087" width="15.5703125" style="328" customWidth="1"/>
    <col min="14088" max="14088" width="24.7109375" style="328" customWidth="1"/>
    <col min="14089" max="14336" width="9.140625" style="328"/>
    <col min="14337" max="14337" width="12" style="328" customWidth="1"/>
    <col min="14338" max="14338" width="13.28515625" style="328" customWidth="1"/>
    <col min="14339" max="14339" width="12.140625" style="328" customWidth="1"/>
    <col min="14340" max="14340" width="9.28515625" style="328" customWidth="1"/>
    <col min="14341" max="14341" width="15" style="328" customWidth="1"/>
    <col min="14342" max="14342" width="13.7109375" style="328" customWidth="1"/>
    <col min="14343" max="14343" width="15.5703125" style="328" customWidth="1"/>
    <col min="14344" max="14344" width="24.7109375" style="328" customWidth="1"/>
    <col min="14345" max="14592" width="9.140625" style="328"/>
    <col min="14593" max="14593" width="12" style="328" customWidth="1"/>
    <col min="14594" max="14594" width="13.28515625" style="328" customWidth="1"/>
    <col min="14595" max="14595" width="12.140625" style="328" customWidth="1"/>
    <col min="14596" max="14596" width="9.28515625" style="328" customWidth="1"/>
    <col min="14597" max="14597" width="15" style="328" customWidth="1"/>
    <col min="14598" max="14598" width="13.7109375" style="328" customWidth="1"/>
    <col min="14599" max="14599" width="15.5703125" style="328" customWidth="1"/>
    <col min="14600" max="14600" width="24.7109375" style="328" customWidth="1"/>
    <col min="14601" max="14848" width="9.140625" style="328"/>
    <col min="14849" max="14849" width="12" style="328" customWidth="1"/>
    <col min="14850" max="14850" width="13.28515625" style="328" customWidth="1"/>
    <col min="14851" max="14851" width="12.140625" style="328" customWidth="1"/>
    <col min="14852" max="14852" width="9.28515625" style="328" customWidth="1"/>
    <col min="14853" max="14853" width="15" style="328" customWidth="1"/>
    <col min="14854" max="14854" width="13.7109375" style="328" customWidth="1"/>
    <col min="14855" max="14855" width="15.5703125" style="328" customWidth="1"/>
    <col min="14856" max="14856" width="24.7109375" style="328" customWidth="1"/>
    <col min="14857" max="15104" width="9.140625" style="328"/>
    <col min="15105" max="15105" width="12" style="328" customWidth="1"/>
    <col min="15106" max="15106" width="13.28515625" style="328" customWidth="1"/>
    <col min="15107" max="15107" width="12.140625" style="328" customWidth="1"/>
    <col min="15108" max="15108" width="9.28515625" style="328" customWidth="1"/>
    <col min="15109" max="15109" width="15" style="328" customWidth="1"/>
    <col min="15110" max="15110" width="13.7109375" style="328" customWidth="1"/>
    <col min="15111" max="15111" width="15.5703125" style="328" customWidth="1"/>
    <col min="15112" max="15112" width="24.7109375" style="328" customWidth="1"/>
    <col min="15113" max="15360" width="9.140625" style="328"/>
    <col min="15361" max="15361" width="12" style="328" customWidth="1"/>
    <col min="15362" max="15362" width="13.28515625" style="328" customWidth="1"/>
    <col min="15363" max="15363" width="12.140625" style="328" customWidth="1"/>
    <col min="15364" max="15364" width="9.28515625" style="328" customWidth="1"/>
    <col min="15365" max="15365" width="15" style="328" customWidth="1"/>
    <col min="15366" max="15366" width="13.7109375" style="328" customWidth="1"/>
    <col min="15367" max="15367" width="15.5703125" style="328" customWidth="1"/>
    <col min="15368" max="15368" width="24.7109375" style="328" customWidth="1"/>
    <col min="15369" max="15616" width="9.140625" style="328"/>
    <col min="15617" max="15617" width="12" style="328" customWidth="1"/>
    <col min="15618" max="15618" width="13.28515625" style="328" customWidth="1"/>
    <col min="15619" max="15619" width="12.140625" style="328" customWidth="1"/>
    <col min="15620" max="15620" width="9.28515625" style="328" customWidth="1"/>
    <col min="15621" max="15621" width="15" style="328" customWidth="1"/>
    <col min="15622" max="15622" width="13.7109375" style="328" customWidth="1"/>
    <col min="15623" max="15623" width="15.5703125" style="328" customWidth="1"/>
    <col min="15624" max="15624" width="24.7109375" style="328" customWidth="1"/>
    <col min="15625" max="15872" width="9.140625" style="328"/>
    <col min="15873" max="15873" width="12" style="328" customWidth="1"/>
    <col min="15874" max="15874" width="13.28515625" style="328" customWidth="1"/>
    <col min="15875" max="15875" width="12.140625" style="328" customWidth="1"/>
    <col min="15876" max="15876" width="9.28515625" style="328" customWidth="1"/>
    <col min="15877" max="15877" width="15" style="328" customWidth="1"/>
    <col min="15878" max="15878" width="13.7109375" style="328" customWidth="1"/>
    <col min="15879" max="15879" width="15.5703125" style="328" customWidth="1"/>
    <col min="15880" max="15880" width="24.7109375" style="328" customWidth="1"/>
    <col min="15881" max="16128" width="9.140625" style="328"/>
    <col min="16129" max="16129" width="12" style="328" customWidth="1"/>
    <col min="16130" max="16130" width="13.28515625" style="328" customWidth="1"/>
    <col min="16131" max="16131" width="12.140625" style="328" customWidth="1"/>
    <col min="16132" max="16132" width="9.28515625" style="328" customWidth="1"/>
    <col min="16133" max="16133" width="15" style="328" customWidth="1"/>
    <col min="16134" max="16134" width="13.7109375" style="328" customWidth="1"/>
    <col min="16135" max="16135" width="15.5703125" style="328" customWidth="1"/>
    <col min="16136" max="16136" width="24.7109375" style="328" customWidth="1"/>
    <col min="16137" max="16384" width="9.140625" style="328"/>
  </cols>
  <sheetData>
    <row r="1" spans="1:8" ht="33.75" x14ac:dyDescent="0.25">
      <c r="A1" s="396" t="s">
        <v>1018</v>
      </c>
      <c r="B1" s="396"/>
      <c r="C1" s="396"/>
      <c r="D1" s="396"/>
      <c r="E1" s="396"/>
      <c r="F1" s="396"/>
      <c r="G1" s="396"/>
    </row>
    <row r="2" spans="1:8" ht="15" x14ac:dyDescent="0.25">
      <c r="A2" s="329" t="s">
        <v>1019</v>
      </c>
      <c r="B2" s="330"/>
      <c r="C2" s="330"/>
      <c r="D2" s="330"/>
      <c r="E2" s="330"/>
      <c r="F2" s="330"/>
      <c r="G2" s="330"/>
      <c r="H2" s="330"/>
    </row>
    <row r="3" spans="1:8" ht="15" x14ac:dyDescent="0.25">
      <c r="A3" s="331" t="s">
        <v>1020</v>
      </c>
      <c r="B3" s="330"/>
      <c r="C3" s="330"/>
      <c r="D3" s="330"/>
      <c r="E3" s="330"/>
      <c r="F3" s="330"/>
      <c r="G3" s="330"/>
      <c r="H3" s="330"/>
    </row>
    <row r="4" spans="1:8" ht="15" x14ac:dyDescent="0.25">
      <c r="A4" s="332" t="s">
        <v>13</v>
      </c>
      <c r="B4" s="332" t="s">
        <v>1021</v>
      </c>
      <c r="C4" s="332" t="s">
        <v>1022</v>
      </c>
      <c r="D4" s="332" t="s">
        <v>645</v>
      </c>
      <c r="E4" s="332" t="s">
        <v>130</v>
      </c>
      <c r="F4" s="332" t="s">
        <v>1023</v>
      </c>
      <c r="G4" s="332" t="s">
        <v>11</v>
      </c>
      <c r="H4" s="333" t="s">
        <v>1024</v>
      </c>
    </row>
    <row r="5" spans="1:8" ht="15" x14ac:dyDescent="0.25">
      <c r="A5" s="334" t="s">
        <v>154</v>
      </c>
      <c r="B5" s="334" t="s">
        <v>1025</v>
      </c>
      <c r="C5" s="334" t="s">
        <v>1026</v>
      </c>
      <c r="D5" s="334" t="s">
        <v>1022</v>
      </c>
      <c r="E5" s="334" t="s">
        <v>1025</v>
      </c>
      <c r="F5" s="334" t="s">
        <v>1027</v>
      </c>
      <c r="G5" s="334" t="s">
        <v>1028</v>
      </c>
      <c r="H5" s="331" t="s">
        <v>1029</v>
      </c>
    </row>
    <row r="6" spans="1:8" ht="15" x14ac:dyDescent="0.25">
      <c r="A6" s="335" t="s">
        <v>1030</v>
      </c>
      <c r="B6" s="335" t="s">
        <v>1031</v>
      </c>
      <c r="C6" s="336" t="str">
        <f>VLOOKUP(LEFT(B6,2),$E$19:$F$24,2,FALSE)</f>
        <v>Tek. Arsitek</v>
      </c>
      <c r="D6" s="336">
        <f>VLOOKUP(MID(B6,3,2)+0,$G$19:$H$23,2,FALSE)</f>
        <v>1989</v>
      </c>
      <c r="E6" s="336">
        <f>VLOOKUP(RIGHT(B6,2),$A$19:$C$26,2,FALSE)</f>
        <v>1500000</v>
      </c>
      <c r="F6" s="403">
        <f>VLOOKUP(RIGHT(B6,2),$A$19:$C$26,3,FALSE)</f>
        <v>0.1</v>
      </c>
      <c r="G6" s="336">
        <f>E6+(E6*F6)</f>
        <v>1650000</v>
      </c>
      <c r="H6" s="331" t="s">
        <v>1032</v>
      </c>
    </row>
    <row r="7" spans="1:8" ht="15" x14ac:dyDescent="0.25">
      <c r="A7" s="337" t="s">
        <v>1033</v>
      </c>
      <c r="B7" s="337" t="s">
        <v>1034</v>
      </c>
      <c r="C7" s="336" t="str">
        <f t="shared" ref="C7:C15" si="0">VLOOKUP(LEFT(B7,2),$E$19:$F$24,2,FALSE)</f>
        <v>Tek. Sipil</v>
      </c>
      <c r="D7" s="336">
        <f t="shared" ref="D7:D15" si="1">VLOOKUP(MID(B7,3,2)+0,$G$19:$H$23,2,FALSE)</f>
        <v>1990</v>
      </c>
      <c r="E7" s="336">
        <f t="shared" ref="E7:E15" si="2">VLOOKUP(RIGHT(B7,2),$A$19:$C$26,2,FALSE)</f>
        <v>1600000</v>
      </c>
      <c r="F7" s="403">
        <f t="shared" ref="F7:F15" si="3">VLOOKUP(RIGHT(B7,2),$A$19:$C$26,3,FALSE)</f>
        <v>0.14000000000000001</v>
      </c>
      <c r="G7" s="336">
        <f t="shared" ref="G7:G15" si="4">E7+(E7*F7)</f>
        <v>1824000</v>
      </c>
      <c r="H7" s="331" t="s">
        <v>1035</v>
      </c>
    </row>
    <row r="8" spans="1:8" ht="15" x14ac:dyDescent="0.25">
      <c r="A8" s="337" t="s">
        <v>1036</v>
      </c>
      <c r="B8" s="337" t="s">
        <v>1037</v>
      </c>
      <c r="C8" s="336" t="str">
        <f t="shared" si="0"/>
        <v>Hukum</v>
      </c>
      <c r="D8" s="336">
        <f t="shared" si="1"/>
        <v>1987</v>
      </c>
      <c r="E8" s="336">
        <f t="shared" si="2"/>
        <v>1650000</v>
      </c>
      <c r="F8" s="403">
        <f t="shared" si="3"/>
        <v>0.16</v>
      </c>
      <c r="G8" s="336">
        <f t="shared" si="4"/>
        <v>1914000</v>
      </c>
      <c r="H8" s="331" t="s">
        <v>1038</v>
      </c>
    </row>
    <row r="9" spans="1:8" ht="15" x14ac:dyDescent="0.25">
      <c r="A9" s="337" t="s">
        <v>1039</v>
      </c>
      <c r="B9" s="337" t="s">
        <v>1040</v>
      </c>
      <c r="C9" s="336" t="str">
        <f t="shared" si="0"/>
        <v>Ekonomi</v>
      </c>
      <c r="D9" s="336">
        <f t="shared" si="1"/>
        <v>1988</v>
      </c>
      <c r="E9" s="336">
        <f t="shared" si="2"/>
        <v>1550000</v>
      </c>
      <c r="F9" s="403">
        <f t="shared" si="3"/>
        <v>0.12</v>
      </c>
      <c r="G9" s="336">
        <f t="shared" si="4"/>
        <v>1736000</v>
      </c>
      <c r="H9" s="330"/>
    </row>
    <row r="10" spans="1:8" ht="15" x14ac:dyDescent="0.25">
      <c r="A10" s="337" t="s">
        <v>1041</v>
      </c>
      <c r="B10" s="337" t="s">
        <v>1042</v>
      </c>
      <c r="C10" s="336" t="str">
        <f t="shared" si="0"/>
        <v>Sospol</v>
      </c>
      <c r="D10" s="336">
        <f t="shared" si="1"/>
        <v>1988</v>
      </c>
      <c r="E10" s="336">
        <f t="shared" si="2"/>
        <v>1750000</v>
      </c>
      <c r="F10" s="403">
        <f t="shared" si="3"/>
        <v>0.2</v>
      </c>
      <c r="G10" s="336">
        <f t="shared" si="4"/>
        <v>2100000</v>
      </c>
      <c r="H10" s="330"/>
    </row>
    <row r="11" spans="1:8" ht="15" x14ac:dyDescent="0.25">
      <c r="A11" s="337" t="s">
        <v>288</v>
      </c>
      <c r="B11" s="337" t="s">
        <v>1043</v>
      </c>
      <c r="C11" s="336" t="str">
        <f t="shared" si="0"/>
        <v>Tek. Arsitek</v>
      </c>
      <c r="D11" s="336">
        <f t="shared" si="1"/>
        <v>1987</v>
      </c>
      <c r="E11" s="336">
        <f t="shared" si="2"/>
        <v>1700000</v>
      </c>
      <c r="F11" s="403">
        <f t="shared" si="3"/>
        <v>0.18</v>
      </c>
      <c r="G11" s="336">
        <f t="shared" si="4"/>
        <v>2006000</v>
      </c>
      <c r="H11" s="330"/>
    </row>
    <row r="12" spans="1:8" ht="15" x14ac:dyDescent="0.25">
      <c r="A12" s="337" t="s">
        <v>1044</v>
      </c>
      <c r="B12" s="337" t="s">
        <v>1045</v>
      </c>
      <c r="C12" s="336" t="str">
        <f t="shared" si="0"/>
        <v>Tek. Sipil</v>
      </c>
      <c r="D12" s="336">
        <f t="shared" si="1"/>
        <v>1988</v>
      </c>
      <c r="E12" s="336">
        <f t="shared" si="2"/>
        <v>1700000</v>
      </c>
      <c r="F12" s="403">
        <f t="shared" si="3"/>
        <v>0.18</v>
      </c>
      <c r="G12" s="336">
        <f t="shared" si="4"/>
        <v>2006000</v>
      </c>
      <c r="H12" s="330"/>
    </row>
    <row r="13" spans="1:8" ht="15" x14ac:dyDescent="0.25">
      <c r="A13" s="337" t="s">
        <v>1046</v>
      </c>
      <c r="B13" s="337" t="s">
        <v>1047</v>
      </c>
      <c r="C13" s="336" t="str">
        <f t="shared" si="0"/>
        <v>Ekonomi</v>
      </c>
      <c r="D13" s="336">
        <f t="shared" si="1"/>
        <v>1990</v>
      </c>
      <c r="E13" s="336">
        <f t="shared" si="2"/>
        <v>1600000</v>
      </c>
      <c r="F13" s="403">
        <f t="shared" si="3"/>
        <v>0.14000000000000001</v>
      </c>
      <c r="G13" s="336">
        <f t="shared" si="4"/>
        <v>1824000</v>
      </c>
      <c r="H13" s="330"/>
    </row>
    <row r="14" spans="1:8" ht="15" x14ac:dyDescent="0.25">
      <c r="A14" s="337" t="s">
        <v>343</v>
      </c>
      <c r="B14" s="337" t="s">
        <v>1048</v>
      </c>
      <c r="C14" s="336" t="str">
        <f t="shared" si="0"/>
        <v>Hukum</v>
      </c>
      <c r="D14" s="336">
        <f t="shared" si="1"/>
        <v>1988</v>
      </c>
      <c r="E14" s="336">
        <f t="shared" si="2"/>
        <v>1500000</v>
      </c>
      <c r="F14" s="403">
        <f t="shared" si="3"/>
        <v>0.1</v>
      </c>
      <c r="G14" s="336">
        <f t="shared" si="4"/>
        <v>1650000</v>
      </c>
      <c r="H14" s="330"/>
    </row>
    <row r="15" spans="1:8" ht="15" x14ac:dyDescent="0.25">
      <c r="A15" s="337" t="s">
        <v>1049</v>
      </c>
      <c r="B15" s="337" t="s">
        <v>1050</v>
      </c>
      <c r="C15" s="336" t="str">
        <f t="shared" si="0"/>
        <v>Sospol</v>
      </c>
      <c r="D15" s="336">
        <f t="shared" si="1"/>
        <v>1987</v>
      </c>
      <c r="E15" s="336">
        <f t="shared" si="2"/>
        <v>1800000</v>
      </c>
      <c r="F15" s="403">
        <f t="shared" si="3"/>
        <v>0.22</v>
      </c>
      <c r="G15" s="336">
        <f t="shared" si="4"/>
        <v>2196000</v>
      </c>
      <c r="H15" s="330"/>
    </row>
    <row r="16" spans="1:8" ht="15" x14ac:dyDescent="0.25">
      <c r="A16" s="330"/>
      <c r="B16" s="338" t="s">
        <v>1051</v>
      </c>
      <c r="C16" s="330"/>
      <c r="D16" s="330"/>
      <c r="E16" s="339">
        <v>16350000</v>
      </c>
      <c r="F16" s="339">
        <v>2556000</v>
      </c>
      <c r="G16" s="339">
        <v>18906000</v>
      </c>
      <c r="H16" s="330"/>
    </row>
    <row r="17" spans="1:8" ht="15" x14ac:dyDescent="0.25">
      <c r="A17" s="340" t="s">
        <v>1052</v>
      </c>
      <c r="B17" s="330"/>
      <c r="C17" s="330"/>
      <c r="D17" s="330"/>
      <c r="E17" s="330"/>
      <c r="F17" s="330"/>
      <c r="G17" s="330"/>
      <c r="H17" s="330"/>
    </row>
    <row r="18" spans="1:8" ht="15" x14ac:dyDescent="0.25">
      <c r="A18" s="341" t="s">
        <v>1053</v>
      </c>
      <c r="B18" s="330"/>
      <c r="C18" s="330"/>
      <c r="D18" s="330"/>
      <c r="E18" s="341" t="s">
        <v>1054</v>
      </c>
      <c r="F18" s="330"/>
      <c r="G18" s="330"/>
      <c r="H18" s="330"/>
    </row>
    <row r="19" spans="1:8" ht="15" x14ac:dyDescent="0.25">
      <c r="A19" s="331" t="s">
        <v>1021</v>
      </c>
      <c r="B19" s="331" t="s">
        <v>1055</v>
      </c>
      <c r="C19" s="331" t="s">
        <v>1023</v>
      </c>
      <c r="D19" s="330"/>
      <c r="E19" s="331" t="s">
        <v>1021</v>
      </c>
      <c r="F19" s="331" t="s">
        <v>1026</v>
      </c>
      <c r="G19" s="330" t="s">
        <v>1198</v>
      </c>
      <c r="H19" s="330" t="s">
        <v>1199</v>
      </c>
    </row>
    <row r="20" spans="1:8" ht="15" x14ac:dyDescent="0.25">
      <c r="A20" s="331" t="s">
        <v>295</v>
      </c>
      <c r="B20" s="342">
        <v>1500000</v>
      </c>
      <c r="C20" s="343">
        <v>0.1</v>
      </c>
      <c r="D20" s="330"/>
      <c r="E20" s="331" t="s">
        <v>1056</v>
      </c>
      <c r="F20" s="331" t="s">
        <v>1057</v>
      </c>
      <c r="G20" s="330">
        <v>87</v>
      </c>
      <c r="H20" s="330">
        <v>1987</v>
      </c>
    </row>
    <row r="21" spans="1:8" ht="15" x14ac:dyDescent="0.25">
      <c r="A21" s="331" t="s">
        <v>320</v>
      </c>
      <c r="B21" s="342">
        <v>1550000</v>
      </c>
      <c r="C21" s="343">
        <v>0.12</v>
      </c>
      <c r="D21" s="330"/>
      <c r="E21" s="331" t="s">
        <v>1058</v>
      </c>
      <c r="F21" s="331" t="s">
        <v>1059</v>
      </c>
      <c r="G21" s="330">
        <v>88</v>
      </c>
      <c r="H21" s="330">
        <v>1988</v>
      </c>
    </row>
    <row r="22" spans="1:8" ht="15" x14ac:dyDescent="0.25">
      <c r="A22" s="331" t="s">
        <v>321</v>
      </c>
      <c r="B22" s="342">
        <v>1600000</v>
      </c>
      <c r="C22" s="343">
        <v>0.14000000000000001</v>
      </c>
      <c r="D22" s="330"/>
      <c r="E22" s="331" t="s">
        <v>1060</v>
      </c>
      <c r="F22" s="331" t="s">
        <v>1061</v>
      </c>
      <c r="G22" s="330">
        <v>89</v>
      </c>
      <c r="H22" s="330">
        <v>1989</v>
      </c>
    </row>
    <row r="23" spans="1:8" ht="15" x14ac:dyDescent="0.25">
      <c r="A23" s="331" t="s">
        <v>1062</v>
      </c>
      <c r="B23" s="342">
        <v>1650000</v>
      </c>
      <c r="C23" s="343">
        <v>0.16</v>
      </c>
      <c r="D23" s="330"/>
      <c r="E23" s="331" t="s">
        <v>1063</v>
      </c>
      <c r="F23" s="331" t="s">
        <v>1064</v>
      </c>
      <c r="G23" s="330">
        <v>90</v>
      </c>
      <c r="H23" s="330">
        <v>1990</v>
      </c>
    </row>
    <row r="24" spans="1:8" ht="15" x14ac:dyDescent="0.25">
      <c r="A24" s="331" t="s">
        <v>1065</v>
      </c>
      <c r="B24" s="342">
        <v>1700000</v>
      </c>
      <c r="C24" s="343">
        <v>0.18</v>
      </c>
      <c r="D24" s="330"/>
      <c r="E24" s="331" t="s">
        <v>1066</v>
      </c>
      <c r="F24" s="331" t="s">
        <v>1067</v>
      </c>
      <c r="G24" s="330"/>
      <c r="H24" s="330"/>
    </row>
    <row r="25" spans="1:8" ht="15" x14ac:dyDescent="0.25">
      <c r="A25" s="331" t="s">
        <v>1068</v>
      </c>
      <c r="B25" s="342">
        <v>1750000</v>
      </c>
      <c r="C25" s="343">
        <v>0.2</v>
      </c>
      <c r="D25" s="330"/>
      <c r="E25" s="330"/>
      <c r="F25" s="330"/>
      <c r="G25" s="330"/>
      <c r="H25" s="330"/>
    </row>
    <row r="26" spans="1:8" ht="15" x14ac:dyDescent="0.25">
      <c r="A26" s="330" t="s">
        <v>1069</v>
      </c>
      <c r="B26" s="342">
        <v>1800000</v>
      </c>
      <c r="C26" s="343">
        <v>0.22</v>
      </c>
      <c r="D26" s="330"/>
      <c r="E26" s="330"/>
      <c r="F26" s="330"/>
      <c r="G26" s="330"/>
      <c r="H26" s="330"/>
    </row>
    <row r="27" spans="1:8" x14ac:dyDescent="0.25">
      <c r="A27" s="330"/>
      <c r="B27" s="330"/>
      <c r="C27" s="330"/>
      <c r="D27" s="330"/>
      <c r="E27" s="330"/>
      <c r="F27" s="330"/>
      <c r="G27" s="330"/>
      <c r="H27" s="330"/>
    </row>
    <row r="28" spans="1:8" x14ac:dyDescent="0.25">
      <c r="A28" s="330"/>
      <c r="B28" s="330"/>
      <c r="C28" s="330"/>
      <c r="D28" s="330"/>
      <c r="E28" s="330"/>
      <c r="F28" s="330"/>
      <c r="G28" s="330"/>
      <c r="H28" s="330"/>
    </row>
    <row r="29" spans="1:8" x14ac:dyDescent="0.25">
      <c r="A29" s="330"/>
      <c r="B29" s="330"/>
      <c r="C29" s="330"/>
      <c r="D29" s="330"/>
      <c r="E29" s="330"/>
      <c r="F29" s="330"/>
      <c r="G29" s="330"/>
      <c r="H29" s="330"/>
    </row>
    <row r="30" spans="1:8" x14ac:dyDescent="0.25">
      <c r="A30" s="330"/>
      <c r="B30" s="330"/>
      <c r="C30" s="330"/>
      <c r="D30" s="330"/>
      <c r="E30" s="330"/>
      <c r="F30" s="330"/>
      <c r="G30" s="330"/>
      <c r="H30" s="330"/>
    </row>
    <row r="31" spans="1:8" x14ac:dyDescent="0.25">
      <c r="A31" s="330"/>
      <c r="B31" s="330"/>
      <c r="C31" s="330"/>
      <c r="D31" s="330"/>
      <c r="E31" s="330"/>
      <c r="F31" s="330"/>
      <c r="G31" s="330"/>
      <c r="H31" s="330"/>
    </row>
    <row r="32" spans="1:8" x14ac:dyDescent="0.25">
      <c r="A32" s="330"/>
      <c r="B32" s="330"/>
      <c r="C32" s="330"/>
      <c r="D32" s="330"/>
      <c r="E32" s="330"/>
      <c r="F32" s="330"/>
      <c r="G32" s="330"/>
      <c r="H32" s="33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VLOOKUP_FALSE</vt:lpstr>
      <vt:lpstr>HLOOKUP_FALSE</vt:lpstr>
      <vt:lpstr>VHLOOKUP_TRUE</vt:lpstr>
      <vt:lpstr>latihan1A</vt:lpstr>
      <vt:lpstr>Latihan1B</vt:lpstr>
      <vt:lpstr>latihan1c</vt:lpstr>
      <vt:lpstr>latihan 2</vt:lpstr>
      <vt:lpstr>latihan 3</vt:lpstr>
      <vt:lpstr>latihan 4</vt:lpstr>
      <vt:lpstr>Latihan 5</vt:lpstr>
      <vt:lpstr>Latihan 6</vt:lpstr>
      <vt:lpstr>Latihan 8</vt:lpstr>
      <vt:lpstr>Latihan 7</vt:lpstr>
      <vt:lpstr>Latihan 9</vt:lpstr>
      <vt:lpstr>Latihan 10</vt:lpstr>
      <vt:lpstr>Latihan 11</vt:lpstr>
      <vt:lpstr>latihan 12</vt:lpstr>
      <vt:lpstr>Sheet1</vt:lpstr>
      <vt:lpstr>Latihan13</vt:lpstr>
      <vt:lpstr>angka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ASUS</cp:lastModifiedBy>
  <dcterms:created xsi:type="dcterms:W3CDTF">2015-03-17T22:16:51Z</dcterms:created>
  <dcterms:modified xsi:type="dcterms:W3CDTF">2023-02-21T22:41:40Z</dcterms:modified>
</cp:coreProperties>
</file>