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5D8EB2CC-4A28-48C6-817C-A63689359579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Лист16" sheetId="19" r:id="rId16"/>
    <sheet name="Лист17" sheetId="16" r:id="rId17"/>
    <sheet name="Лист18" sheetId="17" r:id="rId18"/>
    <sheet name="Лист19" sheetId="1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6" l="1"/>
  <c r="G7" i="2"/>
  <c r="F10" i="11" l="1"/>
  <c r="E10" i="11"/>
  <c r="D10" i="11"/>
  <c r="C10" i="11"/>
  <c r="B10" i="11"/>
  <c r="B7" i="9"/>
  <c r="B6" i="9"/>
  <c r="B5" i="9"/>
  <c r="B4" i="9"/>
  <c r="B3" i="9"/>
  <c r="B8" i="5"/>
  <c r="B7" i="5"/>
  <c r="B6" i="5"/>
  <c r="B5" i="5"/>
  <c r="B4" i="5"/>
  <c r="B3" i="18" l="1"/>
  <c r="B4" i="11" l="1"/>
  <c r="B9" i="11" s="1"/>
  <c r="G9" i="11"/>
  <c r="D4" i="11" l="1"/>
  <c r="E4" i="11" s="1"/>
  <c r="F4" i="11" s="1"/>
  <c r="C6" i="11"/>
  <c r="C8" i="11"/>
  <c r="D8" i="11" s="1"/>
  <c r="C7" i="11"/>
  <c r="C5" i="11"/>
  <c r="D6" i="11" l="1"/>
  <c r="E6" i="11" s="1"/>
  <c r="D7" i="11"/>
  <c r="E7" i="11" s="1"/>
  <c r="F7" i="11" s="1"/>
  <c r="D13" i="13" s="1"/>
  <c r="B13" i="13" s="1"/>
  <c r="E8" i="11"/>
  <c r="F8" i="11" s="1"/>
  <c r="D14" i="13" s="1"/>
  <c r="B14" i="13" s="1"/>
  <c r="C10" i="13"/>
  <c r="D5" i="11"/>
  <c r="C9" i="11"/>
  <c r="G6" i="2"/>
  <c r="D9" i="11" l="1"/>
  <c r="F6" i="11"/>
  <c r="D12" i="13" s="1"/>
  <c r="B12" i="13" s="1"/>
  <c r="E5" i="11"/>
  <c r="E9" i="11" s="1"/>
  <c r="B10" i="13"/>
  <c r="C9" i="13"/>
  <c r="D4" i="5"/>
  <c r="D7" i="9"/>
  <c r="D6" i="9"/>
  <c r="D5" i="9"/>
  <c r="D4" i="9"/>
  <c r="D3" i="9"/>
  <c r="C10" i="8"/>
  <c r="C9" i="8"/>
  <c r="C7" i="8"/>
  <c r="C8" i="8"/>
  <c r="C6" i="8"/>
  <c r="C11" i="8"/>
  <c r="C12" i="8"/>
  <c r="C13" i="8"/>
  <c r="C5" i="8"/>
  <c r="C4" i="8"/>
  <c r="C3" i="8"/>
  <c r="C6" i="14" l="1"/>
  <c r="C15" i="13"/>
  <c r="F5" i="11"/>
  <c r="B7" i="6"/>
  <c r="B5" i="6"/>
  <c r="B4" i="6"/>
  <c r="B3" i="6"/>
  <c r="B8" i="6" s="1"/>
  <c r="D11" i="13" l="1"/>
  <c r="F9" i="11"/>
  <c r="B4" i="12" s="1"/>
  <c r="C7" i="14"/>
  <c r="D8" i="5"/>
  <c r="D7" i="5"/>
  <c r="D6" i="5"/>
  <c r="D5" i="5"/>
  <c r="E7" i="9"/>
  <c r="E6" i="9"/>
  <c r="E5" i="9"/>
  <c r="E4" i="9"/>
  <c r="C5" i="5"/>
  <c r="C6" i="5"/>
  <c r="C7" i="5"/>
  <c r="C8" i="5"/>
  <c r="C4" i="5"/>
  <c r="E5" i="2"/>
  <c r="E4" i="2"/>
  <c r="D5" i="2"/>
  <c r="D4" i="2"/>
  <c r="C5" i="2"/>
  <c r="C4" i="2"/>
  <c r="B5" i="2"/>
  <c r="B4" i="2"/>
  <c r="E7" i="5" l="1"/>
  <c r="F7" i="5" s="1"/>
  <c r="C6" i="6" s="1"/>
  <c r="D6" i="6" s="1"/>
  <c r="D9" i="13"/>
  <c r="B11" i="13"/>
  <c r="B5" i="12"/>
  <c r="E3" i="9"/>
  <c r="E8" i="9" s="1"/>
  <c r="B3" i="10" s="1"/>
  <c r="B8" i="9"/>
  <c r="E4" i="5"/>
  <c r="E8" i="5"/>
  <c r="F8" i="5" s="1"/>
  <c r="C7" i="6" s="1"/>
  <c r="D7" i="6" s="1"/>
  <c r="E5" i="5"/>
  <c r="F5" i="5" s="1"/>
  <c r="C4" i="6" s="1"/>
  <c r="D4" i="6" s="1"/>
  <c r="B9" i="5"/>
  <c r="E6" i="5"/>
  <c r="F6" i="5" s="1"/>
  <c r="C5" i="6" s="1"/>
  <c r="D5" i="6" s="1"/>
  <c r="F5" i="2"/>
  <c r="G5" i="2" s="1"/>
  <c r="F4" i="2"/>
  <c r="G4" i="2" s="1"/>
  <c r="E9" i="5" l="1"/>
  <c r="F4" i="5"/>
  <c r="B9" i="10"/>
  <c r="B10" i="18" s="1"/>
  <c r="B14" i="18" s="1"/>
  <c r="B15" i="18"/>
  <c r="D6" i="14"/>
  <c r="D15" i="13"/>
  <c r="B9" i="13"/>
  <c r="B6" i="10"/>
  <c r="C3" i="3"/>
  <c r="B3" i="16" s="1"/>
  <c r="B4" i="10" l="1"/>
  <c r="B7" i="10"/>
  <c r="B5" i="10"/>
  <c r="C3" i="16"/>
  <c r="E3" i="16" s="1"/>
  <c r="B8" i="10"/>
  <c r="F9" i="5"/>
  <c r="C3" i="6"/>
  <c r="D7" i="14"/>
  <c r="B7" i="14" s="1"/>
  <c r="B15" i="13"/>
  <c r="B11" i="18" s="1"/>
  <c r="B6" i="14"/>
  <c r="C6" i="3"/>
  <c r="B13" i="18" s="1"/>
  <c r="B5" i="4"/>
  <c r="D5" i="4" s="1"/>
  <c r="C6" i="13" s="1"/>
  <c r="B6" i="13" l="1"/>
  <c r="C8" i="6"/>
  <c r="D3" i="6"/>
  <c r="D8" i="6" s="1"/>
  <c r="C7" i="7" s="1"/>
  <c r="E5" i="4"/>
  <c r="B8" i="4"/>
  <c r="B3" i="12" s="1"/>
  <c r="C5" i="3"/>
  <c r="B5" i="16" s="1"/>
  <c r="C5" i="16" s="1"/>
  <c r="E5" i="16" s="1"/>
  <c r="C4" i="3"/>
  <c r="B4" i="16" s="1"/>
  <c r="B8" i="8" l="1"/>
  <c r="D8" i="8" s="1"/>
  <c r="C13" i="7"/>
  <c r="C4" i="16"/>
  <c r="E4" i="16" s="1"/>
  <c r="E6" i="16" s="1"/>
  <c r="B4" i="17" s="1"/>
  <c r="B6" i="16"/>
  <c r="D7" i="4"/>
  <c r="B7" i="4"/>
  <c r="E7" i="4" s="1"/>
  <c r="C7" i="4"/>
  <c r="B6" i="4"/>
  <c r="E6" i="4" s="1"/>
  <c r="D6" i="4"/>
  <c r="C7" i="13" s="1"/>
  <c r="C6" i="4"/>
  <c r="D7" i="13" s="1"/>
  <c r="G5" i="4"/>
  <c r="E8" i="4" l="1"/>
  <c r="F7" i="4"/>
  <c r="D8" i="13"/>
  <c r="D5" i="13"/>
  <c r="B7" i="13"/>
  <c r="G7" i="4"/>
  <c r="C8" i="13"/>
  <c r="B8" i="13" s="1"/>
  <c r="B13" i="8"/>
  <c r="D13" i="8" s="1"/>
  <c r="C12" i="7"/>
  <c r="B12" i="8" s="1"/>
  <c r="D12" i="8" s="1"/>
  <c r="C3" i="7"/>
  <c r="B4" i="8" s="1"/>
  <c r="D4" i="8" s="1"/>
  <c r="C6" i="7"/>
  <c r="B7" i="8" s="1"/>
  <c r="D7" i="8" s="1"/>
  <c r="C4" i="7"/>
  <c r="B5" i="8" s="1"/>
  <c r="D5" i="8" s="1"/>
  <c r="C9" i="7"/>
  <c r="B10" i="8" s="1"/>
  <c r="D10" i="8" s="1"/>
  <c r="C2" i="7"/>
  <c r="C8" i="7"/>
  <c r="B9" i="8" s="1"/>
  <c r="D9" i="8" s="1"/>
  <c r="C11" i="7"/>
  <c r="B11" i="8" s="1"/>
  <c r="D11" i="8" s="1"/>
  <c r="C5" i="7"/>
  <c r="B6" i="8" s="1"/>
  <c r="D6" i="8" s="1"/>
  <c r="C8" i="4"/>
  <c r="F6" i="4"/>
  <c r="F8" i="4" s="1"/>
  <c r="G6" i="4"/>
  <c r="D8" i="4"/>
  <c r="G8" i="4" l="1"/>
  <c r="D5" i="14"/>
  <c r="D18" i="13"/>
  <c r="C14" i="7"/>
  <c r="B8" i="18" s="1"/>
  <c r="B3" i="8"/>
  <c r="C5" i="13"/>
  <c r="D3" i="8" l="1"/>
  <c r="D14" i="8" s="1"/>
  <c r="B14" i="8"/>
  <c r="C5" i="14"/>
  <c r="C10" i="14" s="1"/>
  <c r="B5" i="13"/>
  <c r="C18" i="13"/>
  <c r="B5" i="14" l="1"/>
  <c r="B7" i="18"/>
  <c r="B12" i="18"/>
  <c r="D16" i="13"/>
  <c r="B6" i="12"/>
  <c r="B16" i="13" l="1"/>
  <c r="D8" i="14"/>
  <c r="B7" i="12"/>
  <c r="D17" i="13" s="1"/>
  <c r="B8" i="12" l="1"/>
  <c r="C6" i="12" s="1"/>
  <c r="C4" i="12"/>
  <c r="C5" i="12"/>
  <c r="C3" i="12"/>
  <c r="B8" i="14"/>
  <c r="D9" i="14"/>
  <c r="B9" i="14" s="1"/>
  <c r="B17" i="13"/>
  <c r="B18" i="13" s="1"/>
  <c r="B3" i="15" s="1"/>
  <c r="B10" i="14" l="1"/>
  <c r="B7" i="15" s="1"/>
  <c r="D5" i="19"/>
  <c r="J5" i="19" s="1"/>
  <c r="B7" i="17" s="1"/>
  <c r="D4" i="19"/>
  <c r="J4" i="19" s="1"/>
  <c r="B6" i="17" s="1"/>
  <c r="D3" i="19"/>
  <c r="B5" i="18"/>
  <c r="D10" i="14"/>
  <c r="B6" i="18" s="1"/>
  <c r="D7" i="19" l="1"/>
  <c r="J3" i="19"/>
  <c r="B2" i="15"/>
  <c r="F6" i="19" l="1"/>
  <c r="B4" i="15"/>
  <c r="B5" i="15" s="1"/>
  <c r="B6" i="15" s="1"/>
  <c r="B4" i="18"/>
  <c r="B5" i="17"/>
  <c r="B16" i="18" l="1"/>
  <c r="B17" i="18"/>
  <c r="B20" i="18"/>
  <c r="B19" i="18"/>
  <c r="F7" i="19"/>
  <c r="J6" i="19"/>
  <c r="B8" i="17" l="1"/>
  <c r="B9" i="17" s="1"/>
  <c r="B10" i="17" s="1"/>
  <c r="B9" i="18" s="1"/>
  <c r="J7" i="19"/>
  <c r="B23" i="18" l="1"/>
  <c r="B21" i="18"/>
  <c r="B22" i="18" s="1"/>
  <c r="B18" i="18"/>
</calcChain>
</file>

<file path=xl/sharedStrings.xml><?xml version="1.0" encoding="utf-8"?>
<sst xmlns="http://schemas.openxmlformats.org/spreadsheetml/2006/main" count="312" uniqueCount="213">
  <si>
    <t>возвратные отходы, кг</t>
  </si>
  <si>
    <t>1-ая операция</t>
  </si>
  <si>
    <t>2-ая операция</t>
  </si>
  <si>
    <t>3-ая операция</t>
  </si>
  <si>
    <t>4-ая операция</t>
  </si>
  <si>
    <t>5-ая операция</t>
  </si>
  <si>
    <t>Сб</t>
  </si>
  <si>
    <t>объем выпуска продукции,шт</t>
  </si>
  <si>
    <t>длительность расчетного периода,лет</t>
  </si>
  <si>
    <t>данные о материалах</t>
  </si>
  <si>
    <t>Материал М1</t>
  </si>
  <si>
    <t>норма расхода. Кг</t>
  </si>
  <si>
    <t>цена за 1 кг, р</t>
  </si>
  <si>
    <t>цена за кг, р</t>
  </si>
  <si>
    <t>Материал М2</t>
  </si>
  <si>
    <t>комплекующие изделия на сумму, р</t>
  </si>
  <si>
    <t>Технологический процесс изготовления изделия</t>
  </si>
  <si>
    <t>Норма времени в часах(числитель) и разряд работ по операциям(знаминатель)</t>
  </si>
  <si>
    <t>Средний коэффициент выполнения норм</t>
  </si>
  <si>
    <t>Сб - Сборочное</t>
  </si>
  <si>
    <t>Наименование материала</t>
  </si>
  <si>
    <t>Норма расхода</t>
  </si>
  <si>
    <t>Цена единицы</t>
  </si>
  <si>
    <t>Возвратные отходы</t>
  </si>
  <si>
    <t>Общие затраты</t>
  </si>
  <si>
    <t>вес</t>
  </si>
  <si>
    <t>цена ед.</t>
  </si>
  <si>
    <t>сумма</t>
  </si>
  <si>
    <t>Материал 2</t>
  </si>
  <si>
    <t>Ресурс 2 (комплектующие)</t>
  </si>
  <si>
    <t>Итого</t>
  </si>
  <si>
    <t>х</t>
  </si>
  <si>
    <t>Составляющие элемента "материальные затраты"</t>
  </si>
  <si>
    <t>Удельный вес в составе элемента "материальные затраты"</t>
  </si>
  <si>
    <t>Сумма, тыс. р.</t>
  </si>
  <si>
    <t>1. Сырье, материалы, комплектующие изделия, покупные полуфабрикаты</t>
  </si>
  <si>
    <t>Всего материальных затрат</t>
  </si>
  <si>
    <t>3. Топливо, энергия</t>
  </si>
  <si>
    <t>2. Вспомогательные материалы, запчасти для ремонта обслуживания, работы и услуги производственного характера</t>
  </si>
  <si>
    <t xml:space="preserve">Ресурс 1 (сырье, материалы): Материал 1 </t>
  </si>
  <si>
    <t>Элементы затрат</t>
  </si>
  <si>
    <t>На годовой выпуск (при полном освоении)</t>
  </si>
  <si>
    <t>На единицу продукции (при полном освоении)</t>
  </si>
  <si>
    <t>В том числе</t>
  </si>
  <si>
    <t>условно-постоянные</t>
  </si>
  <si>
    <t>условно-переменные</t>
  </si>
  <si>
    <t>Сырье, основные материалы, комплектующие изделия,полуфаб-рикаты</t>
  </si>
  <si>
    <t>Вспомогательные материалы, запчасти для ремонта, работы и услуги производст-венного характера</t>
  </si>
  <si>
    <t>Топливо, энергия, приобретаемые со стороны</t>
  </si>
  <si>
    <t>Наименование оборудования</t>
  </si>
  <si>
    <t>Годовой фонд времени работы оборудования, час (Fэфj)</t>
  </si>
  <si>
    <t>Коэффициент выполнения норм, kвн</t>
  </si>
  <si>
    <t>Количество оборудования</t>
  </si>
  <si>
    <t>расчетное</t>
  </si>
  <si>
    <t>принятое (округленное)</t>
  </si>
  <si>
    <t>1. Токарное</t>
  </si>
  <si>
    <t>2. Фрезерное</t>
  </si>
  <si>
    <t>Итого:</t>
  </si>
  <si>
    <t>3. Сверлильное</t>
  </si>
  <si>
    <t>4. Шлифовальное</t>
  </si>
  <si>
    <t>5. Сборочное</t>
  </si>
  <si>
    <t>Трудоемкость годового выпуска, час (N*tj)</t>
  </si>
  <si>
    <t>Оптовая цена единицы оборудования, тыс. р.</t>
  </si>
  <si>
    <t>Количество оборудования, шт.</t>
  </si>
  <si>
    <t>Балансовая(первоначальная) стоимость оборудования, тыс. р.</t>
  </si>
  <si>
    <t>Элементы основных фондов</t>
  </si>
  <si>
    <t>Удельный вес, процент</t>
  </si>
  <si>
    <t>1. Здания</t>
  </si>
  <si>
    <t>2. Сооружения</t>
  </si>
  <si>
    <t>3. Передаточные устройства</t>
  </si>
  <si>
    <t>4. Машины и оборудование</t>
  </si>
  <si>
    <t>а) силовые машины и оборудование</t>
  </si>
  <si>
    <t>б) рабочие машины и оборудование</t>
  </si>
  <si>
    <t>в) измерительные, регулирующие приборы и оборудование</t>
  </si>
  <si>
    <t>г) вычислительная техника</t>
  </si>
  <si>
    <t>д) прочие машины и оборудование</t>
  </si>
  <si>
    <t>5. Транспортные средства</t>
  </si>
  <si>
    <t>6. Инструмент</t>
  </si>
  <si>
    <t>7. Производственный и хозяйственный инвентраь и принадлежности</t>
  </si>
  <si>
    <t>-</t>
  </si>
  <si>
    <t>Наименование элементов основных средств</t>
  </si>
  <si>
    <t>Первоначальная стоимость, тыс. руб.</t>
  </si>
  <si>
    <t>Годовая норма амортизации,%</t>
  </si>
  <si>
    <t>Годовая сумма амортизационных отчислений, тыс. руб.</t>
  </si>
  <si>
    <t>1. Земельные участки и объекты природопользования</t>
  </si>
  <si>
    <t>2. Здания</t>
  </si>
  <si>
    <t>3. Сооружения</t>
  </si>
  <si>
    <t>4. Передаточные устройства</t>
  </si>
  <si>
    <t>5. Машины и оборудование</t>
  </si>
  <si>
    <t>6. Транспортные средства</t>
  </si>
  <si>
    <t>7. Инструмент</t>
  </si>
  <si>
    <t>8. Производственный и хозяйственный инвентраь и принадлежности</t>
  </si>
  <si>
    <t>Вид работ</t>
  </si>
  <si>
    <t>Трудоемкость единицы продукции</t>
  </si>
  <si>
    <t>Программа выпуска</t>
  </si>
  <si>
    <t>Коэффициент выполнения норм</t>
  </si>
  <si>
    <t>Численность рабочих</t>
  </si>
  <si>
    <t>Категория персонала</t>
  </si>
  <si>
    <t>Численность</t>
  </si>
  <si>
    <t>1. Рабочие, всего</t>
  </si>
  <si>
    <t>в том числе основные рабочие</t>
  </si>
  <si>
    <t>вспомогательные рабочие</t>
  </si>
  <si>
    <t>2. Руководители</t>
  </si>
  <si>
    <t>3. Специалисты</t>
  </si>
  <si>
    <t>4. Служащие</t>
  </si>
  <si>
    <t>5. Прочий персонал</t>
  </si>
  <si>
    <t>Категории персонала</t>
  </si>
  <si>
    <t>Фонды</t>
  </si>
  <si>
    <t>Оптата труда по сдельным расценкам</t>
  </si>
  <si>
    <t>Зарплата по тарифным ставкам и окладам</t>
  </si>
  <si>
    <t>Премии, 25%</t>
  </si>
  <si>
    <t>Всего оплата труда(гр.2+гр.3+гр.4+гр.5)</t>
  </si>
  <si>
    <t>Дополнительная зарплата</t>
  </si>
  <si>
    <t>1. Рабочие: основные производственные вспомогательные</t>
  </si>
  <si>
    <t>5. Прочие</t>
  </si>
  <si>
    <t>Всего</t>
  </si>
  <si>
    <t>Удельный вес, %</t>
  </si>
  <si>
    <t>1. Материальные затраты</t>
  </si>
  <si>
    <t>2. Оплата труда</t>
  </si>
  <si>
    <t>3. Страховые взносы (по установленной законом ставке процента от строки 2)</t>
  </si>
  <si>
    <t>4. Амортизационные отчисления</t>
  </si>
  <si>
    <t>5. Прочие затраты</t>
  </si>
  <si>
    <t>Итого текущие затраты на производтсво</t>
  </si>
  <si>
    <t>Полное использование мощности</t>
  </si>
  <si>
    <t>Всего(Гр.6+Гр.7)</t>
  </si>
  <si>
    <t>1.1 Сырье, материалы, комплектующие изделия, покупные полуфабрикаты;</t>
  </si>
  <si>
    <t>1.2 Вспомогательные материалы;</t>
  </si>
  <si>
    <t>1.3 Топливо, энергия со стороны;</t>
  </si>
  <si>
    <t>2. Оплата труда, всего, в том числе:</t>
  </si>
  <si>
    <t>1. Материальные затраты всего в том числе:</t>
  </si>
  <si>
    <t>2.1 основных рабочих</t>
  </si>
  <si>
    <t>2.3 Руководителей</t>
  </si>
  <si>
    <t>2.4 Служащих</t>
  </si>
  <si>
    <t>2.5 Прочего персонала</t>
  </si>
  <si>
    <t>3. Отчисления на социальные нужды</t>
  </si>
  <si>
    <t>Всего затрат</t>
  </si>
  <si>
    <t>1 Материальные затраты</t>
  </si>
  <si>
    <t>2 Оплата труда</t>
  </si>
  <si>
    <t>3 Отчисления на социальные нужды</t>
  </si>
  <si>
    <t>4 Амортизационные отчисления</t>
  </si>
  <si>
    <t>5 Прочие затраты</t>
  </si>
  <si>
    <t>Всего (гр.6+гр.7)</t>
  </si>
  <si>
    <t>В том чсиле</t>
  </si>
  <si>
    <t>условно- постоянные</t>
  </si>
  <si>
    <t>Показатели</t>
  </si>
  <si>
    <t>Полная мощность</t>
  </si>
  <si>
    <t>1 Выручка от реализации продукции без НДС и акцизов</t>
  </si>
  <si>
    <t>2 Себестоимость реализованной продукции (из таблицы 12)</t>
  </si>
  <si>
    <t>3 Прибыль от реализации (строка 1 - строка 2)</t>
  </si>
  <si>
    <t>4 Налог на прибыль (20% от строки 3)</t>
  </si>
  <si>
    <t>5 Чистая прибыль</t>
  </si>
  <si>
    <t>Наименование состаялиющих в составе запасов</t>
  </si>
  <si>
    <t xml:space="preserve">Годовой расход, тыс. р. </t>
  </si>
  <si>
    <t>Среднесуточный расход, тыс. р\сутки</t>
  </si>
  <si>
    <t>Норма запаса, дни</t>
  </si>
  <si>
    <t>Потребность, тыс. р.</t>
  </si>
  <si>
    <t>1 Основные материалы</t>
  </si>
  <si>
    <t>2 Вспомогательные материалы</t>
  </si>
  <si>
    <t>3 Топливо, энергия со стороны</t>
  </si>
  <si>
    <t>Составляющие оборотных средств</t>
  </si>
  <si>
    <t>1 Производственные запасы</t>
  </si>
  <si>
    <t>2 Незавершенное производство</t>
  </si>
  <si>
    <t>3 Расходы будущих периодов</t>
  </si>
  <si>
    <t>4 Готовая продукция на складах</t>
  </si>
  <si>
    <t>5 Дебиторская задолженность</t>
  </si>
  <si>
    <t>6 Денежные средства</t>
  </si>
  <si>
    <t>Показатели, ед. измерения</t>
  </si>
  <si>
    <t>1 Объем реализации продукции, шт.</t>
  </si>
  <si>
    <t>2 Объем реализации продукции в стоимостном измерении, тыс.р.</t>
  </si>
  <si>
    <t>условно-постоянные расходы;</t>
  </si>
  <si>
    <t xml:space="preserve">3 Себестоимость единицы продукции,р. В том числе:  </t>
  </si>
  <si>
    <t>условно-переменные расходы</t>
  </si>
  <si>
    <t>4 Среднегодовая стоимость основных производственных фондов, тыс.р.</t>
  </si>
  <si>
    <t>5 Среднегодовой остаток оборотных средств, тыс.р.</t>
  </si>
  <si>
    <t>7 Фонд оплаты труда персонала, тыс.р.</t>
  </si>
  <si>
    <t>8 Амотизационные отчисления, тыс.р.</t>
  </si>
  <si>
    <t>9 Стоимость ежегодно потребляемых в производстве сырья, материалов, топлива, энергии, тыс.р.</t>
  </si>
  <si>
    <t>10 Выработка на одгого работающего, рублей на человека в год</t>
  </si>
  <si>
    <t>11 Выработка на одного рабочего - сдельщика, рублей на человека в год</t>
  </si>
  <si>
    <t>12 Фондоотдача основных производственных фондов, руб\руб</t>
  </si>
  <si>
    <t>13 Фондоемкость, руб\руб</t>
  </si>
  <si>
    <t>14 Рентабельность производства, процент</t>
  </si>
  <si>
    <t>15 Рентабельность продукции, процент</t>
  </si>
  <si>
    <t>16 Рентабельность деятельности, процент</t>
  </si>
  <si>
    <t>17 Коэффициент оборачиваемости оборотных средств</t>
  </si>
  <si>
    <t>18 Период оборота оборотных средств, дней</t>
  </si>
  <si>
    <t>19 Срок возврата вложенных средств, месяцев</t>
  </si>
  <si>
    <t>Удельный вес в фонде оплаты труда, %</t>
  </si>
  <si>
    <t>Основная зарплата</t>
  </si>
  <si>
    <t>x</t>
  </si>
  <si>
    <t>2.2 вспомогательных</t>
  </si>
  <si>
    <t>Цена предприятия</t>
  </si>
  <si>
    <t>Наименование составляющих в составе запасов</t>
  </si>
  <si>
    <t>Себестоимость реализованной продукции</t>
  </si>
  <si>
    <t>1 Незавершенное производство</t>
  </si>
  <si>
    <t>2 Расходы будущих периодов</t>
  </si>
  <si>
    <t>3 Готовая продукция на складах</t>
  </si>
  <si>
    <t>4 Дебиторская задолженность</t>
  </si>
  <si>
    <t>6 Среднесписочная численность ППП, В том числе: по категориям</t>
  </si>
  <si>
    <t xml:space="preserve"> 8/6</t>
  </si>
  <si>
    <t>Т5</t>
  </si>
  <si>
    <t>Ф5</t>
  </si>
  <si>
    <t>С5</t>
  </si>
  <si>
    <t>Ш5</t>
  </si>
  <si>
    <t xml:space="preserve"> 18/5</t>
  </si>
  <si>
    <t xml:space="preserve"> 10/5</t>
  </si>
  <si>
    <t xml:space="preserve"> 12/4</t>
  </si>
  <si>
    <t xml:space="preserve"> 7/6</t>
  </si>
  <si>
    <t>Т5- Токарное 16 Т 04А</t>
  </si>
  <si>
    <t>Ф5- Фрезерное 6 С 12</t>
  </si>
  <si>
    <t>С5- Сверлильное 2Н150</t>
  </si>
  <si>
    <t>Ш5- Шлифовальное 3 У 132 В</t>
  </si>
  <si>
    <t>Кондратьев Сергей АСМР-19-1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</si>
</sst>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1" xfId="0" quotePrefix="1" applyNumberFormat="1" applyBorder="1"/>
    <xf numFmtId="0" fontId="0" fillId="0" borderId="1" xfId="0" applyNumberFormat="1" applyBorder="1"/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0" xfId="0" applyBorder="1"/>
    <xf numFmtId="0" fontId="0" fillId="0" borderId="1" xfId="0" applyFill="1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Font="1" applyBorder="1"/>
    <xf numFmtId="0" fontId="0" fillId="0" borderId="0" xfId="0" quotePrefix="1" applyNumberFormat="1" applyFill="1" applyBorder="1"/>
    <xf numFmtId="2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 wrapText="1"/>
    </xf>
    <xf numFmtId="2" fontId="0" fillId="0" borderId="1" xfId="0" applyNumberFormat="1" applyBorder="1"/>
    <xf numFmtId="16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3" xfId="0" applyNumberFormat="1" applyFont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" fontId="1" fillId="0" borderId="4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7" zoomScale="115" zoomScaleNormal="115" workbookViewId="0">
      <selection activeCell="D10" sqref="D10"/>
    </sheetView>
  </sheetViews>
  <sheetFormatPr defaultRowHeight="15" x14ac:dyDescent="0.25"/>
  <cols>
    <col min="1" max="1" width="73.5703125" customWidth="1"/>
    <col min="4" max="4" width="9.140625" customWidth="1"/>
  </cols>
  <sheetData>
    <row r="1" spans="1:4" x14ac:dyDescent="0.25">
      <c r="A1" s="1" t="s">
        <v>7</v>
      </c>
      <c r="B1" s="1">
        <v>1200</v>
      </c>
      <c r="D1" t="s">
        <v>212</v>
      </c>
    </row>
    <row r="2" spans="1:4" x14ac:dyDescent="0.25">
      <c r="A2" s="1" t="s">
        <v>8</v>
      </c>
      <c r="B2" s="1">
        <v>5</v>
      </c>
    </row>
    <row r="3" spans="1:4" x14ac:dyDescent="0.25">
      <c r="A3" s="21" t="s">
        <v>9</v>
      </c>
      <c r="B3" s="21"/>
    </row>
    <row r="4" spans="1:4" x14ac:dyDescent="0.25">
      <c r="A4" s="21" t="s">
        <v>10</v>
      </c>
      <c r="B4" s="21"/>
    </row>
    <row r="5" spans="1:4" x14ac:dyDescent="0.25">
      <c r="A5" s="1" t="s">
        <v>11</v>
      </c>
      <c r="B5" s="1">
        <v>80</v>
      </c>
    </row>
    <row r="6" spans="1:4" x14ac:dyDescent="0.25">
      <c r="A6" s="1" t="s">
        <v>12</v>
      </c>
      <c r="B6" s="1">
        <v>32.5</v>
      </c>
    </row>
    <row r="7" spans="1:4" x14ac:dyDescent="0.25">
      <c r="A7" s="1" t="s">
        <v>0</v>
      </c>
      <c r="B7" s="1">
        <v>10</v>
      </c>
    </row>
    <row r="8" spans="1:4" x14ac:dyDescent="0.25">
      <c r="A8" s="1" t="s">
        <v>13</v>
      </c>
      <c r="B8" s="1">
        <v>4.5</v>
      </c>
    </row>
    <row r="9" spans="1:4" x14ac:dyDescent="0.25">
      <c r="A9" s="22" t="s">
        <v>14</v>
      </c>
      <c r="B9" s="23"/>
    </row>
    <row r="10" spans="1:4" x14ac:dyDescent="0.25">
      <c r="A10" s="1" t="s">
        <v>11</v>
      </c>
      <c r="B10" s="1">
        <v>60</v>
      </c>
    </row>
    <row r="11" spans="1:4" x14ac:dyDescent="0.25">
      <c r="A11" s="1" t="s">
        <v>12</v>
      </c>
      <c r="B11" s="1">
        <v>105</v>
      </c>
    </row>
    <row r="12" spans="1:4" x14ac:dyDescent="0.25">
      <c r="A12" s="1" t="s">
        <v>0</v>
      </c>
      <c r="B12" s="1">
        <v>6</v>
      </c>
    </row>
    <row r="13" spans="1:4" x14ac:dyDescent="0.25">
      <c r="A13" s="1" t="s">
        <v>13</v>
      </c>
      <c r="B13" s="1">
        <v>8.6999999999999993</v>
      </c>
    </row>
    <row r="14" spans="1:4" x14ac:dyDescent="0.25">
      <c r="A14" s="1" t="s">
        <v>15</v>
      </c>
      <c r="B14" s="1">
        <v>6600</v>
      </c>
    </row>
    <row r="15" spans="1:4" x14ac:dyDescent="0.25">
      <c r="A15" s="22" t="s">
        <v>16</v>
      </c>
      <c r="B15" s="23"/>
    </row>
    <row r="16" spans="1:4" x14ac:dyDescent="0.25">
      <c r="A16" s="1" t="s">
        <v>1</v>
      </c>
      <c r="B16" s="1" t="s">
        <v>200</v>
      </c>
    </row>
    <row r="17" spans="1:2" x14ac:dyDescent="0.25">
      <c r="A17" s="1" t="s">
        <v>2</v>
      </c>
      <c r="B17" s="1" t="s">
        <v>201</v>
      </c>
    </row>
    <row r="18" spans="1:2" x14ac:dyDescent="0.25">
      <c r="A18" s="1" t="s">
        <v>3</v>
      </c>
      <c r="B18" s="1" t="s">
        <v>202</v>
      </c>
    </row>
    <row r="19" spans="1:2" x14ac:dyDescent="0.25">
      <c r="A19" s="1" t="s">
        <v>4</v>
      </c>
      <c r="B19" s="1" t="s">
        <v>203</v>
      </c>
    </row>
    <row r="20" spans="1:2" x14ac:dyDescent="0.25">
      <c r="A20" s="1" t="s">
        <v>5</v>
      </c>
      <c r="B20" s="1" t="s">
        <v>6</v>
      </c>
    </row>
    <row r="21" spans="1:2" x14ac:dyDescent="0.25">
      <c r="A21" s="22" t="s">
        <v>17</v>
      </c>
      <c r="B21" s="23"/>
    </row>
    <row r="22" spans="1:2" x14ac:dyDescent="0.25">
      <c r="A22" s="1" t="s">
        <v>1</v>
      </c>
      <c r="B22" s="20" t="s">
        <v>199</v>
      </c>
    </row>
    <row r="23" spans="1:2" x14ac:dyDescent="0.25">
      <c r="A23" s="1" t="s">
        <v>2</v>
      </c>
      <c r="B23" s="20" t="s">
        <v>204</v>
      </c>
    </row>
    <row r="24" spans="1:2" x14ac:dyDescent="0.25">
      <c r="A24" s="1" t="s">
        <v>3</v>
      </c>
      <c r="B24" s="5" t="s">
        <v>205</v>
      </c>
    </row>
    <row r="25" spans="1:2" x14ac:dyDescent="0.25">
      <c r="A25" s="1" t="s">
        <v>4</v>
      </c>
      <c r="B25" s="5" t="s">
        <v>206</v>
      </c>
    </row>
    <row r="26" spans="1:2" x14ac:dyDescent="0.25">
      <c r="A26" s="1" t="s">
        <v>5</v>
      </c>
      <c r="B26" s="5" t="s">
        <v>207</v>
      </c>
    </row>
    <row r="27" spans="1:2" x14ac:dyDescent="0.25">
      <c r="A27" s="1" t="s">
        <v>18</v>
      </c>
      <c r="B27" s="6">
        <v>1.2</v>
      </c>
    </row>
    <row r="28" spans="1:2" x14ac:dyDescent="0.25">
      <c r="A28" s="1" t="s">
        <v>208</v>
      </c>
      <c r="B28" s="1">
        <v>394.2</v>
      </c>
    </row>
    <row r="29" spans="1:2" x14ac:dyDescent="0.25">
      <c r="A29" s="1" t="s">
        <v>209</v>
      </c>
      <c r="B29" s="1">
        <v>7128.3</v>
      </c>
    </row>
    <row r="30" spans="1:2" x14ac:dyDescent="0.25">
      <c r="A30" s="8" t="s">
        <v>210</v>
      </c>
      <c r="B30" s="1">
        <v>228.3</v>
      </c>
    </row>
    <row r="31" spans="1:2" x14ac:dyDescent="0.25">
      <c r="A31" s="1" t="s">
        <v>211</v>
      </c>
      <c r="B31" s="1">
        <v>1141.5</v>
      </c>
    </row>
    <row r="32" spans="1:2" x14ac:dyDescent="0.25">
      <c r="A32" s="1" t="s">
        <v>19</v>
      </c>
      <c r="B32" s="1">
        <v>142.30000000000001</v>
      </c>
    </row>
  </sheetData>
  <mergeCells count="5">
    <mergeCell ref="A3:B3"/>
    <mergeCell ref="A4:B4"/>
    <mergeCell ref="A9:B9"/>
    <mergeCell ref="A15:B15"/>
    <mergeCell ref="A21:B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>
      <selection activeCell="C12" sqref="C12"/>
    </sheetView>
  </sheetViews>
  <sheetFormatPr defaultRowHeight="15" x14ac:dyDescent="0.25"/>
  <cols>
    <col min="1" max="1" width="29.42578125" customWidth="1"/>
    <col min="2" max="2" width="18.140625" customWidth="1"/>
    <col min="3" max="3" width="24.42578125" customWidth="1"/>
  </cols>
  <sheetData>
    <row r="1" spans="1:3" x14ac:dyDescent="0.25">
      <c r="A1" s="1" t="s">
        <v>97</v>
      </c>
      <c r="B1" s="1" t="s">
        <v>98</v>
      </c>
      <c r="C1" s="1" t="s">
        <v>66</v>
      </c>
    </row>
    <row r="2" spans="1:3" x14ac:dyDescent="0.25">
      <c r="A2" s="1" t="s">
        <v>99</v>
      </c>
      <c r="B2" s="1"/>
      <c r="C2" s="1"/>
    </row>
    <row r="3" spans="1:3" x14ac:dyDescent="0.25">
      <c r="A3" s="1" t="s">
        <v>100</v>
      </c>
      <c r="B3" s="11">
        <f>Лист9!E8</f>
        <v>30.898876404494384</v>
      </c>
      <c r="C3" s="1">
        <v>45</v>
      </c>
    </row>
    <row r="4" spans="1:3" x14ac:dyDescent="0.25">
      <c r="A4" s="1" t="s">
        <v>101</v>
      </c>
      <c r="B4" s="11">
        <f>B9*C4/C9</f>
        <v>6.866416978776531</v>
      </c>
      <c r="C4" s="1">
        <v>10</v>
      </c>
    </row>
    <row r="5" spans="1:3" x14ac:dyDescent="0.25">
      <c r="A5" s="1" t="s">
        <v>102</v>
      </c>
      <c r="B5" s="11">
        <f>B9*C5/C9</f>
        <v>17.166042446941326</v>
      </c>
      <c r="C5" s="1">
        <v>25</v>
      </c>
    </row>
    <row r="6" spans="1:3" x14ac:dyDescent="0.25">
      <c r="A6" s="1" t="s">
        <v>103</v>
      </c>
      <c r="B6" s="11">
        <f>B9*C6/C9</f>
        <v>6.866416978776531</v>
      </c>
      <c r="C6" s="1">
        <v>10</v>
      </c>
    </row>
    <row r="7" spans="1:3" x14ac:dyDescent="0.25">
      <c r="A7" s="1" t="s">
        <v>104</v>
      </c>
      <c r="B7" s="11">
        <f>B9*C7/100</f>
        <v>5.4931335830212245</v>
      </c>
      <c r="C7" s="1">
        <v>8</v>
      </c>
    </row>
    <row r="8" spans="1:3" x14ac:dyDescent="0.25">
      <c r="A8" s="1" t="s">
        <v>105</v>
      </c>
      <c r="B8" s="11">
        <f>B9/C9*C8</f>
        <v>1.3732833957553061</v>
      </c>
      <c r="C8" s="1">
        <v>2</v>
      </c>
    </row>
    <row r="9" spans="1:3" x14ac:dyDescent="0.25">
      <c r="A9" s="1" t="s">
        <v>57</v>
      </c>
      <c r="B9" s="11">
        <f>B3*C9/C3</f>
        <v>68.664169787765303</v>
      </c>
      <c r="C9" s="1">
        <v>100</v>
      </c>
    </row>
    <row r="11" spans="1:3" x14ac:dyDescent="0.25">
      <c r="B11" s="12"/>
    </row>
    <row r="12" spans="1:3" x14ac:dyDescent="0.25">
      <c r="B12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"/>
  <sheetViews>
    <sheetView workbookViewId="0">
      <selection activeCell="F10" sqref="F10"/>
    </sheetView>
  </sheetViews>
  <sheetFormatPr defaultRowHeight="15" x14ac:dyDescent="0.25"/>
  <cols>
    <col min="1" max="1" width="18.42578125" customWidth="1"/>
    <col min="2" max="2" width="18.28515625" customWidth="1"/>
    <col min="3" max="3" width="18.42578125" customWidth="1"/>
    <col min="4" max="4" width="11.85546875" customWidth="1"/>
    <col min="5" max="5" width="13.28515625" customWidth="1"/>
    <col min="6" max="6" width="18.28515625" customWidth="1"/>
    <col min="7" max="7" width="17.5703125" customWidth="1"/>
  </cols>
  <sheetData>
    <row r="1" spans="1:7" ht="30" customHeight="1" x14ac:dyDescent="0.25">
      <c r="A1" s="24" t="s">
        <v>106</v>
      </c>
      <c r="B1" s="21" t="s">
        <v>107</v>
      </c>
      <c r="C1" s="21"/>
      <c r="D1" s="21"/>
      <c r="E1" s="21"/>
      <c r="F1" s="24" t="s">
        <v>111</v>
      </c>
      <c r="G1" s="25" t="s">
        <v>187</v>
      </c>
    </row>
    <row r="2" spans="1:7" ht="94.5" customHeight="1" x14ac:dyDescent="0.25">
      <c r="A2" s="24"/>
      <c r="B2" s="3" t="s">
        <v>108</v>
      </c>
      <c r="C2" s="3" t="s">
        <v>109</v>
      </c>
      <c r="D2" s="3" t="s">
        <v>110</v>
      </c>
      <c r="E2" s="3" t="s">
        <v>112</v>
      </c>
      <c r="F2" s="24"/>
      <c r="G2" s="25"/>
    </row>
    <row r="3" spans="1:7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5">
        <v>68</v>
      </c>
    </row>
    <row r="4" spans="1:7" ht="75" x14ac:dyDescent="0.25">
      <c r="A4" s="3" t="s">
        <v>113</v>
      </c>
      <c r="B4" s="1">
        <f>B10+C10+D10+E10+F10</f>
        <v>6917616</v>
      </c>
      <c r="C4" s="1" t="s">
        <v>31</v>
      </c>
      <c r="D4" s="1">
        <f>B4*0.25</f>
        <v>1729404</v>
      </c>
      <c r="E4" s="1">
        <f>(B4+D4)*0.1</f>
        <v>864702</v>
      </c>
      <c r="F4" s="1">
        <f>B4+D4+E4</f>
        <v>9511722</v>
      </c>
      <c r="G4" s="15">
        <v>8</v>
      </c>
    </row>
    <row r="5" spans="1:7" x14ac:dyDescent="0.25">
      <c r="A5" s="1" t="s">
        <v>102</v>
      </c>
      <c r="B5" s="1" t="s">
        <v>31</v>
      </c>
      <c r="C5" s="1">
        <f>$B$4/$G$3*G4</f>
        <v>813837.17647058819</v>
      </c>
      <c r="D5" s="1">
        <f>C5*0.25</f>
        <v>203459.29411764705</v>
      </c>
      <c r="E5" s="1">
        <f>(C5+D5)*0.1</f>
        <v>101729.64705882352</v>
      </c>
      <c r="F5" s="1">
        <f>C5+D5+E5</f>
        <v>1119026.1176470588</v>
      </c>
      <c r="G5" s="15">
        <v>12</v>
      </c>
    </row>
    <row r="6" spans="1:7" x14ac:dyDescent="0.25">
      <c r="A6" s="1" t="s">
        <v>103</v>
      </c>
      <c r="B6" s="1" t="s">
        <v>31</v>
      </c>
      <c r="C6" s="1">
        <f t="shared" ref="C6:C8" si="0">$B$4/$G$3*G5</f>
        <v>1220755.7647058824</v>
      </c>
      <c r="D6" s="1">
        <f t="shared" ref="D6:D8" si="1">C6*0.25</f>
        <v>305188.9411764706</v>
      </c>
      <c r="E6" s="1">
        <f t="shared" ref="E6:E8" si="2">(C6+D6)*0.1</f>
        <v>152594.4705882353</v>
      </c>
      <c r="F6" s="1">
        <f t="shared" ref="F6:F8" si="3">C6+D6+E6</f>
        <v>1678539.1764705884</v>
      </c>
      <c r="G6" s="15">
        <v>8</v>
      </c>
    </row>
    <row r="7" spans="1:7" x14ac:dyDescent="0.25">
      <c r="A7" s="1" t="s">
        <v>104</v>
      </c>
      <c r="B7" s="1" t="s">
        <v>31</v>
      </c>
      <c r="C7" s="1">
        <f t="shared" si="0"/>
        <v>813837.17647058819</v>
      </c>
      <c r="D7" s="1">
        <f t="shared" si="1"/>
        <v>203459.29411764705</v>
      </c>
      <c r="E7" s="1">
        <f t="shared" si="2"/>
        <v>101729.64705882352</v>
      </c>
      <c r="F7" s="1">
        <f t="shared" si="3"/>
        <v>1119026.1176470588</v>
      </c>
      <c r="G7" s="15">
        <v>3</v>
      </c>
    </row>
    <row r="8" spans="1:7" x14ac:dyDescent="0.25">
      <c r="A8" s="1" t="s">
        <v>114</v>
      </c>
      <c r="B8" s="1" t="s">
        <v>31</v>
      </c>
      <c r="C8" s="1">
        <f t="shared" si="0"/>
        <v>305188.9411764706</v>
      </c>
      <c r="D8" s="1">
        <f t="shared" si="1"/>
        <v>76297.23529411765</v>
      </c>
      <c r="E8" s="1">
        <f t="shared" si="2"/>
        <v>38148.617647058825</v>
      </c>
      <c r="F8" s="1">
        <f t="shared" si="3"/>
        <v>419634.79411764711</v>
      </c>
      <c r="G8" s="15">
        <v>1</v>
      </c>
    </row>
    <row r="9" spans="1:7" x14ac:dyDescent="0.25">
      <c r="A9" s="1" t="s">
        <v>115</v>
      </c>
      <c r="B9" s="1">
        <f>B4</f>
        <v>6917616</v>
      </c>
      <c r="C9" s="1">
        <f>C5+C6+C7+C8</f>
        <v>3153619.0588235296</v>
      </c>
      <c r="D9" s="1">
        <f>D4+D5+D6+D7+D8</f>
        <v>2517808.7647058824</v>
      </c>
      <c r="E9" s="1">
        <f>E4+E5+E6+E7+E8</f>
        <v>1258904.3823529412</v>
      </c>
      <c r="F9" s="1">
        <f>F4+F5+F6+F7+F8</f>
        <v>13847948.205882354</v>
      </c>
      <c r="G9" s="15">
        <f>G3+G5+G6+G7+G8+G4</f>
        <v>100</v>
      </c>
    </row>
    <row r="10" spans="1:7" x14ac:dyDescent="0.25">
      <c r="A10" s="1" t="s">
        <v>188</v>
      </c>
      <c r="B10" s="1">
        <f>Лист1!$B$1*8*67*1.8</f>
        <v>1157760</v>
      </c>
      <c r="C10" s="1">
        <f>Лист1!$B$1*18*67*1.53</f>
        <v>2214216</v>
      </c>
      <c r="D10" s="1">
        <f>Лист1!$B$1*10*67*1.53</f>
        <v>1230120</v>
      </c>
      <c r="E10" s="1">
        <f>Лист1!$B$1*12*67*1.35</f>
        <v>1302480</v>
      </c>
      <c r="F10" s="1">
        <f>Лист1!$B$1*7*67*1.8</f>
        <v>1013040</v>
      </c>
      <c r="G10" s="1" t="s">
        <v>189</v>
      </c>
    </row>
  </sheetData>
  <mergeCells count="4">
    <mergeCell ref="A1:A2"/>
    <mergeCell ref="B1:E1"/>
    <mergeCell ref="F1:F2"/>
    <mergeCell ref="G1:G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workbookViewId="0">
      <selection activeCell="C5" sqref="C5"/>
    </sheetView>
  </sheetViews>
  <sheetFormatPr defaultRowHeight="15" x14ac:dyDescent="0.25"/>
  <cols>
    <col min="1" max="1" width="45.85546875" customWidth="1"/>
    <col min="2" max="3" width="18.28515625" customWidth="1"/>
  </cols>
  <sheetData>
    <row r="1" spans="1:3" x14ac:dyDescent="0.25">
      <c r="A1" s="1" t="s">
        <v>40</v>
      </c>
      <c r="B1" s="1" t="s">
        <v>34</v>
      </c>
      <c r="C1" s="1" t="s">
        <v>116</v>
      </c>
    </row>
    <row r="2" spans="1:3" x14ac:dyDescent="0.25">
      <c r="A2" s="1">
        <v>1</v>
      </c>
      <c r="B2" s="1">
        <v>2</v>
      </c>
      <c r="C2" s="1">
        <v>3</v>
      </c>
    </row>
    <row r="3" spans="1:3" x14ac:dyDescent="0.25">
      <c r="A3" s="1" t="s">
        <v>117</v>
      </c>
      <c r="B3" s="1">
        <f>Лист4!B8</f>
        <v>27733.371428571427</v>
      </c>
      <c r="C3" s="1">
        <f>B3/$B$8*100</f>
        <v>49.98432332602188</v>
      </c>
    </row>
    <row r="4" spans="1:3" x14ac:dyDescent="0.25">
      <c r="A4" s="1" t="s">
        <v>118</v>
      </c>
      <c r="B4" s="1">
        <f>Лист11!F9/1000</f>
        <v>13847.948205882354</v>
      </c>
      <c r="C4" s="1">
        <f t="shared" ref="C4:C6" si="0">B4/$B$8*100</f>
        <v>24.958390735420338</v>
      </c>
    </row>
    <row r="5" spans="1:3" ht="30" x14ac:dyDescent="0.25">
      <c r="A5" s="3" t="s">
        <v>119</v>
      </c>
      <c r="B5" s="1">
        <f>B4*0.3</f>
        <v>4154.3844617647064</v>
      </c>
      <c r="C5" s="1">
        <f t="shared" si="0"/>
        <v>7.4875172206261009</v>
      </c>
    </row>
    <row r="6" spans="1:3" x14ac:dyDescent="0.25">
      <c r="A6" s="1" t="s">
        <v>120</v>
      </c>
      <c r="B6" s="1">
        <f>Лист8!D14</f>
        <v>6696.8072515065587</v>
      </c>
      <c r="C6" s="1">
        <f t="shared" si="0"/>
        <v>12.069768717931685</v>
      </c>
    </row>
    <row r="7" spans="1:3" x14ac:dyDescent="0.25">
      <c r="A7" s="1" t="s">
        <v>121</v>
      </c>
      <c r="B7" s="1">
        <f>(B3+B4+B5+B6)/94.5*5.5</f>
        <v>3051.6276445765898</v>
      </c>
      <c r="C7" s="1">
        <v>5.5</v>
      </c>
    </row>
    <row r="8" spans="1:3" x14ac:dyDescent="0.25">
      <c r="A8" s="1" t="s">
        <v>122</v>
      </c>
      <c r="B8" s="1">
        <f>B3+B4+B5+B6+B7</f>
        <v>55484.138992301632</v>
      </c>
      <c r="C8" s="1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8"/>
  <sheetViews>
    <sheetView topLeftCell="A4" workbookViewId="0">
      <selection activeCell="D18" sqref="D18"/>
    </sheetView>
  </sheetViews>
  <sheetFormatPr defaultRowHeight="15" x14ac:dyDescent="0.25"/>
  <cols>
    <col min="1" max="1" width="33.85546875" customWidth="1"/>
    <col min="2" max="2" width="15.42578125" customWidth="1"/>
    <col min="3" max="3" width="14.85546875" customWidth="1"/>
    <col min="4" max="4" width="16.5703125" customWidth="1"/>
  </cols>
  <sheetData>
    <row r="1" spans="1:4" x14ac:dyDescent="0.25">
      <c r="A1" s="21" t="s">
        <v>40</v>
      </c>
      <c r="B1" s="21" t="s">
        <v>123</v>
      </c>
      <c r="C1" s="21"/>
      <c r="D1" s="21"/>
    </row>
    <row r="2" spans="1:4" x14ac:dyDescent="0.25">
      <c r="A2" s="21"/>
      <c r="B2" s="21" t="s">
        <v>124</v>
      </c>
      <c r="C2" s="21" t="s">
        <v>43</v>
      </c>
      <c r="D2" s="21"/>
    </row>
    <row r="3" spans="1:4" ht="30" x14ac:dyDescent="0.25">
      <c r="A3" s="21"/>
      <c r="B3" s="21"/>
      <c r="C3" s="3" t="s">
        <v>45</v>
      </c>
      <c r="D3" s="3" t="s">
        <v>44</v>
      </c>
    </row>
    <row r="4" spans="1:4" x14ac:dyDescent="0.25">
      <c r="A4" s="1">
        <v>1</v>
      </c>
      <c r="B4" s="1">
        <v>5</v>
      </c>
      <c r="C4" s="1">
        <v>6</v>
      </c>
      <c r="D4" s="1">
        <v>7</v>
      </c>
    </row>
    <row r="5" spans="1:4" ht="30" x14ac:dyDescent="0.25">
      <c r="A5" s="3" t="s">
        <v>129</v>
      </c>
      <c r="B5" s="1">
        <f>C5+D5</f>
        <v>27733.371428571427</v>
      </c>
      <c r="C5" s="1">
        <f>C6+C7+C8</f>
        <v>23850.699428571428</v>
      </c>
      <c r="D5" s="1">
        <f>D7+D8</f>
        <v>3882.6719999999996</v>
      </c>
    </row>
    <row r="6" spans="1:4" ht="45" x14ac:dyDescent="0.25">
      <c r="A6" s="3" t="s">
        <v>125</v>
      </c>
      <c r="B6" s="1">
        <f>C6</f>
        <v>19413.36</v>
      </c>
      <c r="C6" s="1">
        <f>Лист4!D5</f>
        <v>19413.36</v>
      </c>
      <c r="D6" s="1" t="s">
        <v>189</v>
      </c>
    </row>
    <row r="7" spans="1:4" x14ac:dyDescent="0.25">
      <c r="A7" s="1" t="s">
        <v>126</v>
      </c>
      <c r="B7" s="1">
        <f>C7+D7</f>
        <v>1386.6685714285713</v>
      </c>
      <c r="C7" s="1">
        <f>Лист4!D6</f>
        <v>277.33371428571428</v>
      </c>
      <c r="D7" s="1">
        <f>Лист4!C6</f>
        <v>1109.3348571428571</v>
      </c>
    </row>
    <row r="8" spans="1:4" x14ac:dyDescent="0.25">
      <c r="A8" s="1" t="s">
        <v>127</v>
      </c>
      <c r="B8" s="1">
        <f>C8+D8</f>
        <v>6933.3428571428567</v>
      </c>
      <c r="C8" s="1">
        <f>Лист4!D7</f>
        <v>4160.005714285714</v>
      </c>
      <c r="D8" s="1">
        <f>Лист4!C7</f>
        <v>2773.3371428571427</v>
      </c>
    </row>
    <row r="9" spans="1:4" x14ac:dyDescent="0.25">
      <c r="A9" s="1" t="s">
        <v>128</v>
      </c>
      <c r="B9" s="1">
        <f>C9+D9</f>
        <v>13847.948205882352</v>
      </c>
      <c r="C9" s="1">
        <f>C10</f>
        <v>9511.7219999999998</v>
      </c>
      <c r="D9" s="1">
        <f>D11+D12+D13+D14</f>
        <v>4336.2262058823535</v>
      </c>
    </row>
    <row r="10" spans="1:4" x14ac:dyDescent="0.25">
      <c r="A10" s="1" t="s">
        <v>130</v>
      </c>
      <c r="B10" s="1">
        <f>C10</f>
        <v>9511.7219999999998</v>
      </c>
      <c r="C10" s="1">
        <f>Лист11!F4/1000</f>
        <v>9511.7219999999998</v>
      </c>
      <c r="D10" s="1" t="s">
        <v>189</v>
      </c>
    </row>
    <row r="11" spans="1:4" x14ac:dyDescent="0.25">
      <c r="A11" s="1" t="s">
        <v>190</v>
      </c>
      <c r="B11" s="1">
        <f>D11</f>
        <v>1119.0261176470588</v>
      </c>
      <c r="C11" s="1" t="s">
        <v>189</v>
      </c>
      <c r="D11" s="1">
        <f>Лист11!F5/1000</f>
        <v>1119.0261176470588</v>
      </c>
    </row>
    <row r="12" spans="1:4" x14ac:dyDescent="0.25">
      <c r="A12" s="1" t="s">
        <v>131</v>
      </c>
      <c r="B12" s="1">
        <f>D12</f>
        <v>1678.5391764705885</v>
      </c>
      <c r="C12" s="1" t="s">
        <v>189</v>
      </c>
      <c r="D12" s="1">
        <f>Лист11!F6/1000</f>
        <v>1678.5391764705885</v>
      </c>
    </row>
    <row r="13" spans="1:4" x14ac:dyDescent="0.25">
      <c r="A13" s="1" t="s">
        <v>132</v>
      </c>
      <c r="B13" s="1">
        <f>D13</f>
        <v>1119.0261176470588</v>
      </c>
      <c r="C13" s="1" t="s">
        <v>189</v>
      </c>
      <c r="D13" s="1">
        <f>Лист11!F7/1000</f>
        <v>1119.0261176470588</v>
      </c>
    </row>
    <row r="14" spans="1:4" x14ac:dyDescent="0.25">
      <c r="A14" s="1" t="s">
        <v>133</v>
      </c>
      <c r="B14" s="1">
        <f>D14</f>
        <v>419.63479411764712</v>
      </c>
      <c r="C14" s="1" t="s">
        <v>189</v>
      </c>
      <c r="D14" s="1">
        <f>Лист11!F8/1000</f>
        <v>419.63479411764712</v>
      </c>
    </row>
    <row r="15" spans="1:4" ht="30" x14ac:dyDescent="0.25">
      <c r="A15" s="3" t="s">
        <v>134</v>
      </c>
      <c r="B15" s="1">
        <f>C15+D15</f>
        <v>4154.3844617647064</v>
      </c>
      <c r="C15" s="1">
        <f>C9/100*30</f>
        <v>2853.5165999999999</v>
      </c>
      <c r="D15" s="1">
        <f>D9/100*30</f>
        <v>1300.867861764706</v>
      </c>
    </row>
    <row r="16" spans="1:4" x14ac:dyDescent="0.25">
      <c r="A16" s="1" t="s">
        <v>120</v>
      </c>
      <c r="B16" s="1">
        <f>D16</f>
        <v>6696.8072515065587</v>
      </c>
      <c r="C16" s="1" t="s">
        <v>189</v>
      </c>
      <c r="D16" s="1">
        <f>Лист8!D14</f>
        <v>6696.8072515065587</v>
      </c>
    </row>
    <row r="17" spans="1:4" x14ac:dyDescent="0.25">
      <c r="A17" s="1" t="s">
        <v>121</v>
      </c>
      <c r="B17" s="1">
        <f>D17</f>
        <v>3051.6276445765898</v>
      </c>
      <c r="C17" s="1" t="s">
        <v>189</v>
      </c>
      <c r="D17" s="1">
        <f>Лист12!B7</f>
        <v>3051.6276445765898</v>
      </c>
    </row>
    <row r="18" spans="1:4" x14ac:dyDescent="0.25">
      <c r="A18" s="1" t="s">
        <v>135</v>
      </c>
      <c r="B18" s="1">
        <f>B5+B9+B15+B16+B17</f>
        <v>55484.138992301632</v>
      </c>
      <c r="C18" s="1">
        <f>C5+C9+C15</f>
        <v>36215.938028571429</v>
      </c>
      <c r="D18" s="1">
        <f>D5+D9+D15</f>
        <v>9519.7660676470587</v>
      </c>
    </row>
  </sheetData>
  <mergeCells count="4">
    <mergeCell ref="B1:D1"/>
    <mergeCell ref="A1:A3"/>
    <mergeCell ref="B2:B3"/>
    <mergeCell ref="C2:D2"/>
  </mergeCells>
  <pageMargins left="0.7" right="0.7" top="0.75" bottom="0.75" header="0.3" footer="0.3"/>
  <ignoredErrors>
    <ignoredError sqref="B6 B15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"/>
  <sheetViews>
    <sheetView workbookViewId="0">
      <selection activeCell="D7" sqref="D7"/>
    </sheetView>
  </sheetViews>
  <sheetFormatPr defaultRowHeight="15" x14ac:dyDescent="0.25"/>
  <cols>
    <col min="1" max="1" width="24.28515625" customWidth="1"/>
    <col min="2" max="2" width="10.85546875" customWidth="1"/>
    <col min="3" max="3" width="13" customWidth="1"/>
    <col min="4" max="4" width="15.28515625" customWidth="1"/>
  </cols>
  <sheetData>
    <row r="1" spans="1:4" x14ac:dyDescent="0.25">
      <c r="A1" s="21" t="s">
        <v>40</v>
      </c>
      <c r="B1" s="21" t="s">
        <v>123</v>
      </c>
      <c r="C1" s="21"/>
      <c r="D1" s="21"/>
    </row>
    <row r="2" spans="1:4" x14ac:dyDescent="0.25">
      <c r="A2" s="21"/>
      <c r="B2" s="24" t="s">
        <v>141</v>
      </c>
      <c r="C2" s="21" t="s">
        <v>142</v>
      </c>
      <c r="D2" s="21"/>
    </row>
    <row r="3" spans="1:4" ht="30" x14ac:dyDescent="0.25">
      <c r="A3" s="21"/>
      <c r="B3" s="24"/>
      <c r="C3" s="3" t="s">
        <v>45</v>
      </c>
      <c r="D3" s="3" t="s">
        <v>143</v>
      </c>
    </row>
    <row r="4" spans="1:4" x14ac:dyDescent="0.25">
      <c r="A4" s="1">
        <v>1</v>
      </c>
      <c r="B4" s="1">
        <v>5</v>
      </c>
      <c r="C4" s="1">
        <v>6</v>
      </c>
      <c r="D4" s="1">
        <v>7</v>
      </c>
    </row>
    <row r="5" spans="1:4" x14ac:dyDescent="0.25">
      <c r="A5" s="1" t="s">
        <v>136</v>
      </c>
      <c r="B5" s="1">
        <f>C5+D5</f>
        <v>23.111142857142855</v>
      </c>
      <c r="C5" s="1">
        <f>Лист13!C5/Лист1!B1</f>
        <v>19.875582857142856</v>
      </c>
      <c r="D5" s="1">
        <f>Лист13!D5/Лист1!B1</f>
        <v>3.2355599999999995</v>
      </c>
    </row>
    <row r="6" spans="1:4" x14ac:dyDescent="0.25">
      <c r="A6" s="1" t="s">
        <v>137</v>
      </c>
      <c r="B6" s="1">
        <f t="shared" ref="B6:B7" si="0">C6+D6</f>
        <v>11.539956838235295</v>
      </c>
      <c r="C6" s="1">
        <f>Лист13!C9/Лист1!B1</f>
        <v>7.9264349999999997</v>
      </c>
      <c r="D6" s="1">
        <f>Лист13!D9/Лист1!B1</f>
        <v>3.6135218382352945</v>
      </c>
    </row>
    <row r="7" spans="1:4" ht="30" x14ac:dyDescent="0.25">
      <c r="A7" s="3" t="s">
        <v>138</v>
      </c>
      <c r="B7" s="1">
        <f t="shared" si="0"/>
        <v>3.4619870514705884</v>
      </c>
      <c r="C7" s="1">
        <f>Лист13!C15/Лист1!B1</f>
        <v>2.3779304999999997</v>
      </c>
      <c r="D7" s="1">
        <f>Лист13!D15/Лист1!B1</f>
        <v>1.0840565514705884</v>
      </c>
    </row>
    <row r="8" spans="1:4" ht="30" x14ac:dyDescent="0.25">
      <c r="A8" s="3" t="s">
        <v>139</v>
      </c>
      <c r="B8" s="1">
        <f>D8</f>
        <v>5.5806727095887991</v>
      </c>
      <c r="C8" s="1" t="s">
        <v>189</v>
      </c>
      <c r="D8" s="1">
        <f>Лист13!D16/Лист1!B1</f>
        <v>5.5806727095887991</v>
      </c>
    </row>
    <row r="9" spans="1:4" x14ac:dyDescent="0.25">
      <c r="A9" s="1" t="s">
        <v>140</v>
      </c>
      <c r="B9" s="1">
        <f>D9</f>
        <v>2.543023037147158</v>
      </c>
      <c r="C9" s="1" t="s">
        <v>189</v>
      </c>
      <c r="D9" s="1">
        <f>Лист13!D17/Лист1!B1</f>
        <v>2.543023037147158</v>
      </c>
    </row>
    <row r="10" spans="1:4" x14ac:dyDescent="0.25">
      <c r="A10" s="1" t="s">
        <v>115</v>
      </c>
      <c r="B10" s="1">
        <f>B5+B6+B7+B8+B9</f>
        <v>46.236782493584691</v>
      </c>
      <c r="C10" s="1">
        <f>C5+C6+C7</f>
        <v>30.179948357142855</v>
      </c>
      <c r="D10" s="1">
        <f>D5+D6+D7+D8+D9</f>
        <v>16.056834136441839</v>
      </c>
    </row>
  </sheetData>
  <mergeCells count="4">
    <mergeCell ref="B1:D1"/>
    <mergeCell ref="B2:B3"/>
    <mergeCell ref="C2:D2"/>
    <mergeCell ref="A1:A3"/>
  </mergeCells>
  <pageMargins left="0.7" right="0.7" top="0.75" bottom="0.75" header="0.3" footer="0.3"/>
  <ignoredErrors>
    <ignoredError sqref="C10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56.28515625" customWidth="1"/>
    <col min="2" max="2" width="18.28515625" customWidth="1"/>
  </cols>
  <sheetData>
    <row r="1" spans="1:2" x14ac:dyDescent="0.25">
      <c r="A1" s="1" t="s">
        <v>144</v>
      </c>
      <c r="B1" s="1" t="s">
        <v>145</v>
      </c>
    </row>
    <row r="2" spans="1:2" x14ac:dyDescent="0.25">
      <c r="A2" s="1" t="s">
        <v>146</v>
      </c>
      <c r="B2" s="1">
        <f>B7*Лист1!B1</f>
        <v>99871.450186142931</v>
      </c>
    </row>
    <row r="3" spans="1:2" x14ac:dyDescent="0.25">
      <c r="A3" s="1" t="s">
        <v>147</v>
      </c>
      <c r="B3" s="1">
        <f>Лист13!B18</f>
        <v>55484.138992301632</v>
      </c>
    </row>
    <row r="4" spans="1:2" x14ac:dyDescent="0.25">
      <c r="A4" s="1" t="s">
        <v>148</v>
      </c>
      <c r="B4" s="1">
        <f>B2-B3</f>
        <v>44387.311193841299</v>
      </c>
    </row>
    <row r="5" spans="1:2" x14ac:dyDescent="0.25">
      <c r="A5" s="1" t="s">
        <v>149</v>
      </c>
      <c r="B5" s="1">
        <f>B4*0.2</f>
        <v>8877.4622387682593</v>
      </c>
    </row>
    <row r="6" spans="1:2" x14ac:dyDescent="0.25">
      <c r="A6" s="1" t="s">
        <v>150</v>
      </c>
      <c r="B6" s="1">
        <f>B4-B5</f>
        <v>35509.848955073037</v>
      </c>
    </row>
    <row r="7" spans="1:2" x14ac:dyDescent="0.25">
      <c r="A7" s="1" t="s">
        <v>191</v>
      </c>
      <c r="B7" s="1">
        <f>Лист14!B10+Лист14!B10*0.8</f>
        <v>83.226208488452443</v>
      </c>
    </row>
  </sheetData>
  <pageMargins left="0.7" right="0.7" top="0.75" bottom="0.75" header="0.3" footer="0.3"/>
  <ignoredErrors>
    <ignoredError sqref="B5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7"/>
  <sheetViews>
    <sheetView workbookViewId="0">
      <selection activeCell="D3" sqref="D3:E3"/>
    </sheetView>
  </sheetViews>
  <sheetFormatPr defaultRowHeight="15" x14ac:dyDescent="0.25"/>
  <cols>
    <col min="10" max="10" width="13.140625" bestFit="1" customWidth="1"/>
  </cols>
  <sheetData>
    <row r="1" spans="1:10" ht="30" x14ac:dyDescent="0.25">
      <c r="A1" s="26" t="s">
        <v>192</v>
      </c>
      <c r="B1" s="26"/>
      <c r="C1" s="26"/>
      <c r="D1" s="26" t="s">
        <v>193</v>
      </c>
      <c r="E1" s="26"/>
      <c r="F1" s="26" t="s">
        <v>153</v>
      </c>
      <c r="G1" s="26"/>
      <c r="H1" s="26" t="s">
        <v>154</v>
      </c>
      <c r="I1" s="26"/>
      <c r="J1" s="16" t="s">
        <v>155</v>
      </c>
    </row>
    <row r="2" spans="1:10" x14ac:dyDescent="0.25">
      <c r="A2" s="27">
        <v>1</v>
      </c>
      <c r="B2" s="28"/>
      <c r="C2" s="29"/>
      <c r="D2" s="27">
        <v>2</v>
      </c>
      <c r="E2" s="29"/>
      <c r="F2" s="27">
        <v>3</v>
      </c>
      <c r="G2" s="29"/>
      <c r="H2" s="27">
        <v>4</v>
      </c>
      <c r="I2" s="29"/>
      <c r="J2" s="17">
        <v>5</v>
      </c>
    </row>
    <row r="3" spans="1:10" x14ac:dyDescent="0.25">
      <c r="A3" s="26" t="s">
        <v>194</v>
      </c>
      <c r="B3" s="26"/>
      <c r="C3" s="26"/>
      <c r="D3" s="30">
        <f>Лист15!$B$3</f>
        <v>55484.138992301632</v>
      </c>
      <c r="E3" s="30"/>
      <c r="F3" s="30" t="s">
        <v>189</v>
      </c>
      <c r="G3" s="30"/>
      <c r="H3" s="31">
        <v>45</v>
      </c>
      <c r="I3" s="31"/>
      <c r="J3" s="18">
        <f>D3*H3/360</f>
        <v>6935.517374037704</v>
      </c>
    </row>
    <row r="4" spans="1:10" x14ac:dyDescent="0.25">
      <c r="A4" s="26" t="s">
        <v>195</v>
      </c>
      <c r="B4" s="26"/>
      <c r="C4" s="26"/>
      <c r="D4" s="30">
        <f>Лист15!$B$3</f>
        <v>55484.138992301632</v>
      </c>
      <c r="E4" s="30"/>
      <c r="F4" s="30" t="s">
        <v>189</v>
      </c>
      <c r="G4" s="30"/>
      <c r="H4" s="31">
        <v>10</v>
      </c>
      <c r="I4" s="31"/>
      <c r="J4" s="18">
        <f t="shared" ref="J4:J5" si="0">D4*H4/360</f>
        <v>1541.2260831194897</v>
      </c>
    </row>
    <row r="5" spans="1:10" x14ac:dyDescent="0.25">
      <c r="A5" s="26" t="s">
        <v>196</v>
      </c>
      <c r="B5" s="26"/>
      <c r="C5" s="26"/>
      <c r="D5" s="30">
        <f>Лист15!$B$3</f>
        <v>55484.138992301632</v>
      </c>
      <c r="E5" s="30"/>
      <c r="F5" s="30" t="s">
        <v>189</v>
      </c>
      <c r="G5" s="30"/>
      <c r="H5" s="31">
        <v>10</v>
      </c>
      <c r="I5" s="31"/>
      <c r="J5" s="18">
        <f t="shared" si="0"/>
        <v>1541.2260831194897</v>
      </c>
    </row>
    <row r="6" spans="1:10" x14ac:dyDescent="0.25">
      <c r="A6" s="26" t="s">
        <v>197</v>
      </c>
      <c r="B6" s="26"/>
      <c r="C6" s="26"/>
      <c r="D6" s="30" t="s">
        <v>189</v>
      </c>
      <c r="E6" s="30"/>
      <c r="F6" s="30">
        <f>Лист15!B2/360</f>
        <v>277.42069496150816</v>
      </c>
      <c r="G6" s="30"/>
      <c r="H6" s="31">
        <v>30</v>
      </c>
      <c r="I6" s="31"/>
      <c r="J6" s="18">
        <f>F6*H6</f>
        <v>8322.6208488452448</v>
      </c>
    </row>
    <row r="7" spans="1:10" x14ac:dyDescent="0.25">
      <c r="A7" s="30" t="s">
        <v>57</v>
      </c>
      <c r="B7" s="30"/>
      <c r="C7" s="30"/>
      <c r="D7" s="30">
        <f>D3+D4+D5</f>
        <v>166452.4169769049</v>
      </c>
      <c r="E7" s="30"/>
      <c r="F7" s="30">
        <f>F6</f>
        <v>277.42069496150816</v>
      </c>
      <c r="G7" s="30"/>
      <c r="H7" s="31"/>
      <c r="I7" s="31"/>
      <c r="J7" s="18">
        <f>J3+J4+J5+J6</f>
        <v>18340.590389121928</v>
      </c>
    </row>
  </sheetData>
  <mergeCells count="28">
    <mergeCell ref="A7:C7"/>
    <mergeCell ref="D7:E7"/>
    <mergeCell ref="F7:G7"/>
    <mergeCell ref="H7:I7"/>
    <mergeCell ref="A5:C5"/>
    <mergeCell ref="D5:E5"/>
    <mergeCell ref="F5:G5"/>
    <mergeCell ref="H5:I5"/>
    <mergeCell ref="A6:C6"/>
    <mergeCell ref="D6:E6"/>
    <mergeCell ref="F6:G6"/>
    <mergeCell ref="H6:I6"/>
    <mergeCell ref="A3:C3"/>
    <mergeCell ref="D3:E3"/>
    <mergeCell ref="F3:G3"/>
    <mergeCell ref="H3:I3"/>
    <mergeCell ref="A4:C4"/>
    <mergeCell ref="D4:E4"/>
    <mergeCell ref="F4:G4"/>
    <mergeCell ref="H4:I4"/>
    <mergeCell ref="A1:C1"/>
    <mergeCell ref="D1:E1"/>
    <mergeCell ref="F1:G1"/>
    <mergeCell ref="H1:I1"/>
    <mergeCell ref="A2:C2"/>
    <mergeCell ref="D2:E2"/>
    <mergeCell ref="F2:G2"/>
    <mergeCell ref="H2:I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6"/>
  <sheetViews>
    <sheetView workbookViewId="0">
      <selection activeCell="E5" sqref="E5"/>
    </sheetView>
  </sheetViews>
  <sheetFormatPr defaultRowHeight="15" x14ac:dyDescent="0.25"/>
  <cols>
    <col min="1" max="1" width="30.28515625" customWidth="1"/>
    <col min="2" max="2" width="18.140625" customWidth="1"/>
    <col min="3" max="3" width="18" customWidth="1"/>
    <col min="5" max="5" width="13.7109375" customWidth="1"/>
  </cols>
  <sheetData>
    <row r="1" spans="1:5" ht="45" x14ac:dyDescent="0.25">
      <c r="A1" s="3" t="s">
        <v>151</v>
      </c>
      <c r="B1" s="3" t="s">
        <v>152</v>
      </c>
      <c r="C1" s="3" t="s">
        <v>153</v>
      </c>
      <c r="D1" s="3" t="s">
        <v>154</v>
      </c>
      <c r="E1" s="3" t="s">
        <v>155</v>
      </c>
    </row>
    <row r="2" spans="1:5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</row>
    <row r="3" spans="1:5" x14ac:dyDescent="0.25">
      <c r="A3" s="1" t="s">
        <v>156</v>
      </c>
      <c r="B3" s="1">
        <f>Лист3!C3</f>
        <v>19413.36</v>
      </c>
      <c r="C3" s="1">
        <f>B3/360</f>
        <v>53.926000000000002</v>
      </c>
      <c r="D3" s="1">
        <v>30</v>
      </c>
      <c r="E3" s="1">
        <f>C3*D3</f>
        <v>1617.78</v>
      </c>
    </row>
    <row r="4" spans="1:5" x14ac:dyDescent="0.25">
      <c r="A4" s="1" t="s">
        <v>157</v>
      </c>
      <c r="B4" s="1">
        <f>Лист3!C4</f>
        <v>1386.6685714285713</v>
      </c>
      <c r="C4" s="1">
        <f t="shared" ref="C4:C5" si="0">B4/360</f>
        <v>3.8518571428571424</v>
      </c>
      <c r="D4" s="1">
        <v>60</v>
      </c>
      <c r="E4" s="1">
        <f t="shared" ref="E4:E5" si="1">C4*D4</f>
        <v>231.11142857142855</v>
      </c>
    </row>
    <row r="5" spans="1:5" x14ac:dyDescent="0.25">
      <c r="A5" s="1" t="s">
        <v>158</v>
      </c>
      <c r="B5" s="1">
        <f>Лист3!C5</f>
        <v>6933.3428571428567</v>
      </c>
      <c r="C5" s="1">
        <f t="shared" si="0"/>
        <v>19.259285714285713</v>
      </c>
      <c r="D5" s="1">
        <v>60</v>
      </c>
      <c r="E5" s="1">
        <f t="shared" si="1"/>
        <v>1155.5571428571427</v>
      </c>
    </row>
    <row r="6" spans="1:5" x14ac:dyDescent="0.25">
      <c r="A6" s="1" t="s">
        <v>57</v>
      </c>
      <c r="B6" s="1">
        <f>B3+B4+B5</f>
        <v>27733.371428571427</v>
      </c>
      <c r="C6" s="1"/>
      <c r="D6" s="1"/>
      <c r="E6" s="1">
        <f>E3+E4+E5</f>
        <v>3004.4485714285711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0"/>
  <sheetViews>
    <sheetView workbookViewId="0">
      <selection activeCell="B5" sqref="B5"/>
    </sheetView>
  </sheetViews>
  <sheetFormatPr defaultRowHeight="15" x14ac:dyDescent="0.25"/>
  <cols>
    <col min="1" max="1" width="36.5703125" customWidth="1"/>
    <col min="2" max="2" width="37.85546875" customWidth="1"/>
  </cols>
  <sheetData>
    <row r="1" spans="1:2" x14ac:dyDescent="0.25">
      <c r="A1" s="21" t="s">
        <v>159</v>
      </c>
      <c r="B1" s="1" t="s">
        <v>155</v>
      </c>
    </row>
    <row r="2" spans="1:2" x14ac:dyDescent="0.25">
      <c r="A2" s="21"/>
      <c r="B2" s="1" t="s">
        <v>123</v>
      </c>
    </row>
    <row r="3" spans="1:2" x14ac:dyDescent="0.25">
      <c r="A3" s="1">
        <v>1</v>
      </c>
      <c r="B3" s="1">
        <v>2</v>
      </c>
    </row>
    <row r="4" spans="1:2" x14ac:dyDescent="0.25">
      <c r="A4" s="1" t="s">
        <v>160</v>
      </c>
      <c r="B4" s="19">
        <f>Лист17!E6</f>
        <v>3004.4485714285711</v>
      </c>
    </row>
    <row r="5" spans="1:2" x14ac:dyDescent="0.25">
      <c r="A5" s="1" t="s">
        <v>161</v>
      </c>
      <c r="B5" s="19">
        <f>Лист16!J3</f>
        <v>6935.517374037704</v>
      </c>
    </row>
    <row r="6" spans="1:2" x14ac:dyDescent="0.25">
      <c r="A6" s="1" t="s">
        <v>162</v>
      </c>
      <c r="B6" s="19">
        <f>Лист16!J4</f>
        <v>1541.2260831194897</v>
      </c>
    </row>
    <row r="7" spans="1:2" x14ac:dyDescent="0.25">
      <c r="A7" s="1" t="s">
        <v>163</v>
      </c>
      <c r="B7" s="19">
        <f>Лист16!J5</f>
        <v>1541.2260831194897</v>
      </c>
    </row>
    <row r="8" spans="1:2" x14ac:dyDescent="0.25">
      <c r="A8" s="1" t="s">
        <v>164</v>
      </c>
      <c r="B8" s="19">
        <f>Лист16!J6</f>
        <v>8322.6208488452448</v>
      </c>
    </row>
    <row r="9" spans="1:2" x14ac:dyDescent="0.25">
      <c r="A9" s="1" t="s">
        <v>165</v>
      </c>
      <c r="B9" s="1">
        <f>(B4+B5+B6+B7+B8)*0.05/0.95</f>
        <v>1123.4231031868683</v>
      </c>
    </row>
    <row r="10" spans="1:2" x14ac:dyDescent="0.25">
      <c r="A10" s="1" t="s">
        <v>57</v>
      </c>
      <c r="B10" s="19">
        <f>B4+B5+B6+B7+B8+B9</f>
        <v>22468.462063737366</v>
      </c>
    </row>
  </sheetData>
  <mergeCells count="1">
    <mergeCell ref="A1:A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3"/>
  <sheetViews>
    <sheetView zoomScaleNormal="100" workbookViewId="0">
      <selection activeCell="B13" sqref="B13"/>
    </sheetView>
  </sheetViews>
  <sheetFormatPr defaultRowHeight="15" x14ac:dyDescent="0.25"/>
  <cols>
    <col min="1" max="1" width="36.42578125" customWidth="1"/>
    <col min="2" max="2" width="18.28515625" customWidth="1"/>
  </cols>
  <sheetData>
    <row r="1" spans="1:2" x14ac:dyDescent="0.25">
      <c r="A1" s="1" t="s">
        <v>166</v>
      </c>
      <c r="B1" s="2" t="s">
        <v>145</v>
      </c>
    </row>
    <row r="2" spans="1:2" x14ac:dyDescent="0.25">
      <c r="A2" s="1">
        <v>1</v>
      </c>
      <c r="B2" s="1">
        <v>2</v>
      </c>
    </row>
    <row r="3" spans="1:2" x14ac:dyDescent="0.25">
      <c r="A3" s="1" t="s">
        <v>167</v>
      </c>
      <c r="B3" s="1">
        <f>Лист1!B1</f>
        <v>1200</v>
      </c>
    </row>
    <row r="4" spans="1:2" ht="30" x14ac:dyDescent="0.25">
      <c r="A4" s="3" t="s">
        <v>168</v>
      </c>
      <c r="B4" s="1">
        <f>Лист15!B2</f>
        <v>99871.450186142931</v>
      </c>
    </row>
    <row r="5" spans="1:2" ht="30" customHeight="1" x14ac:dyDescent="0.25">
      <c r="A5" s="3" t="s">
        <v>170</v>
      </c>
      <c r="B5" s="1">
        <f>Лист14!B10</f>
        <v>46.236782493584691</v>
      </c>
    </row>
    <row r="6" spans="1:2" x14ac:dyDescent="0.25">
      <c r="A6" s="1" t="s">
        <v>169</v>
      </c>
      <c r="B6" s="1">
        <f>Лист14!D10</f>
        <v>16.056834136441839</v>
      </c>
    </row>
    <row r="7" spans="1:2" x14ac:dyDescent="0.25">
      <c r="A7" s="1" t="s">
        <v>171</v>
      </c>
      <c r="B7" s="1">
        <f>Лист14!C10</f>
        <v>30.179948357142855</v>
      </c>
    </row>
    <row r="8" spans="1:2" ht="30" x14ac:dyDescent="0.25">
      <c r="A8" s="3" t="s">
        <v>172</v>
      </c>
      <c r="B8" s="1">
        <f>Лист7!C14</f>
        <v>146241.47619047618</v>
      </c>
    </row>
    <row r="9" spans="1:2" ht="30" x14ac:dyDescent="0.25">
      <c r="A9" s="3" t="s">
        <v>173</v>
      </c>
      <c r="B9" s="19">
        <f>Лист18!B10</f>
        <v>22468.462063737366</v>
      </c>
    </row>
    <row r="10" spans="1:2" ht="30" customHeight="1" x14ac:dyDescent="0.25">
      <c r="A10" s="3" t="s">
        <v>198</v>
      </c>
      <c r="B10" s="11">
        <f>Лист10!B9</f>
        <v>68.664169787765303</v>
      </c>
    </row>
    <row r="11" spans="1:2" x14ac:dyDescent="0.25">
      <c r="A11" s="2" t="s">
        <v>174</v>
      </c>
      <c r="B11" s="1">
        <f>(Лист13!B9+Лист13!B15)</f>
        <v>18002.332667647061</v>
      </c>
    </row>
    <row r="12" spans="1:2" x14ac:dyDescent="0.25">
      <c r="A12" s="2" t="s">
        <v>175</v>
      </c>
      <c r="B12" s="10">
        <f>Лист8!D14</f>
        <v>6696.8072515065587</v>
      </c>
    </row>
    <row r="13" spans="1:2" ht="45" x14ac:dyDescent="0.25">
      <c r="A13" s="3" t="s">
        <v>176</v>
      </c>
      <c r="B13" s="10">
        <f>Лист3!C6</f>
        <v>27733.371428571427</v>
      </c>
    </row>
    <row r="14" spans="1:2" ht="45" x14ac:dyDescent="0.25">
      <c r="A14" s="3" t="s">
        <v>177</v>
      </c>
      <c r="B14" s="1">
        <f>B3/B10</f>
        <v>17.476363636363633</v>
      </c>
    </row>
    <row r="15" spans="1:2" ht="30" x14ac:dyDescent="0.25">
      <c r="A15" s="3" t="s">
        <v>178</v>
      </c>
      <c r="B15" s="1">
        <f>B3/Лист10!B3</f>
        <v>38.836363636363636</v>
      </c>
    </row>
    <row r="16" spans="1:2" ht="30" x14ac:dyDescent="0.25">
      <c r="A16" s="3" t="s">
        <v>179</v>
      </c>
      <c r="B16" s="1">
        <f>B4/B8</f>
        <v>0.68292151301907433</v>
      </c>
    </row>
    <row r="17" spans="1:2" x14ac:dyDescent="0.25">
      <c r="A17" s="3" t="s">
        <v>180</v>
      </c>
      <c r="B17" s="1">
        <f>B8/B4</f>
        <v>1.4642971131179894</v>
      </c>
    </row>
    <row r="18" spans="1:2" ht="30" x14ac:dyDescent="0.25">
      <c r="A18" s="3" t="s">
        <v>181</v>
      </c>
      <c r="B18" s="1">
        <f>Лист15!B6/(B8+B9)*100</f>
        <v>21.047870281101343</v>
      </c>
    </row>
    <row r="19" spans="1:2" ht="30" x14ac:dyDescent="0.25">
      <c r="A19" s="3" t="s">
        <v>182</v>
      </c>
      <c r="B19" s="1">
        <f>Лист15!B6/Лист15!B3*100</f>
        <v>63.999999999999993</v>
      </c>
    </row>
    <row r="20" spans="1:2" ht="30" x14ac:dyDescent="0.25">
      <c r="A20" s="3" t="s">
        <v>183</v>
      </c>
      <c r="B20" s="1">
        <f>Лист15!B6/Лист15!B2*100</f>
        <v>35.55555555555555</v>
      </c>
    </row>
    <row r="21" spans="1:2" ht="30" x14ac:dyDescent="0.25">
      <c r="A21" s="3" t="s">
        <v>184</v>
      </c>
      <c r="B21" s="1">
        <f>B4/B9</f>
        <v>4.4449615600227901</v>
      </c>
    </row>
    <row r="22" spans="1:2" ht="30" x14ac:dyDescent="0.25">
      <c r="A22" s="3" t="s">
        <v>185</v>
      </c>
      <c r="B22" s="1">
        <f>360/B21</f>
        <v>80.990576664999153</v>
      </c>
    </row>
    <row r="23" spans="1:2" ht="30" x14ac:dyDescent="0.25">
      <c r="A23" s="3" t="s">
        <v>186</v>
      </c>
      <c r="B23" s="1">
        <f>(B8+B9)/(B12+Лист15!B6)*12</f>
        <v>47.966824217052292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G6" sqref="G6"/>
    </sheetView>
  </sheetViews>
  <sheetFormatPr defaultRowHeight="15" x14ac:dyDescent="0.25"/>
  <cols>
    <col min="1" max="1" width="27.5703125" customWidth="1"/>
    <col min="2" max="2" width="15" customWidth="1"/>
    <col min="3" max="3" width="14.7109375" customWidth="1"/>
    <col min="7" max="7" width="15.28515625" customWidth="1"/>
  </cols>
  <sheetData>
    <row r="1" spans="1:7" x14ac:dyDescent="0.25">
      <c r="A1" s="21" t="s">
        <v>20</v>
      </c>
      <c r="B1" s="21" t="s">
        <v>21</v>
      </c>
      <c r="C1" s="21" t="s">
        <v>22</v>
      </c>
      <c r="D1" s="21" t="s">
        <v>23</v>
      </c>
      <c r="E1" s="21"/>
      <c r="F1" s="21"/>
      <c r="G1" s="21" t="s">
        <v>24</v>
      </c>
    </row>
    <row r="2" spans="1:7" x14ac:dyDescent="0.25">
      <c r="A2" s="21"/>
      <c r="B2" s="21"/>
      <c r="C2" s="21"/>
      <c r="D2" s="1" t="s">
        <v>25</v>
      </c>
      <c r="E2" s="1" t="s">
        <v>26</v>
      </c>
      <c r="F2" s="1" t="s">
        <v>27</v>
      </c>
      <c r="G2" s="21"/>
    </row>
    <row r="3" spans="1:7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</row>
    <row r="4" spans="1:7" ht="45" customHeight="1" x14ac:dyDescent="0.25">
      <c r="A4" s="3" t="s">
        <v>39</v>
      </c>
      <c r="B4" s="1">
        <f>Лист1!B5</f>
        <v>80</v>
      </c>
      <c r="C4" s="1">
        <f>Лист1!B6</f>
        <v>32.5</v>
      </c>
      <c r="D4" s="1">
        <f>Лист1!B7</f>
        <v>10</v>
      </c>
      <c r="E4" s="1">
        <f>Лист1!B8</f>
        <v>4.5</v>
      </c>
      <c r="F4" s="1">
        <f>D4*E4</f>
        <v>45</v>
      </c>
      <c r="G4" s="1">
        <f>B4*C4*1.05-F4</f>
        <v>2685</v>
      </c>
    </row>
    <row r="5" spans="1:7" x14ac:dyDescent="0.25">
      <c r="A5" s="2" t="s">
        <v>28</v>
      </c>
      <c r="B5" s="1">
        <f>Лист1!B10</f>
        <v>60</v>
      </c>
      <c r="C5" s="1">
        <f>Лист1!B11</f>
        <v>105</v>
      </c>
      <c r="D5" s="1">
        <f>Лист1!B12</f>
        <v>6</v>
      </c>
      <c r="E5" s="1">
        <f>Лист1!B13</f>
        <v>8.6999999999999993</v>
      </c>
      <c r="F5" s="1">
        <f>D5*E5</f>
        <v>52.199999999999996</v>
      </c>
      <c r="G5" s="1">
        <f>B5*C5*1.05-F5</f>
        <v>6562.8</v>
      </c>
    </row>
    <row r="6" spans="1:7" x14ac:dyDescent="0.25">
      <c r="A6" s="2" t="s">
        <v>29</v>
      </c>
      <c r="B6" s="1" t="s">
        <v>31</v>
      </c>
      <c r="C6" s="1" t="s">
        <v>31</v>
      </c>
      <c r="D6" s="1" t="s">
        <v>31</v>
      </c>
      <c r="E6" s="1" t="s">
        <v>31</v>
      </c>
      <c r="F6" s="1" t="s">
        <v>31</v>
      </c>
      <c r="G6" s="13">
        <f>Лист1!B14*1.05</f>
        <v>6930</v>
      </c>
    </row>
    <row r="7" spans="1:7" x14ac:dyDescent="0.25">
      <c r="A7" s="2" t="s">
        <v>30</v>
      </c>
      <c r="B7" s="1" t="s">
        <v>31</v>
      </c>
      <c r="C7" s="1" t="s">
        <v>31</v>
      </c>
      <c r="D7" s="1" t="s">
        <v>31</v>
      </c>
      <c r="E7" s="1" t="s">
        <v>31</v>
      </c>
      <c r="F7" s="1" t="s">
        <v>31</v>
      </c>
      <c r="G7" s="1">
        <f>G4+G5+G6</f>
        <v>16177.8</v>
      </c>
    </row>
  </sheetData>
  <mergeCells count="5">
    <mergeCell ref="D1:F1"/>
    <mergeCell ref="A1:A2"/>
    <mergeCell ref="B1:B2"/>
    <mergeCell ref="C1:C2"/>
    <mergeCell ref="G1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C4" sqref="C4"/>
    </sheetView>
  </sheetViews>
  <sheetFormatPr defaultRowHeight="15" x14ac:dyDescent="0.25"/>
  <cols>
    <col min="1" max="1" width="47.5703125" customWidth="1"/>
    <col min="2" max="2" width="54.7109375" customWidth="1"/>
    <col min="3" max="3" width="14.140625" customWidth="1"/>
  </cols>
  <sheetData>
    <row r="1" spans="1:3" x14ac:dyDescent="0.25">
      <c r="A1" s="1" t="s">
        <v>32</v>
      </c>
      <c r="B1" s="1" t="s">
        <v>33</v>
      </c>
      <c r="C1" s="1" t="s">
        <v>34</v>
      </c>
    </row>
    <row r="2" spans="1:3" x14ac:dyDescent="0.25">
      <c r="A2" s="1">
        <v>1</v>
      </c>
      <c r="B2" s="1">
        <v>2</v>
      </c>
      <c r="C2" s="1">
        <v>3</v>
      </c>
    </row>
    <row r="3" spans="1:3" ht="30" x14ac:dyDescent="0.25">
      <c r="A3" s="3" t="s">
        <v>35</v>
      </c>
      <c r="B3" s="1">
        <v>70</v>
      </c>
      <c r="C3" s="4">
        <f>Лист1!B1*Лист2!G7/1000</f>
        <v>19413.36</v>
      </c>
    </row>
    <row r="4" spans="1:3" ht="45" x14ac:dyDescent="0.25">
      <c r="A4" s="3" t="s">
        <v>38</v>
      </c>
      <c r="B4" s="1">
        <v>5</v>
      </c>
      <c r="C4" s="1">
        <f>C6*B4/100</f>
        <v>1386.6685714285713</v>
      </c>
    </row>
    <row r="5" spans="1:3" x14ac:dyDescent="0.25">
      <c r="A5" s="1" t="s">
        <v>37</v>
      </c>
      <c r="B5" s="1">
        <v>25</v>
      </c>
      <c r="C5" s="1">
        <f>C6*B5/B6</f>
        <v>6933.3428571428567</v>
      </c>
    </row>
    <row r="6" spans="1:3" x14ac:dyDescent="0.25">
      <c r="A6" s="1" t="s">
        <v>36</v>
      </c>
      <c r="B6" s="1">
        <v>100</v>
      </c>
      <c r="C6" s="1">
        <f>C3*B6/B3</f>
        <v>27733.371428571427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topLeftCell="A4" workbookViewId="0">
      <selection activeCell="F8" sqref="F8"/>
    </sheetView>
  </sheetViews>
  <sheetFormatPr defaultRowHeight="15" x14ac:dyDescent="0.25"/>
  <cols>
    <col min="1" max="1" width="18.28515625" customWidth="1"/>
    <col min="2" max="2" width="14.7109375" customWidth="1"/>
    <col min="3" max="3" width="16.42578125" customWidth="1"/>
    <col min="4" max="4" width="18.42578125" customWidth="1"/>
    <col min="5" max="5" width="18.7109375" customWidth="1"/>
    <col min="6" max="6" width="16.42578125" customWidth="1"/>
    <col min="7" max="7" width="14.42578125" customWidth="1"/>
  </cols>
  <sheetData>
    <row r="1" spans="1:7" x14ac:dyDescent="0.25">
      <c r="A1" s="21" t="s">
        <v>40</v>
      </c>
      <c r="B1" s="21" t="s">
        <v>41</v>
      </c>
      <c r="C1" s="21"/>
      <c r="D1" s="21"/>
      <c r="E1" s="21" t="s">
        <v>42</v>
      </c>
      <c r="F1" s="21"/>
      <c r="G1" s="21"/>
    </row>
    <row r="2" spans="1:7" x14ac:dyDescent="0.25">
      <c r="A2" s="21"/>
      <c r="B2" s="21" t="s">
        <v>34</v>
      </c>
      <c r="C2" s="21" t="s">
        <v>43</v>
      </c>
      <c r="D2" s="21"/>
      <c r="E2" s="21" t="s">
        <v>34</v>
      </c>
      <c r="F2" s="21" t="s">
        <v>43</v>
      </c>
      <c r="G2" s="21"/>
    </row>
    <row r="3" spans="1:7" ht="30" x14ac:dyDescent="0.25">
      <c r="A3" s="21"/>
      <c r="B3" s="21"/>
      <c r="C3" s="3" t="s">
        <v>44</v>
      </c>
      <c r="D3" s="3" t="s">
        <v>45</v>
      </c>
      <c r="E3" s="21"/>
      <c r="F3" s="3" t="s">
        <v>44</v>
      </c>
      <c r="G3" s="3" t="s">
        <v>45</v>
      </c>
    </row>
    <row r="4" spans="1:7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</row>
    <row r="5" spans="1:7" ht="75" x14ac:dyDescent="0.25">
      <c r="A5" s="3" t="s">
        <v>46</v>
      </c>
      <c r="B5" s="1">
        <f>Лист3!C3</f>
        <v>19413.36</v>
      </c>
      <c r="C5" s="1" t="s">
        <v>31</v>
      </c>
      <c r="D5" s="1">
        <f>B5</f>
        <v>19413.36</v>
      </c>
      <c r="E5" s="1">
        <f>D5/Лист1!B1</f>
        <v>16.177800000000001</v>
      </c>
      <c r="F5" s="1" t="s">
        <v>31</v>
      </c>
      <c r="G5" s="1">
        <f>E5</f>
        <v>16.177800000000001</v>
      </c>
    </row>
    <row r="6" spans="1:7" ht="93" customHeight="1" x14ac:dyDescent="0.25">
      <c r="A6" s="3" t="s">
        <v>47</v>
      </c>
      <c r="B6" s="1">
        <f>Лист3!C4</f>
        <v>1386.6685714285713</v>
      </c>
      <c r="C6" s="1">
        <f>Лист3!C4*80/100</f>
        <v>1109.3348571428571</v>
      </c>
      <c r="D6" s="1">
        <f>Лист3!C4*20/100</f>
        <v>277.33371428571428</v>
      </c>
      <c r="E6" s="1">
        <f>B6/Лист1!B1</f>
        <v>1.1555571428571427</v>
      </c>
      <c r="F6" s="1">
        <f>C6/Лист1!B1</f>
        <v>0.92444571428571432</v>
      </c>
      <c r="G6" s="1">
        <f>D6/Лист1!B1</f>
        <v>0.23111142857142858</v>
      </c>
    </row>
    <row r="7" spans="1:7" ht="45" x14ac:dyDescent="0.25">
      <c r="A7" s="3" t="s">
        <v>48</v>
      </c>
      <c r="B7" s="1">
        <f>Лист3!C5</f>
        <v>6933.3428571428567</v>
      </c>
      <c r="C7" s="1">
        <f>Лист3!C5*40/100</f>
        <v>2773.3371428571427</v>
      </c>
      <c r="D7" s="1">
        <f>Лист3!C5*60/100</f>
        <v>4160.005714285714</v>
      </c>
      <c r="E7" s="1">
        <f>B7/Лист1!B1</f>
        <v>5.7777857142857139</v>
      </c>
      <c r="F7" s="1">
        <f>C7/Лист1!B1</f>
        <v>2.3111142857142855</v>
      </c>
      <c r="G7" s="1">
        <f>D7/Лист1!B1</f>
        <v>3.4666714285714284</v>
      </c>
    </row>
    <row r="8" spans="1:7" ht="45" x14ac:dyDescent="0.25">
      <c r="A8" s="7" t="s">
        <v>36</v>
      </c>
      <c r="B8" s="1">
        <f>Лист3!C6</f>
        <v>27733.371428571427</v>
      </c>
      <c r="C8" s="1">
        <f>C6+C7</f>
        <v>3882.6719999999996</v>
      </c>
      <c r="D8" s="1">
        <f>D5+D6+D7</f>
        <v>23850.699428571428</v>
      </c>
      <c r="E8" s="1">
        <f>E5+E6+E7</f>
        <v>23.111142857142855</v>
      </c>
      <c r="F8" s="1">
        <f>F6+F7</f>
        <v>3.2355599999999995</v>
      </c>
      <c r="G8" s="1">
        <f>G5+G6+G7</f>
        <v>19.875582857142856</v>
      </c>
    </row>
  </sheetData>
  <mergeCells count="7">
    <mergeCell ref="B1:D1"/>
    <mergeCell ref="B2:B3"/>
    <mergeCell ref="A1:A3"/>
    <mergeCell ref="C2:D2"/>
    <mergeCell ref="E1:G1"/>
    <mergeCell ref="F2:G2"/>
    <mergeCell ref="E2:E3"/>
  </mergeCells>
  <pageMargins left="0.7" right="0.7" top="0.75" bottom="0.75" header="0.3" footer="0.3"/>
  <ignoredErrors>
    <ignoredError sqref="F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B8" sqref="B8"/>
    </sheetView>
  </sheetViews>
  <sheetFormatPr defaultRowHeight="15" x14ac:dyDescent="0.25"/>
  <cols>
    <col min="1" max="1" width="18" customWidth="1"/>
    <col min="2" max="2" width="27.42578125" customWidth="1"/>
    <col min="3" max="3" width="27.28515625" customWidth="1"/>
    <col min="4" max="4" width="18.42578125" customWidth="1"/>
    <col min="5" max="5" width="19.28515625" customWidth="1"/>
    <col min="6" max="6" width="25.140625" customWidth="1"/>
  </cols>
  <sheetData>
    <row r="1" spans="1:6" ht="51.75" customHeight="1" x14ac:dyDescent="0.25">
      <c r="A1" s="24" t="s">
        <v>49</v>
      </c>
      <c r="B1" s="24" t="s">
        <v>61</v>
      </c>
      <c r="C1" s="24" t="s">
        <v>50</v>
      </c>
      <c r="D1" s="24" t="s">
        <v>51</v>
      </c>
      <c r="E1" s="21" t="s">
        <v>52</v>
      </c>
      <c r="F1" s="21"/>
    </row>
    <row r="2" spans="1:6" x14ac:dyDescent="0.25">
      <c r="A2" s="24"/>
      <c r="B2" s="24"/>
      <c r="C2" s="24"/>
      <c r="D2" s="24"/>
      <c r="E2" s="1" t="s">
        <v>53</v>
      </c>
      <c r="F2" s="1" t="s">
        <v>54</v>
      </c>
    </row>
    <row r="3" spans="1:6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</row>
    <row r="4" spans="1:6" x14ac:dyDescent="0.25">
      <c r="A4" s="1" t="s">
        <v>55</v>
      </c>
      <c r="B4" s="1">
        <f>8*Лист1!B1</f>
        <v>9600</v>
      </c>
      <c r="C4" s="1">
        <f>260*2*8*(1-10/100)</f>
        <v>3744</v>
      </c>
      <c r="D4" s="1">
        <f>Лист1!B27</f>
        <v>1.2</v>
      </c>
      <c r="E4" s="1">
        <f>B4/(C4*D4)</f>
        <v>2.1367521367521367</v>
      </c>
      <c r="F4" s="13">
        <f>ROUNDUP(E4,0)</f>
        <v>3</v>
      </c>
    </row>
    <row r="5" spans="1:6" x14ac:dyDescent="0.25">
      <c r="A5" s="1" t="s">
        <v>56</v>
      </c>
      <c r="B5" s="1">
        <f>18*Лист1!B1</f>
        <v>21600</v>
      </c>
      <c r="C5" s="1">
        <f t="shared" ref="C5:C8" si="0">260*2*8*(1-10/100)</f>
        <v>3744</v>
      </c>
      <c r="D5" s="1">
        <f>Лист1!B27</f>
        <v>1.2</v>
      </c>
      <c r="E5" s="1">
        <f>B5/(C5*D5)</f>
        <v>4.8076923076923075</v>
      </c>
      <c r="F5" s="13">
        <f t="shared" ref="F5:F8" si="1">ROUNDUP(E5,0)</f>
        <v>5</v>
      </c>
    </row>
    <row r="6" spans="1:6" x14ac:dyDescent="0.25">
      <c r="A6" s="1" t="s">
        <v>58</v>
      </c>
      <c r="B6" s="1">
        <f>10*Лист1!B1</f>
        <v>12000</v>
      </c>
      <c r="C6" s="1">
        <f t="shared" si="0"/>
        <v>3744</v>
      </c>
      <c r="D6" s="1">
        <f>Лист1!B27</f>
        <v>1.2</v>
      </c>
      <c r="E6" s="1">
        <f>B6/(C6*D6)</f>
        <v>2.6709401709401708</v>
      </c>
      <c r="F6" s="13">
        <f t="shared" si="1"/>
        <v>3</v>
      </c>
    </row>
    <row r="7" spans="1:6" x14ac:dyDescent="0.25">
      <c r="A7" s="1" t="s">
        <v>59</v>
      </c>
      <c r="B7" s="1">
        <f>12*Лист1!B1</f>
        <v>14400</v>
      </c>
      <c r="C7" s="1">
        <f t="shared" si="0"/>
        <v>3744</v>
      </c>
      <c r="D7" s="1">
        <f>Лист1!B27</f>
        <v>1.2</v>
      </c>
      <c r="E7" s="1">
        <f>B7/(C7*D7)</f>
        <v>3.2051282051282048</v>
      </c>
      <c r="F7" s="13">
        <f t="shared" si="1"/>
        <v>4</v>
      </c>
    </row>
    <row r="8" spans="1:6" x14ac:dyDescent="0.25">
      <c r="A8" s="1" t="s">
        <v>60</v>
      </c>
      <c r="B8" s="1">
        <f>7*Лист1!B1</f>
        <v>8400</v>
      </c>
      <c r="C8" s="1">
        <f t="shared" si="0"/>
        <v>3744</v>
      </c>
      <c r="D8" s="1">
        <f>Лист1!B27</f>
        <v>1.2</v>
      </c>
      <c r="E8" s="1">
        <f>B8/(C8*D8)</f>
        <v>1.8696581196581197</v>
      </c>
      <c r="F8" s="13">
        <f t="shared" si="1"/>
        <v>2</v>
      </c>
    </row>
    <row r="9" spans="1:6" x14ac:dyDescent="0.25">
      <c r="A9" s="1" t="s">
        <v>57</v>
      </c>
      <c r="B9" s="1">
        <f>B4+B5+B6+B7+B8</f>
        <v>66000</v>
      </c>
      <c r="C9" s="1" t="s">
        <v>31</v>
      </c>
      <c r="D9" s="1" t="s">
        <v>31</v>
      </c>
      <c r="E9" s="1">
        <f>E4+E5+E6+E7+E8</f>
        <v>14.690170940170939</v>
      </c>
      <c r="F9" s="13">
        <f>F4+F5+F6+F7+F8</f>
        <v>17</v>
      </c>
    </row>
  </sheetData>
  <mergeCells count="5">
    <mergeCell ref="E1:F1"/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37" sqref="D37"/>
    </sheetView>
  </sheetViews>
  <sheetFormatPr defaultRowHeight="15" x14ac:dyDescent="0.25"/>
  <cols>
    <col min="1" max="1" width="18.28515625" customWidth="1"/>
    <col min="2" max="2" width="27.5703125" customWidth="1"/>
    <col min="3" max="3" width="18.28515625" customWidth="1"/>
    <col min="4" max="4" width="29" customWidth="1"/>
  </cols>
  <sheetData>
    <row r="1" spans="1:4" ht="45" x14ac:dyDescent="0.25">
      <c r="A1" s="3" t="s">
        <v>49</v>
      </c>
      <c r="B1" s="3" t="s">
        <v>62</v>
      </c>
      <c r="C1" s="3" t="s">
        <v>63</v>
      </c>
      <c r="D1" s="3" t="s">
        <v>64</v>
      </c>
    </row>
    <row r="2" spans="1:4" x14ac:dyDescent="0.25">
      <c r="A2" s="1">
        <v>1</v>
      </c>
      <c r="B2" s="1">
        <v>2</v>
      </c>
      <c r="C2" s="1">
        <v>3</v>
      </c>
      <c r="D2" s="1">
        <v>4</v>
      </c>
    </row>
    <row r="3" spans="1:4" x14ac:dyDescent="0.25">
      <c r="A3" s="1" t="s">
        <v>55</v>
      </c>
      <c r="B3" s="1">
        <f>Лист1!B28</f>
        <v>394.2</v>
      </c>
      <c r="C3" s="1">
        <f>Лист5!F4</f>
        <v>3</v>
      </c>
      <c r="D3" s="1">
        <f>B3*C3*(1+(10/100)+(20/100)+(15/100))</f>
        <v>1714.7699999999998</v>
      </c>
    </row>
    <row r="4" spans="1:4" x14ac:dyDescent="0.25">
      <c r="A4" s="1" t="s">
        <v>56</v>
      </c>
      <c r="B4" s="1">
        <f>Лист1!B29</f>
        <v>7128.3</v>
      </c>
      <c r="C4" s="1">
        <f>Лист5!F5</f>
        <v>5</v>
      </c>
      <c r="D4" s="1">
        <f t="shared" ref="D4:D7" si="0">B4*C4*(1+(10/100)+(20/100)+(15/100))</f>
        <v>51680.174999999996</v>
      </c>
    </row>
    <row r="5" spans="1:4" x14ac:dyDescent="0.25">
      <c r="A5" s="1" t="s">
        <v>58</v>
      </c>
      <c r="B5" s="1">
        <f>Лист1!B30</f>
        <v>228.3</v>
      </c>
      <c r="C5" s="1">
        <f>Лист5!F6</f>
        <v>3</v>
      </c>
      <c r="D5" s="1">
        <f t="shared" si="0"/>
        <v>993.10500000000013</v>
      </c>
    </row>
    <row r="6" spans="1:4" x14ac:dyDescent="0.25">
      <c r="A6" s="1" t="s">
        <v>59</v>
      </c>
      <c r="B6" s="1">
        <f>Лист1!B31</f>
        <v>1141.5</v>
      </c>
      <c r="C6" s="1">
        <f>Лист5!F7</f>
        <v>4</v>
      </c>
      <c r="D6" s="1">
        <f t="shared" si="0"/>
        <v>6620.7</v>
      </c>
    </row>
    <row r="7" spans="1:4" x14ac:dyDescent="0.25">
      <c r="A7" s="1" t="s">
        <v>60</v>
      </c>
      <c r="B7" s="1">
        <f>Лист1!B32</f>
        <v>142.30000000000001</v>
      </c>
      <c r="C7" s="1">
        <f>Лист5!F8</f>
        <v>2</v>
      </c>
      <c r="D7" s="1">
        <f t="shared" si="0"/>
        <v>412.67</v>
      </c>
    </row>
    <row r="8" spans="1:4" x14ac:dyDescent="0.25">
      <c r="A8" s="1" t="s">
        <v>57</v>
      </c>
      <c r="B8" s="1">
        <f>B3+B4+B5+B6+B7</f>
        <v>9034.5999999999985</v>
      </c>
      <c r="C8" s="1">
        <f>C3+C4+C5+C6+C7</f>
        <v>17</v>
      </c>
      <c r="D8" s="1">
        <f>D3+D4+D5+D6+D7</f>
        <v>61421.419999999991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"/>
  <sheetViews>
    <sheetView workbookViewId="0">
      <selection activeCell="C12" sqref="C12"/>
    </sheetView>
  </sheetViews>
  <sheetFormatPr defaultRowHeight="15" x14ac:dyDescent="0.25"/>
  <cols>
    <col min="1" max="1" width="34.140625" customWidth="1"/>
    <col min="2" max="2" width="22.28515625" customWidth="1"/>
    <col min="3" max="3" width="18.140625" customWidth="1"/>
  </cols>
  <sheetData>
    <row r="1" spans="1:3" x14ac:dyDescent="0.25">
      <c r="A1" s="1" t="s">
        <v>65</v>
      </c>
      <c r="B1" s="1" t="s">
        <v>66</v>
      </c>
      <c r="C1" s="1" t="s">
        <v>34</v>
      </c>
    </row>
    <row r="2" spans="1:3" x14ac:dyDescent="0.25">
      <c r="A2" s="1" t="s">
        <v>67</v>
      </c>
      <c r="B2" s="1">
        <v>30</v>
      </c>
      <c r="C2" s="1">
        <f>C13*B2</f>
        <v>43872.442857142851</v>
      </c>
    </row>
    <row r="3" spans="1:3" x14ac:dyDescent="0.25">
      <c r="A3" s="1" t="s">
        <v>68</v>
      </c>
      <c r="B3" s="1">
        <v>7</v>
      </c>
      <c r="C3" s="1">
        <f>C13*B3</f>
        <v>10236.903333333332</v>
      </c>
    </row>
    <row r="4" spans="1:3" x14ac:dyDescent="0.25">
      <c r="A4" s="1" t="s">
        <v>69</v>
      </c>
      <c r="B4" s="1">
        <v>3</v>
      </c>
      <c r="C4" s="1">
        <f>C13*B4</f>
        <v>4387.2442857142851</v>
      </c>
    </row>
    <row r="5" spans="1:3" x14ac:dyDescent="0.25">
      <c r="A5" s="1" t="s">
        <v>70</v>
      </c>
      <c r="B5" s="1">
        <v>53</v>
      </c>
      <c r="C5" s="1">
        <f>C13*B5</f>
        <v>77507.982380952366</v>
      </c>
    </row>
    <row r="6" spans="1:3" x14ac:dyDescent="0.25">
      <c r="A6" s="1" t="s">
        <v>71</v>
      </c>
      <c r="B6" s="1">
        <v>3</v>
      </c>
      <c r="C6" s="1">
        <f>C13*B6</f>
        <v>4387.2442857142851</v>
      </c>
    </row>
    <row r="7" spans="1:3" x14ac:dyDescent="0.25">
      <c r="A7" s="1" t="s">
        <v>72</v>
      </c>
      <c r="B7" s="1">
        <v>42</v>
      </c>
      <c r="C7" s="1">
        <f>Лист6!D8</f>
        <v>61421.419999999991</v>
      </c>
    </row>
    <row r="8" spans="1:3" ht="30" x14ac:dyDescent="0.25">
      <c r="A8" s="3" t="s">
        <v>73</v>
      </c>
      <c r="B8" s="1">
        <v>2</v>
      </c>
      <c r="C8" s="1">
        <f>C13*B8</f>
        <v>2924.8295238095234</v>
      </c>
    </row>
    <row r="9" spans="1:3" x14ac:dyDescent="0.25">
      <c r="A9" s="1" t="s">
        <v>74</v>
      </c>
      <c r="B9" s="1">
        <v>6</v>
      </c>
      <c r="C9" s="1">
        <f>C13*B9</f>
        <v>8774.4885714285701</v>
      </c>
    </row>
    <row r="10" spans="1:3" x14ac:dyDescent="0.25">
      <c r="A10" s="1" t="s">
        <v>75</v>
      </c>
      <c r="B10" s="1" t="s">
        <v>79</v>
      </c>
      <c r="C10" s="1" t="s">
        <v>79</v>
      </c>
    </row>
    <row r="11" spans="1:3" x14ac:dyDescent="0.25">
      <c r="A11" s="1" t="s">
        <v>76</v>
      </c>
      <c r="B11" s="1">
        <v>5</v>
      </c>
      <c r="C11" s="1">
        <f>C13*B11</f>
        <v>7312.0738095238084</v>
      </c>
    </row>
    <row r="12" spans="1:3" x14ac:dyDescent="0.25">
      <c r="A12" s="1" t="s">
        <v>77</v>
      </c>
      <c r="B12" s="1">
        <v>1</v>
      </c>
      <c r="C12" s="1">
        <f>C13*B12</f>
        <v>1462.4147619047617</v>
      </c>
    </row>
    <row r="13" spans="1:3" ht="45" x14ac:dyDescent="0.25">
      <c r="A13" s="3" t="s">
        <v>78</v>
      </c>
      <c r="B13" s="1">
        <v>1</v>
      </c>
      <c r="C13" s="1">
        <f>C7/B7</f>
        <v>1462.4147619047617</v>
      </c>
    </row>
    <row r="14" spans="1:3" x14ac:dyDescent="0.25">
      <c r="A14" s="1" t="s">
        <v>30</v>
      </c>
      <c r="B14" s="1">
        <v>100</v>
      </c>
      <c r="C14" s="1">
        <f>C2+C3+C4+C5+C11+C12+C13</f>
        <v>146241.47619047618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7"/>
  <sheetViews>
    <sheetView topLeftCell="A4" workbookViewId="0">
      <selection activeCell="B14" sqref="B14"/>
    </sheetView>
  </sheetViews>
  <sheetFormatPr defaultRowHeight="15" x14ac:dyDescent="0.25"/>
  <cols>
    <col min="1" max="1" width="35.28515625" customWidth="1"/>
    <col min="2" max="2" width="27" customWidth="1"/>
    <col min="3" max="3" width="23.85546875" customWidth="1"/>
    <col min="4" max="4" width="18.28515625" customWidth="1"/>
  </cols>
  <sheetData>
    <row r="1" spans="1:4" ht="68.25" customHeight="1" x14ac:dyDescent="0.25">
      <c r="A1" s="3" t="s">
        <v>80</v>
      </c>
      <c r="B1" s="3" t="s">
        <v>81</v>
      </c>
      <c r="C1" s="3" t="s">
        <v>82</v>
      </c>
      <c r="D1" s="3" t="s">
        <v>83</v>
      </c>
    </row>
    <row r="2" spans="1:4" ht="30" x14ac:dyDescent="0.25">
      <c r="A2" s="3" t="s">
        <v>84</v>
      </c>
      <c r="B2" s="1" t="s">
        <v>79</v>
      </c>
      <c r="C2" s="1" t="s">
        <v>79</v>
      </c>
      <c r="D2" s="1" t="s">
        <v>79</v>
      </c>
    </row>
    <row r="3" spans="1:4" x14ac:dyDescent="0.25">
      <c r="A3" s="1" t="s">
        <v>85</v>
      </c>
      <c r="B3" s="1">
        <f>Лист7!C2</f>
        <v>43872.442857142851</v>
      </c>
      <c r="C3" s="1">
        <f>100/31</f>
        <v>3.225806451612903</v>
      </c>
      <c r="D3" s="1">
        <f t="shared" ref="D3:D13" si="0">B3*C3/100</f>
        <v>1415.2400921658982</v>
      </c>
    </row>
    <row r="4" spans="1:4" x14ac:dyDescent="0.25">
      <c r="A4" s="1" t="s">
        <v>86</v>
      </c>
      <c r="B4" s="1">
        <f>Лист7!C3</f>
        <v>10236.903333333332</v>
      </c>
      <c r="C4" s="1">
        <f>100/26</f>
        <v>3.8461538461538463</v>
      </c>
      <c r="D4" s="1">
        <f t="shared" si="0"/>
        <v>393.72705128205126</v>
      </c>
    </row>
    <row r="5" spans="1:4" x14ac:dyDescent="0.25">
      <c r="A5" s="1" t="s">
        <v>87</v>
      </c>
      <c r="B5" s="1">
        <f>Лист7!C4</f>
        <v>4387.2442857142851</v>
      </c>
      <c r="C5" s="1">
        <f>100/26</f>
        <v>3.8461538461538463</v>
      </c>
      <c r="D5" s="1">
        <f t="shared" si="0"/>
        <v>168.74016483516482</v>
      </c>
    </row>
    <row r="6" spans="1:4" x14ac:dyDescent="0.25">
      <c r="A6" s="1" t="s">
        <v>88</v>
      </c>
      <c r="B6" s="1">
        <f>Лист7!C5</f>
        <v>77507.982380952366</v>
      </c>
      <c r="C6" s="1">
        <f>100/20</f>
        <v>5</v>
      </c>
      <c r="D6" s="1">
        <f t="shared" si="0"/>
        <v>3875.3991190476181</v>
      </c>
    </row>
    <row r="7" spans="1:4" x14ac:dyDescent="0.25">
      <c r="A7" s="1" t="s">
        <v>71</v>
      </c>
      <c r="B7" s="1">
        <f>Лист7!C6</f>
        <v>4387.2442857142851</v>
      </c>
      <c r="C7" s="1">
        <f t="shared" ref="C7:C8" si="1">100/20</f>
        <v>5</v>
      </c>
      <c r="D7" s="1">
        <f t="shared" si="0"/>
        <v>219.36221428571426</v>
      </c>
    </row>
    <row r="8" spans="1:4" x14ac:dyDescent="0.25">
      <c r="A8" s="1" t="s">
        <v>72</v>
      </c>
      <c r="B8" s="1">
        <f>Лист7!C7</f>
        <v>61421.419999999991</v>
      </c>
      <c r="C8" s="1">
        <f t="shared" si="1"/>
        <v>5</v>
      </c>
      <c r="D8" s="1">
        <f t="shared" si="0"/>
        <v>3071.0709999999999</v>
      </c>
    </row>
    <row r="9" spans="1:4" ht="30" x14ac:dyDescent="0.25">
      <c r="A9" s="3" t="s">
        <v>73</v>
      </c>
      <c r="B9" s="1">
        <f>Лист7!C8</f>
        <v>2924.8295238095234</v>
      </c>
      <c r="C9" s="1">
        <f>100/20</f>
        <v>5</v>
      </c>
      <c r="D9" s="1">
        <f t="shared" si="0"/>
        <v>146.24147619047616</v>
      </c>
    </row>
    <row r="10" spans="1:4" x14ac:dyDescent="0.25">
      <c r="A10" s="1" t="s">
        <v>74</v>
      </c>
      <c r="B10" s="1">
        <f>Лист7!C9</f>
        <v>8774.4885714285701</v>
      </c>
      <c r="C10" s="1">
        <f>100/20</f>
        <v>5</v>
      </c>
      <c r="D10" s="1">
        <f t="shared" si="0"/>
        <v>438.72442857142852</v>
      </c>
    </row>
    <row r="11" spans="1:4" x14ac:dyDescent="0.25">
      <c r="A11" s="1" t="s">
        <v>89</v>
      </c>
      <c r="B11" s="1">
        <f>Лист7!C11</f>
        <v>7312.0738095238084</v>
      </c>
      <c r="C11" s="1">
        <f>100/10</f>
        <v>10</v>
      </c>
      <c r="D11" s="1">
        <f t="shared" si="0"/>
        <v>731.20738095238073</v>
      </c>
    </row>
    <row r="12" spans="1:4" x14ac:dyDescent="0.25">
      <c r="A12" s="1" t="s">
        <v>90</v>
      </c>
      <c r="B12" s="1">
        <f>Лист7!C12</f>
        <v>1462.4147619047617</v>
      </c>
      <c r="C12" s="1">
        <f>100/26</f>
        <v>3.8461538461538463</v>
      </c>
      <c r="D12" s="1">
        <f t="shared" si="0"/>
        <v>56.246721611721604</v>
      </c>
    </row>
    <row r="13" spans="1:4" ht="45" x14ac:dyDescent="0.25">
      <c r="A13" s="3" t="s">
        <v>91</v>
      </c>
      <c r="B13" s="1">
        <f>Лист7!C13</f>
        <v>1462.4147619047617</v>
      </c>
      <c r="C13" s="1">
        <f>100/26</f>
        <v>3.8461538461538463</v>
      </c>
      <c r="D13" s="1">
        <f t="shared" si="0"/>
        <v>56.246721611721604</v>
      </c>
    </row>
    <row r="14" spans="1:4" x14ac:dyDescent="0.25">
      <c r="A14" s="1" t="s">
        <v>30</v>
      </c>
      <c r="B14" s="1">
        <f>B3+B4+B5+B6+B11+B12+B13</f>
        <v>146241.47619047618</v>
      </c>
      <c r="C14" s="1"/>
      <c r="D14" s="1">
        <f>D3+D4+D5+D7+D8+D9+D10+D11+D12+D13</f>
        <v>6696.8072515065587</v>
      </c>
    </row>
    <row r="17" spans="3:3" x14ac:dyDescent="0.25">
      <c r="C1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"/>
  <sheetViews>
    <sheetView workbookViewId="0">
      <selection activeCell="E5" sqref="E5"/>
    </sheetView>
  </sheetViews>
  <sheetFormatPr defaultRowHeight="15" x14ac:dyDescent="0.25"/>
  <cols>
    <col min="1" max="1" width="17" customWidth="1"/>
    <col min="2" max="2" width="18.28515625" customWidth="1"/>
    <col min="3" max="3" width="18.140625" customWidth="1"/>
    <col min="4" max="4" width="18.42578125" customWidth="1"/>
    <col min="5" max="5" width="18.28515625" customWidth="1"/>
  </cols>
  <sheetData>
    <row r="1" spans="1:5" ht="45" x14ac:dyDescent="0.25">
      <c r="A1" s="1" t="s">
        <v>92</v>
      </c>
      <c r="B1" s="3" t="s">
        <v>93</v>
      </c>
      <c r="C1" s="3" t="s">
        <v>94</v>
      </c>
      <c r="D1" s="3" t="s">
        <v>95</v>
      </c>
      <c r="E1" s="3" t="s">
        <v>96</v>
      </c>
    </row>
    <row r="2" spans="1:5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</row>
    <row r="3" spans="1:5" x14ac:dyDescent="0.25">
      <c r="A3" s="1" t="s">
        <v>55</v>
      </c>
      <c r="B3" s="10">
        <f>8*Лист1!B1</f>
        <v>9600</v>
      </c>
      <c r="C3" s="1">
        <v>1780</v>
      </c>
      <c r="D3" s="1">
        <f>Лист1!B27</f>
        <v>1.2</v>
      </c>
      <c r="E3" s="11">
        <f>B3/(C3*D3)</f>
        <v>4.4943820224719104</v>
      </c>
    </row>
    <row r="4" spans="1:5" x14ac:dyDescent="0.25">
      <c r="A4" s="1" t="s">
        <v>56</v>
      </c>
      <c r="B4" s="10">
        <f>18*Лист1!B1</f>
        <v>21600</v>
      </c>
      <c r="C4" s="1">
        <v>1780</v>
      </c>
      <c r="D4" s="1">
        <f>Лист1!B27</f>
        <v>1.2</v>
      </c>
      <c r="E4" s="11">
        <f t="shared" ref="E4:E7" si="0">B4/(C4*D4)</f>
        <v>10.112359550561798</v>
      </c>
    </row>
    <row r="5" spans="1:5" x14ac:dyDescent="0.25">
      <c r="A5" s="1" t="s">
        <v>58</v>
      </c>
      <c r="B5" s="10">
        <f>10*Лист1!B1</f>
        <v>12000</v>
      </c>
      <c r="C5" s="1">
        <v>1780</v>
      </c>
      <c r="D5" s="1">
        <f>Лист1!B27</f>
        <v>1.2</v>
      </c>
      <c r="E5" s="11">
        <f t="shared" si="0"/>
        <v>5.617977528089888</v>
      </c>
    </row>
    <row r="6" spans="1:5" x14ac:dyDescent="0.25">
      <c r="A6" s="1" t="s">
        <v>59</v>
      </c>
      <c r="B6" s="10">
        <f>12*Лист1!B1</f>
        <v>14400</v>
      </c>
      <c r="C6" s="1">
        <v>1780</v>
      </c>
      <c r="D6" s="1">
        <f>Лист1!B27</f>
        <v>1.2</v>
      </c>
      <c r="E6" s="11">
        <f t="shared" si="0"/>
        <v>6.7415730337078648</v>
      </c>
    </row>
    <row r="7" spans="1:5" x14ac:dyDescent="0.25">
      <c r="A7" s="1" t="s">
        <v>60</v>
      </c>
      <c r="B7" s="10">
        <f>7*Лист1!B1</f>
        <v>8400</v>
      </c>
      <c r="C7" s="1">
        <v>1780</v>
      </c>
      <c r="D7" s="1">
        <f>Лист1!B27</f>
        <v>1.2</v>
      </c>
      <c r="E7" s="11">
        <f t="shared" si="0"/>
        <v>3.9325842696629212</v>
      </c>
    </row>
    <row r="8" spans="1:5" x14ac:dyDescent="0.25">
      <c r="A8" s="10" t="s">
        <v>30</v>
      </c>
      <c r="B8" s="1">
        <f>B3+B4+B6+B5+B7</f>
        <v>66000</v>
      </c>
      <c r="C8" s="1" t="s">
        <v>31</v>
      </c>
      <c r="D8" s="1" t="s">
        <v>31</v>
      </c>
      <c r="E8" s="11">
        <f>E3+E4+E5+E6+E7</f>
        <v>30.898876404494384</v>
      </c>
    </row>
    <row r="11" spans="1:5" x14ac:dyDescent="0.25">
      <c r="B11" s="14"/>
    </row>
    <row r="12" spans="1:5" x14ac:dyDescent="0.25">
      <c r="B12" s="14"/>
    </row>
    <row r="13" spans="1:5" x14ac:dyDescent="0.25">
      <c r="B13" s="14"/>
    </row>
    <row r="14" spans="1:5" x14ac:dyDescent="0.25">
      <c r="B14" s="14"/>
    </row>
    <row r="15" spans="1:5" x14ac:dyDescent="0.25">
      <c r="B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  <vt:lpstr>Лист18</vt:lpstr>
      <vt:lpstr>Лист19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2021-10-23T20:23:10Z</dcterms:modified>
</cp:coreProperties>
</file>