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cuments\"/>
    </mc:Choice>
  </mc:AlternateContent>
  <xr:revisionPtr revIDLastSave="0" documentId="13_ncr:1_{9498873D-EB6D-448F-8D3F-1C2CF628D461}" xr6:coauthVersionLast="43" xr6:coauthVersionMax="43" xr10:uidLastSave="{00000000-0000-0000-0000-000000000000}"/>
  <bookViews>
    <workbookView xWindow="28680" yWindow="-120" windowWidth="29040" windowHeight="15840" xr2:uid="{7F83D8CF-F19A-4DD7-90A4-9039127B22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B15" i="1"/>
  <c r="A15" i="1"/>
  <c r="A12" i="1"/>
  <c r="B57" i="1"/>
  <c r="D93" i="1"/>
  <c r="D91" i="1"/>
  <c r="D89" i="1"/>
  <c r="D87" i="1"/>
  <c r="D75" i="1"/>
  <c r="D99" i="1"/>
  <c r="D73" i="1"/>
  <c r="D71" i="1"/>
  <c r="D69" i="1"/>
  <c r="F99" i="1"/>
  <c r="E99" i="1"/>
  <c r="F80" i="1"/>
  <c r="E80" i="1"/>
  <c r="D80" i="1"/>
  <c r="S71" i="1"/>
  <c r="R71" i="1"/>
  <c r="Q71" i="1"/>
  <c r="A50" i="1"/>
  <c r="B50" i="1"/>
  <c r="B38" i="1"/>
  <c r="J29" i="1"/>
  <c r="N29" i="1"/>
  <c r="C29" i="1"/>
  <c r="H29" i="1" l="1"/>
  <c r="A57" i="1"/>
  <c r="B41" i="1"/>
  <c r="A29" i="1"/>
  <c r="A35" i="1" s="1"/>
  <c r="A47" i="1" s="1"/>
  <c r="A60" i="1"/>
  <c r="Q2" i="1"/>
  <c r="H4" i="1" s="1"/>
  <c r="P2" i="1"/>
  <c r="E6" i="1" s="1"/>
  <c r="B2" i="1"/>
  <c r="A2" i="1"/>
  <c r="C1" i="1"/>
  <c r="D1" i="1" s="1"/>
  <c r="E1" i="1" s="1"/>
  <c r="F1" i="1" s="1"/>
  <c r="G1" i="1" s="1"/>
  <c r="H1" i="1" s="1"/>
  <c r="I1" i="1" s="1"/>
  <c r="I2" i="1" s="1"/>
  <c r="B1" i="1"/>
  <c r="A38" i="1" l="1"/>
  <c r="A41" i="1" s="1"/>
  <c r="H93" i="1"/>
  <c r="L73" i="1"/>
  <c r="J80" i="1"/>
  <c r="L69" i="1"/>
  <c r="H80" i="1"/>
  <c r="H87" i="1"/>
  <c r="H75" i="1"/>
  <c r="H73" i="1"/>
  <c r="L91" i="1"/>
  <c r="M91" i="1" s="1"/>
  <c r="N80" i="1"/>
  <c r="H69" i="1"/>
  <c r="L75" i="1"/>
  <c r="L80" i="1"/>
  <c r="H91" i="1"/>
  <c r="L71" i="1"/>
  <c r="I80" i="1"/>
  <c r="N99" i="1"/>
  <c r="H89" i="1"/>
  <c r="L89" i="1"/>
  <c r="M89" i="1"/>
  <c r="M99" i="1"/>
  <c r="M87" i="1"/>
  <c r="L99" i="1"/>
  <c r="R99" i="1"/>
  <c r="J99" i="1"/>
  <c r="Q99" i="1"/>
  <c r="H99" i="1"/>
  <c r="P99" i="1"/>
  <c r="L93" i="1"/>
  <c r="M93" i="1" s="1"/>
  <c r="H71" i="1"/>
  <c r="M80" i="1"/>
  <c r="L87" i="1"/>
  <c r="I99" i="1"/>
  <c r="A6" i="1"/>
  <c r="H6" i="1"/>
  <c r="B4" i="1"/>
  <c r="G6" i="1"/>
  <c r="F6" i="1"/>
  <c r="I6" i="1"/>
  <c r="E4" i="1"/>
  <c r="E2" i="1"/>
  <c r="I4" i="1"/>
  <c r="F2" i="1"/>
  <c r="H2" i="1"/>
  <c r="D6" i="1"/>
  <c r="C2" i="1"/>
  <c r="D2" i="1"/>
  <c r="A4" i="1"/>
  <c r="G2" i="1"/>
  <c r="C4" i="1"/>
  <c r="D4" i="1"/>
  <c r="F4" i="1"/>
  <c r="G4" i="1"/>
  <c r="B6" i="1"/>
  <c r="C6" i="1"/>
</calcChain>
</file>

<file path=xl/sharedStrings.xml><?xml version="1.0" encoding="utf-8"?>
<sst xmlns="http://schemas.openxmlformats.org/spreadsheetml/2006/main" count="132" uniqueCount="73">
  <si>
    <t>Iноминал</t>
  </si>
  <si>
    <t>P номил</t>
  </si>
  <si>
    <t>n номин</t>
  </si>
  <si>
    <t>M номин</t>
  </si>
  <si>
    <t>i*</t>
  </si>
  <si>
    <t>I</t>
  </si>
  <si>
    <t>mu*</t>
  </si>
  <si>
    <t>M, nm</t>
  </si>
  <si>
    <t>w</t>
  </si>
  <si>
    <t>v*</t>
  </si>
  <si>
    <t>k</t>
  </si>
  <si>
    <t>p</t>
  </si>
  <si>
    <t>N</t>
  </si>
  <si>
    <t>Uн</t>
  </si>
  <si>
    <t>Iн</t>
  </si>
  <si>
    <t>wн</t>
  </si>
  <si>
    <t>r∑</t>
  </si>
  <si>
    <t>nн</t>
  </si>
  <si>
    <t>rс</t>
  </si>
  <si>
    <t>rщ</t>
  </si>
  <si>
    <t>kt0</t>
  </si>
  <si>
    <t>tизм</t>
  </si>
  <si>
    <t>Фн</t>
  </si>
  <si>
    <t>w0</t>
  </si>
  <si>
    <t>M</t>
  </si>
  <si>
    <t>РАСЧЕТ СТАТИСТИЧЕСКИХ ХАРАКТЕРИСТИК ДЛЯ ДПТ НЕЗАВИСИМОЕ ВОЗБУЖДЕНИЯ (ДАННЫЕ В ТАБЛИЦЕ КАК ДЛЯ ПАРАЛЛЕЛЬНОГО)</t>
  </si>
  <si>
    <t>2a</t>
  </si>
  <si>
    <t>P</t>
  </si>
  <si>
    <t>rя+rдп</t>
  </si>
  <si>
    <t>w=w0</t>
  </si>
  <si>
    <t>1.2.2 Вторая точка естественной электромеханической х-ки (I=Iн, w=wн)</t>
  </si>
  <si>
    <t>1.2.2 Вторая точка естественной механической х-ки (M=Mн=k*Фн*Iн, w=wн)</t>
  </si>
  <si>
    <t>1.2.1 Первая точка на обеих естественных характеристиках (I=0,M=0, w=w0)</t>
  </si>
  <si>
    <t>1.3 Искусственная электромеханическая характеристика</t>
  </si>
  <si>
    <t>Первая точка</t>
  </si>
  <si>
    <t>Вторая точка</t>
  </si>
  <si>
    <t>I=0</t>
  </si>
  <si>
    <t>2. Искусственная механическая характеристика</t>
  </si>
  <si>
    <t>w=0</t>
  </si>
  <si>
    <t>Mпуск</t>
  </si>
  <si>
    <t>w0мин</t>
  </si>
  <si>
    <t>Umin</t>
  </si>
  <si>
    <t>3. Механические и электромеханически характеристики при двузонном регулировании и условиях</t>
  </si>
  <si>
    <t xml:space="preserve">3.1 Первая зона </t>
  </si>
  <si>
    <t>При Umin=0,25Uн</t>
  </si>
  <si>
    <t>При 0,5Uн</t>
  </si>
  <si>
    <t>При 0,75Uн</t>
  </si>
  <si>
    <t>При Uн</t>
  </si>
  <si>
    <t>alpha1</t>
  </si>
  <si>
    <t>alpha2</t>
  </si>
  <si>
    <t>alpha3</t>
  </si>
  <si>
    <t>w01</t>
  </si>
  <si>
    <t>w02</t>
  </si>
  <si>
    <t>w03</t>
  </si>
  <si>
    <t>wc1 M</t>
  </si>
  <si>
    <t>wc2 M</t>
  </si>
  <si>
    <t>wc3 M</t>
  </si>
  <si>
    <t>wc1 P</t>
  </si>
  <si>
    <t>wc2 P</t>
  </si>
  <si>
    <t>wc3 P</t>
  </si>
  <si>
    <t>IC1</t>
  </si>
  <si>
    <t>IC2</t>
  </si>
  <si>
    <t>IC3</t>
  </si>
  <si>
    <t>Первая зона</t>
  </si>
  <si>
    <t>Вторая зона (при Mc=0,5Mн=const)</t>
  </si>
  <si>
    <t>ЭЛЕКТРОМЕХАНИЧЕСКАЯ (при Mc=Mн=const)</t>
  </si>
  <si>
    <t>M P</t>
  </si>
  <si>
    <t>M P1</t>
  </si>
  <si>
    <t>M P2</t>
  </si>
  <si>
    <t>M P3</t>
  </si>
  <si>
    <t>МЕХАНИЧЕСКАЯ (при Mc=Mн=const)</t>
  </si>
  <si>
    <t>Искусственная электромеханическая характеристика для последовательного (пункт 2.3)</t>
  </si>
  <si>
    <t>Фномин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</si>
</sst>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Естеств.</a:t>
            </a:r>
            <a:r>
              <a:rPr lang="ru-RU" baseline="0"/>
              <a:t> ЭМХ</a:t>
            </a:r>
            <a:r>
              <a:rPr lang="en-US" baseline="0"/>
              <a:t> w=f(I)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Лист1!$A$2:$I$2</c:f>
              <c:numCache>
                <c:formatCode>General</c:formatCode>
                <c:ptCount val="9"/>
                <c:pt idx="0">
                  <c:v>104</c:v>
                </c:pt>
                <c:pt idx="1">
                  <c:v>156.00000000000003</c:v>
                </c:pt>
                <c:pt idx="2">
                  <c:v>208</c:v>
                </c:pt>
                <c:pt idx="3">
                  <c:v>260</c:v>
                </c:pt>
                <c:pt idx="4">
                  <c:v>312</c:v>
                </c:pt>
                <c:pt idx="5">
                  <c:v>364</c:v>
                </c:pt>
                <c:pt idx="6">
                  <c:v>415.99999999999994</c:v>
                </c:pt>
                <c:pt idx="7">
                  <c:v>467.99999999999994</c:v>
                </c:pt>
                <c:pt idx="8">
                  <c:v>519.99999999999989</c:v>
                </c:pt>
              </c:numCache>
            </c:numRef>
          </c:xVal>
          <c:yVal>
            <c:numRef>
              <c:f>Лист1!$A$4:$I$4</c:f>
              <c:numCache>
                <c:formatCode>General</c:formatCode>
                <c:ptCount val="9"/>
                <c:pt idx="0">
                  <c:v>103.45549738219894</c:v>
                </c:pt>
                <c:pt idx="1">
                  <c:v>73.507853403141368</c:v>
                </c:pt>
                <c:pt idx="2">
                  <c:v>59.895287958115183</c:v>
                </c:pt>
                <c:pt idx="3">
                  <c:v>54.450261780104711</c:v>
                </c:pt>
                <c:pt idx="4">
                  <c:v>49.005235602094238</c:v>
                </c:pt>
                <c:pt idx="5">
                  <c:v>44.64921465968586</c:v>
                </c:pt>
                <c:pt idx="6">
                  <c:v>43.560209424083773</c:v>
                </c:pt>
                <c:pt idx="7">
                  <c:v>40.837696335078533</c:v>
                </c:pt>
                <c:pt idx="8">
                  <c:v>38.115183246073293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3-4096-AD8C-F956FE36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17695"/>
        <c:axId val="1502959247"/>
      </c:scatterChart>
      <c:valAx>
        <c:axId val="15154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959247"/>
        <c:crosses val="autoZero"/>
        <c:crossBetween val="midCat"/>
      </c:valAx>
      <c:valAx>
        <c:axId val="15029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Естеств. ЭМХ </a:t>
            </a:r>
            <a:r>
              <a:rPr lang="en-US"/>
              <a:t>w=f(M)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Лист1!$A$6:$I$6</c:f>
              <c:numCache>
                <c:formatCode>General</c:formatCode>
                <c:ptCount val="9"/>
                <c:pt idx="0">
                  <c:v>229.56730769230771</c:v>
                </c:pt>
                <c:pt idx="1">
                  <c:v>459.13461538461542</c:v>
                </c:pt>
                <c:pt idx="2">
                  <c:v>642.78846153846155</c:v>
                </c:pt>
                <c:pt idx="3">
                  <c:v>918.26923076923083</c:v>
                </c:pt>
                <c:pt idx="4">
                  <c:v>1193.7500000000002</c:v>
                </c:pt>
                <c:pt idx="5">
                  <c:v>1469.2307692307695</c:v>
                </c:pt>
                <c:pt idx="6">
                  <c:v>1744.7115384615386</c:v>
                </c:pt>
                <c:pt idx="7">
                  <c:v>2020.1923076923081</c:v>
                </c:pt>
                <c:pt idx="8">
                  <c:v>2341.5865384615386</c:v>
                </c:pt>
              </c:numCache>
            </c:numRef>
          </c:xVal>
          <c:yVal>
            <c:numRef>
              <c:f>Лист1!$A$4:$I$4</c:f>
              <c:numCache>
                <c:formatCode>General</c:formatCode>
                <c:ptCount val="9"/>
                <c:pt idx="0">
                  <c:v>103.45549738219894</c:v>
                </c:pt>
                <c:pt idx="1">
                  <c:v>73.507853403141368</c:v>
                </c:pt>
                <c:pt idx="2">
                  <c:v>59.895287958115183</c:v>
                </c:pt>
                <c:pt idx="3">
                  <c:v>54.450261780104711</c:v>
                </c:pt>
                <c:pt idx="4">
                  <c:v>49.005235602094238</c:v>
                </c:pt>
                <c:pt idx="5">
                  <c:v>44.64921465968586</c:v>
                </c:pt>
                <c:pt idx="6">
                  <c:v>43.560209424083773</c:v>
                </c:pt>
                <c:pt idx="7">
                  <c:v>40.837696335078533</c:v>
                </c:pt>
                <c:pt idx="8">
                  <c:v>38.115183246073293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B19-B52A-94689C14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70399"/>
        <c:axId val="1502922223"/>
      </c:scatterChart>
      <c:valAx>
        <c:axId val="1502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922223"/>
        <c:crosses val="autoZero"/>
        <c:crossBetween val="midCat"/>
      </c:valAx>
      <c:valAx>
        <c:axId val="1502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2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</xdr:row>
      <xdr:rowOff>4762</xdr:rowOff>
    </xdr:from>
    <xdr:to>
      <xdr:col>19</xdr:col>
      <xdr:colOff>285750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70AD20-C43E-4D2E-88E4-14513CB4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</xdr:row>
      <xdr:rowOff>4762</xdr:rowOff>
    </xdr:from>
    <xdr:to>
      <xdr:col>27</xdr:col>
      <xdr:colOff>304800</xdr:colOff>
      <xdr:row>19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2731D5-9A1A-4DB4-A49B-B9FEEB314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2AD1-ED61-4444-A2A3-A5AFAB3D8F7E}">
  <dimension ref="A1:S99"/>
  <sheetViews>
    <sheetView tabSelected="1" workbookViewId="0">
      <selection activeCell="L6" sqref="L6"/>
    </sheetView>
  </sheetViews>
  <sheetFormatPr defaultRowHeight="15" x14ac:dyDescent="0.25"/>
  <sheetData>
    <row r="1" spans="1:18" x14ac:dyDescent="0.25">
      <c r="A1">
        <v>0.4</v>
      </c>
      <c r="B1">
        <f>A1+0.2</f>
        <v>0.60000000000000009</v>
      </c>
      <c r="C1">
        <f t="shared" ref="C1:I1" si="0">B1+0.2</f>
        <v>0.8</v>
      </c>
      <c r="D1">
        <f t="shared" si="0"/>
        <v>1</v>
      </c>
      <c r="E1">
        <f t="shared" si="0"/>
        <v>1.2</v>
      </c>
      <c r="F1">
        <f t="shared" si="0"/>
        <v>1.4</v>
      </c>
      <c r="G1">
        <f t="shared" si="0"/>
        <v>1.5999999999999999</v>
      </c>
      <c r="H1">
        <f t="shared" si="0"/>
        <v>1.7999999999999998</v>
      </c>
      <c r="I1">
        <f t="shared" si="0"/>
        <v>1.9999999999999998</v>
      </c>
      <c r="J1" s="1" t="s">
        <v>4</v>
      </c>
      <c r="M1" t="s">
        <v>0</v>
      </c>
      <c r="N1" t="s">
        <v>1</v>
      </c>
      <c r="O1" t="s">
        <v>2</v>
      </c>
      <c r="P1" t="s">
        <v>3</v>
      </c>
      <c r="Q1" t="s">
        <v>8</v>
      </c>
      <c r="R1" t="s">
        <v>72</v>
      </c>
    </row>
    <row r="2" spans="1:18" x14ac:dyDescent="0.25">
      <c r="A2">
        <f>A1*M2</f>
        <v>104</v>
      </c>
      <c r="B2">
        <f>B1*M2</f>
        <v>156.00000000000003</v>
      </c>
      <c r="C2">
        <f>C1*M2</f>
        <v>208</v>
      </c>
      <c r="D2">
        <f>D1*M2</f>
        <v>260</v>
      </c>
      <c r="E2">
        <f>E1*M2</f>
        <v>312</v>
      </c>
      <c r="F2">
        <f>F1*M2</f>
        <v>364</v>
      </c>
      <c r="G2">
        <f>G1*M2</f>
        <v>415.99999999999994</v>
      </c>
      <c r="H2">
        <f>H1*M2</f>
        <v>467.99999999999994</v>
      </c>
      <c r="I2">
        <f>I1*M2</f>
        <v>519.99999999999989</v>
      </c>
      <c r="J2" s="1" t="s">
        <v>5</v>
      </c>
      <c r="M2">
        <v>260</v>
      </c>
      <c r="N2">
        <v>50</v>
      </c>
      <c r="O2">
        <v>520</v>
      </c>
      <c r="P2">
        <f>(9.55*N2*1000)/O2</f>
        <v>918.26923076923083</v>
      </c>
      <c r="Q2">
        <f>O2/9.55</f>
        <v>54.450261780104711</v>
      </c>
      <c r="R2">
        <v>5.1499999999999997E-2</v>
      </c>
    </row>
    <row r="3" spans="1:18" x14ac:dyDescent="0.25">
      <c r="A3">
        <v>1.9</v>
      </c>
      <c r="B3">
        <v>1.35</v>
      </c>
      <c r="C3">
        <v>1.1000000000000001</v>
      </c>
      <c r="D3">
        <v>1</v>
      </c>
      <c r="E3">
        <v>0.9</v>
      </c>
      <c r="F3">
        <v>0.82</v>
      </c>
      <c r="G3">
        <v>0.8</v>
      </c>
      <c r="H3">
        <v>0.75</v>
      </c>
      <c r="I3">
        <v>0.7</v>
      </c>
      <c r="J3" s="1" t="s">
        <v>9</v>
      </c>
    </row>
    <row r="4" spans="1:18" x14ac:dyDescent="0.25">
      <c r="A4">
        <f>A3*Q2</f>
        <v>103.45549738219894</v>
      </c>
      <c r="B4">
        <f>B3*Q2</f>
        <v>73.507853403141368</v>
      </c>
      <c r="C4">
        <f>C3*Q2</f>
        <v>59.895287958115183</v>
      </c>
      <c r="D4">
        <f>D3*Q2</f>
        <v>54.450261780104711</v>
      </c>
      <c r="E4">
        <f>E3*Q2</f>
        <v>49.005235602094238</v>
      </c>
      <c r="F4">
        <f>F3*Q2</f>
        <v>44.64921465968586</v>
      </c>
      <c r="G4">
        <f>G3*Q2</f>
        <v>43.560209424083773</v>
      </c>
      <c r="H4">
        <f>H3*Q2</f>
        <v>40.837696335078533</v>
      </c>
      <c r="I4">
        <f>I3*Q2</f>
        <v>38.115183246073293</v>
      </c>
      <c r="J4" s="1" t="s">
        <v>8</v>
      </c>
    </row>
    <row r="5" spans="1:18" x14ac:dyDescent="0.25">
      <c r="A5">
        <v>0.25</v>
      </c>
      <c r="B5">
        <v>0.5</v>
      </c>
      <c r="C5">
        <v>0.7</v>
      </c>
      <c r="D5">
        <v>1</v>
      </c>
      <c r="E5">
        <v>1.3</v>
      </c>
      <c r="F5">
        <v>1.6</v>
      </c>
      <c r="G5">
        <v>1.9</v>
      </c>
      <c r="H5">
        <v>2.2000000000000002</v>
      </c>
      <c r="I5">
        <v>2.5499999999999998</v>
      </c>
      <c r="J5" s="1" t="s">
        <v>6</v>
      </c>
    </row>
    <row r="6" spans="1:18" x14ac:dyDescent="0.25">
      <c r="A6">
        <f>A5*P2</f>
        <v>229.56730769230771</v>
      </c>
      <c r="B6">
        <f>B5*P2</f>
        <v>459.13461538461542</v>
      </c>
      <c r="C6">
        <f>C5*P2</f>
        <v>642.78846153846155</v>
      </c>
      <c r="D6">
        <f>D5*P2</f>
        <v>918.26923076923083</v>
      </c>
      <c r="E6">
        <f>E5*P2</f>
        <v>1193.7500000000002</v>
      </c>
      <c r="F6">
        <f>F5*P2</f>
        <v>1469.2307692307695</v>
      </c>
      <c r="G6">
        <f>G5*P2</f>
        <v>1744.7115384615386</v>
      </c>
      <c r="H6">
        <f>H5*P2</f>
        <v>2020.1923076923081</v>
      </c>
      <c r="I6">
        <f>I5*P2</f>
        <v>2341.5865384615386</v>
      </c>
      <c r="J6" s="1" t="s">
        <v>7</v>
      </c>
    </row>
    <row r="8" spans="1:18" x14ac:dyDescent="0.25">
      <c r="A8" t="s">
        <v>71</v>
      </c>
    </row>
    <row r="10" spans="1:18" x14ac:dyDescent="0.25">
      <c r="A10" t="s">
        <v>34</v>
      </c>
      <c r="H10" t="s">
        <v>4</v>
      </c>
      <c r="I10" t="s">
        <v>9</v>
      </c>
    </row>
    <row r="11" spans="1:18" x14ac:dyDescent="0.25">
      <c r="A11" t="s">
        <v>29</v>
      </c>
      <c r="B11" t="s">
        <v>36</v>
      </c>
      <c r="H11">
        <v>0.8</v>
      </c>
      <c r="I11">
        <v>0.7</v>
      </c>
    </row>
    <row r="12" spans="1:18" x14ac:dyDescent="0.25">
      <c r="A12">
        <f>Q2</f>
        <v>54.450261780104711</v>
      </c>
    </row>
    <row r="13" spans="1:18" x14ac:dyDescent="0.25">
      <c r="A13" t="s">
        <v>35</v>
      </c>
    </row>
    <row r="14" spans="1:18" x14ac:dyDescent="0.25">
      <c r="A14" t="s">
        <v>15</v>
      </c>
      <c r="B14" t="s">
        <v>5</v>
      </c>
      <c r="C14" t="s">
        <v>24</v>
      </c>
    </row>
    <row r="15" spans="1:18" x14ac:dyDescent="0.25">
      <c r="A15">
        <f>I11*Q2</f>
        <v>38.115183246073293</v>
      </c>
      <c r="B15">
        <f>H11*M2</f>
        <v>208</v>
      </c>
      <c r="C15">
        <f>C29*R2*B15</f>
        <v>757.3452229299362</v>
      </c>
    </row>
    <row r="26" spans="1:14" x14ac:dyDescent="0.25">
      <c r="A26" t="s">
        <v>25</v>
      </c>
    </row>
    <row r="28" spans="1:14" x14ac:dyDescent="0.25">
      <c r="A28" t="s">
        <v>23</v>
      </c>
      <c r="B28" t="s">
        <v>13</v>
      </c>
      <c r="C28" t="s">
        <v>10</v>
      </c>
      <c r="D28" t="s">
        <v>11</v>
      </c>
      <c r="E28" t="s">
        <v>12</v>
      </c>
      <c r="F28" t="s">
        <v>26</v>
      </c>
      <c r="G28" t="s">
        <v>14</v>
      </c>
      <c r="H28" t="s">
        <v>16</v>
      </c>
      <c r="I28" t="s">
        <v>17</v>
      </c>
      <c r="J28" t="s">
        <v>20</v>
      </c>
      <c r="L28" t="s">
        <v>28</v>
      </c>
      <c r="M28" t="s">
        <v>18</v>
      </c>
      <c r="N28" t="s">
        <v>19</v>
      </c>
    </row>
    <row r="29" spans="1:14" x14ac:dyDescent="0.25">
      <c r="A29">
        <f>B29/(C29*A31)</f>
        <v>69.149149149149153</v>
      </c>
      <c r="B29">
        <v>220</v>
      </c>
      <c r="C29">
        <f>(D29*E29)/(F29*3.14)</f>
        <v>70.70063694267516</v>
      </c>
      <c r="D29">
        <v>2</v>
      </c>
      <c r="E29">
        <v>222</v>
      </c>
      <c r="F29">
        <v>2</v>
      </c>
      <c r="G29">
        <v>233</v>
      </c>
      <c r="H29">
        <f>(L29+M29+N29)*J29</f>
        <v>5.0795859631406204E-2</v>
      </c>
      <c r="I29">
        <v>625</v>
      </c>
      <c r="J29">
        <f>310/(235+L31)</f>
        <v>1.2156862745098038</v>
      </c>
      <c r="L29">
        <v>3.32E-2</v>
      </c>
      <c r="M29">
        <v>0</v>
      </c>
      <c r="N29">
        <f>2/G29</f>
        <v>8.5836909871244635E-3</v>
      </c>
    </row>
    <row r="30" spans="1:14" x14ac:dyDescent="0.25">
      <c r="A30" t="s">
        <v>22</v>
      </c>
      <c r="B30" t="s">
        <v>27</v>
      </c>
      <c r="L30" t="s">
        <v>21</v>
      </c>
    </row>
    <row r="31" spans="1:14" x14ac:dyDescent="0.25">
      <c r="A31">
        <v>4.4999999999999998E-2</v>
      </c>
      <c r="B31">
        <v>46000</v>
      </c>
      <c r="L31">
        <v>20</v>
      </c>
    </row>
    <row r="33" spans="1:9" x14ac:dyDescent="0.25">
      <c r="A33" t="s">
        <v>32</v>
      </c>
    </row>
    <row r="34" spans="1:9" x14ac:dyDescent="0.25">
      <c r="A34" t="s">
        <v>29</v>
      </c>
    </row>
    <row r="35" spans="1:9" x14ac:dyDescent="0.25">
      <c r="A35">
        <f>A29</f>
        <v>69.149149149149153</v>
      </c>
    </row>
    <row r="36" spans="1:9" x14ac:dyDescent="0.25">
      <c r="A36" t="s">
        <v>30</v>
      </c>
    </row>
    <row r="37" spans="1:9" x14ac:dyDescent="0.25">
      <c r="A37" t="s">
        <v>15</v>
      </c>
      <c r="B37" t="s">
        <v>14</v>
      </c>
    </row>
    <row r="38" spans="1:9" x14ac:dyDescent="0.25">
      <c r="A38">
        <f>(B29-G29*H29)/(C29*A31)</f>
        <v>65.429102420067125</v>
      </c>
      <c r="B38">
        <f>G29</f>
        <v>233</v>
      </c>
    </row>
    <row r="39" spans="1:9" x14ac:dyDescent="0.25">
      <c r="A39" t="s">
        <v>31</v>
      </c>
    </row>
    <row r="40" spans="1:9" x14ac:dyDescent="0.25">
      <c r="A40" t="s">
        <v>15</v>
      </c>
      <c r="B40" t="s">
        <v>24</v>
      </c>
    </row>
    <row r="41" spans="1:9" x14ac:dyDescent="0.25">
      <c r="A41">
        <f>A38</f>
        <v>65.429102420067125</v>
      </c>
      <c r="B41">
        <f>C29*A31*G29</f>
        <v>741.29617834394901</v>
      </c>
    </row>
    <row r="44" spans="1:9" x14ac:dyDescent="0.25">
      <c r="A44" t="s">
        <v>33</v>
      </c>
    </row>
    <row r="45" spans="1:9" x14ac:dyDescent="0.25">
      <c r="A45" t="s">
        <v>34</v>
      </c>
      <c r="H45" t="s">
        <v>4</v>
      </c>
      <c r="I45" t="s">
        <v>9</v>
      </c>
    </row>
    <row r="46" spans="1:9" x14ac:dyDescent="0.25">
      <c r="A46" t="s">
        <v>29</v>
      </c>
      <c r="B46" t="s">
        <v>36</v>
      </c>
      <c r="H46">
        <v>0.8</v>
      </c>
      <c r="I46">
        <v>0.7</v>
      </c>
    </row>
    <row r="47" spans="1:9" x14ac:dyDescent="0.25">
      <c r="A47">
        <f>A35</f>
        <v>69.149149149149153</v>
      </c>
    </row>
    <row r="48" spans="1:9" x14ac:dyDescent="0.25">
      <c r="A48" t="s">
        <v>35</v>
      </c>
    </row>
    <row r="49" spans="1:2" x14ac:dyDescent="0.25">
      <c r="A49" t="s">
        <v>15</v>
      </c>
      <c r="B49" t="s">
        <v>5</v>
      </c>
    </row>
    <row r="50" spans="1:2" x14ac:dyDescent="0.25">
      <c r="A50">
        <f>I46*(I29/9.55)</f>
        <v>45.81151832460732</v>
      </c>
      <c r="B50">
        <f>H46*G29</f>
        <v>186.4</v>
      </c>
    </row>
    <row r="54" spans="1:2" x14ac:dyDescent="0.25">
      <c r="A54" t="s">
        <v>37</v>
      </c>
    </row>
    <row r="55" spans="1:2" x14ac:dyDescent="0.25">
      <c r="A55" t="s">
        <v>34</v>
      </c>
    </row>
    <row r="56" spans="1:2" x14ac:dyDescent="0.25">
      <c r="A56" t="s">
        <v>40</v>
      </c>
      <c r="B56" t="s">
        <v>41</v>
      </c>
    </row>
    <row r="57" spans="1:2" x14ac:dyDescent="0.25">
      <c r="A57">
        <f>B57/(C29*A31)</f>
        <v>17.287287287287288</v>
      </c>
      <c r="B57">
        <f>0.25*B29</f>
        <v>55</v>
      </c>
    </row>
    <row r="58" spans="1:2" x14ac:dyDescent="0.25">
      <c r="A58" t="s">
        <v>35</v>
      </c>
    </row>
    <row r="59" spans="1:2" x14ac:dyDescent="0.25">
      <c r="A59" t="s">
        <v>39</v>
      </c>
      <c r="B59" t="s">
        <v>38</v>
      </c>
    </row>
    <row r="60" spans="1:2" x14ac:dyDescent="0.25">
      <c r="A60">
        <f>C29*A31*2.5*G29</f>
        <v>1853.2404458598726</v>
      </c>
    </row>
    <row r="65" spans="1:19" x14ac:dyDescent="0.25">
      <c r="A65" t="s">
        <v>42</v>
      </c>
    </row>
    <row r="66" spans="1:19" x14ac:dyDescent="0.25">
      <c r="A66" t="s">
        <v>43</v>
      </c>
    </row>
    <row r="67" spans="1:19" x14ac:dyDescent="0.25">
      <c r="A67" t="s">
        <v>65</v>
      </c>
      <c r="Q67" t="s">
        <v>48</v>
      </c>
      <c r="R67" t="s">
        <v>49</v>
      </c>
      <c r="S67" t="s">
        <v>50</v>
      </c>
    </row>
    <row r="68" spans="1:19" x14ac:dyDescent="0.25">
      <c r="A68" t="s">
        <v>44</v>
      </c>
      <c r="D68" t="s">
        <v>51</v>
      </c>
      <c r="H68" t="s">
        <v>54</v>
      </c>
      <c r="L68" t="s">
        <v>57</v>
      </c>
      <c r="Q68">
        <v>0.95</v>
      </c>
      <c r="R68">
        <v>0.9</v>
      </c>
      <c r="S68">
        <v>0.85</v>
      </c>
    </row>
    <row r="69" spans="1:19" x14ac:dyDescent="0.25">
      <c r="D69">
        <f>0.25*$B$29/($C$29*$A$31)</f>
        <v>17.287287287287288</v>
      </c>
      <c r="H69">
        <f>(0.25*$B$29-$G$29*$H$29)/($C$29*$A$31)</f>
        <v>13.567240558205265</v>
      </c>
      <c r="L69">
        <f>(0.25*$B$29-$G$29*$H$29)/($C$29*$A$31)</f>
        <v>13.567240558205265</v>
      </c>
    </row>
    <row r="70" spans="1:19" x14ac:dyDescent="0.25">
      <c r="A70" t="s">
        <v>45</v>
      </c>
      <c r="D70" t="s">
        <v>51</v>
      </c>
      <c r="H70" t="s">
        <v>54</v>
      </c>
      <c r="L70" t="s">
        <v>57</v>
      </c>
      <c r="Q70" t="s">
        <v>60</v>
      </c>
      <c r="R70" t="s">
        <v>61</v>
      </c>
      <c r="S70" t="s">
        <v>62</v>
      </c>
    </row>
    <row r="71" spans="1:19" x14ac:dyDescent="0.25">
      <c r="D71">
        <f>0.5*$B$29/($C$29*$A$31)</f>
        <v>34.574574574574577</v>
      </c>
      <c r="H71">
        <f>(0.5*$B$29-$G$29*$H$29)/($C$29*$A$31)</f>
        <v>30.854527845492552</v>
      </c>
      <c r="L71">
        <f>(0.5*$B$29-$G$29*$H$29)/($C$29*$A$31)</f>
        <v>30.854527845492552</v>
      </c>
      <c r="Q71">
        <f>(0.5*G29)/Q68</f>
        <v>122.63157894736842</v>
      </c>
      <c r="R71">
        <f>(0.5*G29)/R68</f>
        <v>129.44444444444443</v>
      </c>
      <c r="S71">
        <f>(0.5*G29)/S68</f>
        <v>137.05882352941177</v>
      </c>
    </row>
    <row r="72" spans="1:19" x14ac:dyDescent="0.25">
      <c r="A72" t="s">
        <v>46</v>
      </c>
      <c r="D72" t="s">
        <v>51</v>
      </c>
      <c r="H72" t="s">
        <v>54</v>
      </c>
      <c r="L72" t="s">
        <v>57</v>
      </c>
    </row>
    <row r="73" spans="1:19" x14ac:dyDescent="0.25">
      <c r="D73">
        <f>0.75*$B$29/($C$29*$A$31)</f>
        <v>51.861861861861861</v>
      </c>
      <c r="H73">
        <f>(0.75*$B$29-$G$29*$H$29)/($C$29*$A$31)</f>
        <v>48.14181513277984</v>
      </c>
      <c r="L73">
        <f>(0.75*$B$29-$G$29*$H$29)/($C$29*$A$31)</f>
        <v>48.14181513277984</v>
      </c>
    </row>
    <row r="74" spans="1:19" x14ac:dyDescent="0.25">
      <c r="A74" t="s">
        <v>47</v>
      </c>
      <c r="D74" t="s">
        <v>51</v>
      </c>
      <c r="H74" t="s">
        <v>54</v>
      </c>
      <c r="L74" t="s">
        <v>57</v>
      </c>
    </row>
    <row r="75" spans="1:19" x14ac:dyDescent="0.25">
      <c r="D75">
        <f>$B$29/($C$29*$A$31)</f>
        <v>69.149149149149153</v>
      </c>
      <c r="H75">
        <f>($B$29-$G$29*$H$29)/($C$29*$A$31)</f>
        <v>65.429102420067125</v>
      </c>
      <c r="L75">
        <f>($B$29-$G$29*$H$29)/($C$29*$A$31)</f>
        <v>65.429102420067125</v>
      </c>
    </row>
    <row r="77" spans="1:19" x14ac:dyDescent="0.25">
      <c r="A77" t="s">
        <v>64</v>
      </c>
    </row>
    <row r="79" spans="1:19" x14ac:dyDescent="0.25">
      <c r="A79" t="s">
        <v>47</v>
      </c>
      <c r="D79" t="s">
        <v>51</v>
      </c>
      <c r="E79" t="s">
        <v>52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</row>
    <row r="80" spans="1:19" x14ac:dyDescent="0.25">
      <c r="D80">
        <f>$B$29/($C$29*$Q$68*$A$31)</f>
        <v>72.788578051735954</v>
      </c>
      <c r="E80">
        <f>$B$29/($C$29*$R$68*$A$31)</f>
        <v>76.832387943499057</v>
      </c>
      <c r="F80">
        <f>$B$29/($C$29*$S$68*$A$31)</f>
        <v>81.351940175469579</v>
      </c>
      <c r="H80">
        <f>($B$29-$Q$71*$H$29)/($C$29*$Q$68*$A$31)</f>
        <v>70.727610334793013</v>
      </c>
      <c r="I80">
        <f>($B$29-$R$71*$H$29)/($C$29*$R$68*$A$31)</f>
        <v>74.536062802090413</v>
      </c>
      <c r="J80">
        <f>($B$29-$S$71*$H$29)/($C$29*$S$68*$A$31)</f>
        <v>78.777513373336703</v>
      </c>
      <c r="L80">
        <f>($B$29-$G$29*$H$29)/($C$29*$Q$68*$A$31)</f>
        <v>68.87273938954435</v>
      </c>
      <c r="M80">
        <f>($B$29-$G$29*$H$29)/($C$29*$R$68*$A$31)</f>
        <v>72.699002688963475</v>
      </c>
      <c r="N80">
        <f>($B$29-$G$29*$H$29)/($C$29*$S$68*$A$31)</f>
        <v>76.975414611843675</v>
      </c>
    </row>
    <row r="84" spans="1:14" x14ac:dyDescent="0.25">
      <c r="A84" s="2" t="s">
        <v>70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63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44</v>
      </c>
      <c r="B86" s="2"/>
      <c r="C86" s="2"/>
      <c r="D86" t="s">
        <v>51</v>
      </c>
      <c r="E86" s="2"/>
      <c r="F86" s="2"/>
      <c r="G86" s="2"/>
      <c r="H86" t="s">
        <v>54</v>
      </c>
      <c r="I86" s="2"/>
      <c r="J86" s="2"/>
      <c r="K86" s="2"/>
      <c r="L86" t="s">
        <v>57</v>
      </c>
      <c r="M86" s="2" t="s">
        <v>66</v>
      </c>
      <c r="N86" s="2"/>
    </row>
    <row r="87" spans="1:14" x14ac:dyDescent="0.25">
      <c r="A87" s="2"/>
      <c r="B87" s="2"/>
      <c r="C87" s="2"/>
      <c r="D87">
        <f>0.25*$B$29/($C$29*$A$31)</f>
        <v>17.287287287287288</v>
      </c>
      <c r="E87" s="2"/>
      <c r="F87" s="2"/>
      <c r="G87" s="2"/>
      <c r="H87">
        <f>(0.25*$B$29-$G$29*$H$29)/($C$29*$A$31)</f>
        <v>13.567240558205265</v>
      </c>
      <c r="I87" s="2"/>
      <c r="J87" s="2"/>
      <c r="K87" s="2"/>
      <c r="L87">
        <f>(0.25*$B$29-$G$29*$H$29)/($C$29*$A$31)</f>
        <v>13.567240558205265</v>
      </c>
      <c r="M87" s="2">
        <f>G29*((B29-G29*H29)/L87)</f>
        <v>3574.9600936453576</v>
      </c>
      <c r="N87" s="2"/>
    </row>
    <row r="88" spans="1:14" x14ac:dyDescent="0.25">
      <c r="A88" s="2" t="s">
        <v>45</v>
      </c>
      <c r="B88" s="2"/>
      <c r="C88" s="2"/>
      <c r="D88" t="s">
        <v>51</v>
      </c>
      <c r="E88" s="2"/>
      <c r="F88" s="2"/>
      <c r="G88" s="2"/>
      <c r="H88" t="s">
        <v>54</v>
      </c>
      <c r="I88" s="2"/>
      <c r="J88" s="2"/>
      <c r="K88" s="2"/>
      <c r="L88" t="s">
        <v>57</v>
      </c>
      <c r="M88" s="2"/>
      <c r="N88" s="2"/>
    </row>
    <row r="89" spans="1:14" x14ac:dyDescent="0.25">
      <c r="A89" s="2"/>
      <c r="B89" s="2"/>
      <c r="C89" s="2"/>
      <c r="D89">
        <f>0.5*$B$29/($C$29*$A$31)</f>
        <v>34.574574574574577</v>
      </c>
      <c r="E89" s="2"/>
      <c r="F89" s="2"/>
      <c r="G89" s="2"/>
      <c r="H89">
        <f>(0.5*$B$29-$G$29*$H$29)/($C$29*$A$31)</f>
        <v>30.854527845492552</v>
      </c>
      <c r="I89" s="2"/>
      <c r="J89" s="2"/>
      <c r="K89" s="2"/>
      <c r="L89">
        <f>(0.5*$B$29-$G$29*$H$29)/($C$29*$A$31)</f>
        <v>30.854527845492552</v>
      </c>
      <c r="M89" s="2">
        <f>G29*((B29-G29*H29)/L89)</f>
        <v>1571.9684261367217</v>
      </c>
      <c r="N89" s="2"/>
    </row>
    <row r="90" spans="1:14" x14ac:dyDescent="0.25">
      <c r="A90" s="2" t="s">
        <v>46</v>
      </c>
      <c r="B90" s="2"/>
      <c r="C90" s="2"/>
      <c r="D90" t="s">
        <v>51</v>
      </c>
      <c r="E90" s="2"/>
      <c r="F90" s="2"/>
      <c r="G90" s="2"/>
      <c r="H90" t="s">
        <v>54</v>
      </c>
      <c r="I90" s="2"/>
      <c r="J90" s="2"/>
      <c r="K90" s="2"/>
      <c r="L90" t="s">
        <v>57</v>
      </c>
      <c r="M90" s="2"/>
      <c r="N90" s="2"/>
    </row>
    <row r="91" spans="1:14" x14ac:dyDescent="0.25">
      <c r="A91" s="2"/>
      <c r="B91" s="2"/>
      <c r="C91" s="2"/>
      <c r="D91">
        <f>0.75*$B$29/($C$29*$A$31)</f>
        <v>51.861861861861861</v>
      </c>
      <c r="E91" s="2"/>
      <c r="F91" s="2"/>
      <c r="G91" s="2"/>
      <c r="H91">
        <f>(0.75*$B$29-$G$29*$H$29)/($C$29*$A$31)</f>
        <v>48.14181513277984</v>
      </c>
      <c r="I91" s="2"/>
      <c r="J91" s="2"/>
      <c r="K91" s="2"/>
      <c r="L91">
        <f>(0.75*$B$29-$G$29*$H$29)/($C$29*$A$31)</f>
        <v>48.14181513277984</v>
      </c>
      <c r="M91" s="2">
        <f>G29*((B29-G29*H29)/L91)</f>
        <v>1007.4888834726396</v>
      </c>
      <c r="N91" s="2"/>
    </row>
    <row r="92" spans="1:14" x14ac:dyDescent="0.25">
      <c r="A92" s="2" t="s">
        <v>47</v>
      </c>
      <c r="B92" s="2"/>
      <c r="C92" s="2"/>
      <c r="D92" t="s">
        <v>51</v>
      </c>
      <c r="E92" s="2"/>
      <c r="F92" s="2"/>
      <c r="G92" s="2"/>
      <c r="H92" t="s">
        <v>54</v>
      </c>
      <c r="I92" s="2"/>
      <c r="J92" s="2"/>
      <c r="K92" s="2"/>
      <c r="L92" t="s">
        <v>57</v>
      </c>
      <c r="M92" s="2"/>
      <c r="N92" s="2"/>
    </row>
    <row r="93" spans="1:14" x14ac:dyDescent="0.25">
      <c r="A93" s="2"/>
      <c r="B93" s="2"/>
      <c r="C93" s="2"/>
      <c r="D93">
        <f>$B$29/($C$29*$A$31)</f>
        <v>69.149149149149153</v>
      </c>
      <c r="E93" s="2"/>
      <c r="F93" s="2"/>
      <c r="G93" s="2"/>
      <c r="H93">
        <f>($B$29-$G$29*$H$29)/($C$29*$A$31)</f>
        <v>65.429102420067125</v>
      </c>
      <c r="I93" s="2"/>
      <c r="J93" s="2"/>
      <c r="K93" s="2"/>
      <c r="L93">
        <f>($B$29-$G$29*$H$29)/($C$29*$A$31)</f>
        <v>65.429102420067125</v>
      </c>
      <c r="M93" s="2">
        <f>G29*((B29-G29*H29)/L93)</f>
        <v>741.29617834394901</v>
      </c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 t="s">
        <v>64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8" x14ac:dyDescent="0.25">
      <c r="A98" s="2" t="s">
        <v>47</v>
      </c>
      <c r="B98" s="2"/>
      <c r="C98" s="2"/>
      <c r="D98" s="2" t="s">
        <v>51</v>
      </c>
      <c r="E98" s="2" t="s">
        <v>52</v>
      </c>
      <c r="F98" s="2" t="s">
        <v>53</v>
      </c>
      <c r="G98" s="2"/>
      <c r="H98" s="2" t="s">
        <v>54</v>
      </c>
      <c r="I98" s="2" t="s">
        <v>55</v>
      </c>
      <c r="J98" s="2" t="s">
        <v>56</v>
      </c>
      <c r="K98" s="2"/>
      <c r="L98" s="2" t="s">
        <v>57</v>
      </c>
      <c r="M98" s="2" t="s">
        <v>58</v>
      </c>
      <c r="N98" s="2" t="s">
        <v>59</v>
      </c>
      <c r="P98" t="s">
        <v>67</v>
      </c>
      <c r="Q98" t="s">
        <v>68</v>
      </c>
      <c r="R98" t="s">
        <v>69</v>
      </c>
    </row>
    <row r="99" spans="1:18" x14ac:dyDescent="0.25">
      <c r="A99" s="2"/>
      <c r="B99" s="2"/>
      <c r="C99" s="2"/>
      <c r="D99" s="2">
        <f>$B$29/($C$29*$Q$68*$A$31)</f>
        <v>72.788578051735954</v>
      </c>
      <c r="E99" s="2">
        <f>$B$29/($C$29*$R$68*$A$31)</f>
        <v>76.832387943499057</v>
      </c>
      <c r="F99" s="2">
        <f>$B$29/($C$29*$S$68*$A$31)</f>
        <v>81.351940175469579</v>
      </c>
      <c r="G99" s="2"/>
      <c r="H99" s="2">
        <f>($B$29-$Q$71*$H$29)/($C$29*$Q$68*$A$31)</f>
        <v>70.727610334793013</v>
      </c>
      <c r="I99" s="2">
        <f>($B$29-$R$71*$H$29)/($C$29*$R$68*$A$31)</f>
        <v>74.536062802090413</v>
      </c>
      <c r="J99" s="2">
        <f>($B$29-$S$71*$H$29)/($C$29*$S$68*$A$31)</f>
        <v>78.777513373336703</v>
      </c>
      <c r="K99" s="2"/>
      <c r="L99" s="2">
        <f>($B$29-$G$29*$H$29)/($C$29*$Q$68*$A$31)</f>
        <v>68.87273938954435</v>
      </c>
      <c r="M99" s="2">
        <f>($B$29-$G$29*$H$29)/($C$29*$R$68*$A$31)</f>
        <v>72.699002688963475</v>
      </c>
      <c r="N99" s="2">
        <f>($B$29-$G$29*$H$29)/($C$29*$S$68*$A$31)</f>
        <v>76.975414611843675</v>
      </c>
      <c r="P99">
        <f>G29*((B29-G29*H29)/L99)</f>
        <v>704.2313694267516</v>
      </c>
      <c r="Q99">
        <f>G29*((B29-G29*H29)/M99)</f>
        <v>667.16656050955419</v>
      </c>
      <c r="R99">
        <f>G29*((B29-G29*H29)/N99)</f>
        <v>630.10175159235666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2021-03-07T22:33:00Z</dcterms:created>
  <dcterms:modified xsi:type="dcterms:W3CDTF">2021-03-08T17:36:20Z</dcterms:modified>
</cp:coreProperties>
</file>