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464CCFF-1AF6-47E2-85B7-1D1B387C96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1" l="1"/>
  <c r="H9" i="1"/>
  <c r="P190" i="1" l="1"/>
  <c r="P189" i="1"/>
  <c r="P184" i="1"/>
  <c r="P183" i="1"/>
  <c r="P178" i="1"/>
  <c r="P177" i="1"/>
  <c r="P172" i="1"/>
  <c r="P171" i="1"/>
  <c r="P157" i="1"/>
  <c r="P156" i="1"/>
  <c r="P151" i="1"/>
  <c r="P150" i="1"/>
  <c r="P144" i="1"/>
  <c r="P145" i="1"/>
  <c r="P139" i="1"/>
  <c r="P138" i="1"/>
  <c r="P123" i="1"/>
  <c r="P122" i="1"/>
  <c r="P117" i="1"/>
  <c r="P116" i="1"/>
  <c r="P111" i="1"/>
  <c r="P110" i="1"/>
  <c r="P105" i="1"/>
  <c r="P104" i="1"/>
  <c r="P88" i="1"/>
  <c r="P87" i="1"/>
  <c r="P82" i="1"/>
  <c r="P81" i="1"/>
  <c r="P76" i="1"/>
  <c r="P75" i="1"/>
  <c r="P70" i="1"/>
  <c r="P69" i="1"/>
  <c r="P64" i="1"/>
  <c r="P63" i="1"/>
  <c r="C191" i="1"/>
  <c r="D191" i="1"/>
  <c r="E191" i="1"/>
  <c r="F191" i="1"/>
  <c r="G191" i="1"/>
  <c r="H191" i="1"/>
  <c r="I191" i="1"/>
  <c r="J191" i="1"/>
  <c r="K191" i="1"/>
  <c r="B191" i="1"/>
  <c r="C185" i="1"/>
  <c r="D185" i="1"/>
  <c r="E185" i="1"/>
  <c r="F185" i="1"/>
  <c r="G185" i="1"/>
  <c r="H185" i="1"/>
  <c r="I185" i="1"/>
  <c r="J185" i="1"/>
  <c r="M185" i="1" s="1"/>
  <c r="K185" i="1"/>
  <c r="B185" i="1"/>
  <c r="C179" i="1"/>
  <c r="D179" i="1"/>
  <c r="E179" i="1"/>
  <c r="F179" i="1"/>
  <c r="G179" i="1"/>
  <c r="H179" i="1"/>
  <c r="I179" i="1"/>
  <c r="J179" i="1"/>
  <c r="K179" i="1"/>
  <c r="B179" i="1"/>
  <c r="C173" i="1"/>
  <c r="D173" i="1"/>
  <c r="E173" i="1"/>
  <c r="F173" i="1"/>
  <c r="G173" i="1"/>
  <c r="H173" i="1"/>
  <c r="I173" i="1"/>
  <c r="J173" i="1"/>
  <c r="K173" i="1"/>
  <c r="B173" i="1"/>
  <c r="C158" i="1"/>
  <c r="D158" i="1"/>
  <c r="E158" i="1"/>
  <c r="F158" i="1"/>
  <c r="G158" i="1"/>
  <c r="H158" i="1"/>
  <c r="I158" i="1"/>
  <c r="J158" i="1"/>
  <c r="K158" i="1"/>
  <c r="B158" i="1"/>
  <c r="C152" i="1"/>
  <c r="D152" i="1"/>
  <c r="E152" i="1"/>
  <c r="F152" i="1"/>
  <c r="G152" i="1"/>
  <c r="H152" i="1"/>
  <c r="I152" i="1"/>
  <c r="J152" i="1"/>
  <c r="K152" i="1"/>
  <c r="B152" i="1"/>
  <c r="C146" i="1"/>
  <c r="D146" i="1"/>
  <c r="E146" i="1"/>
  <c r="F146" i="1"/>
  <c r="G146" i="1"/>
  <c r="H146" i="1"/>
  <c r="I146" i="1"/>
  <c r="J146" i="1"/>
  <c r="K146" i="1"/>
  <c r="B146" i="1"/>
  <c r="C140" i="1"/>
  <c r="D140" i="1"/>
  <c r="E140" i="1"/>
  <c r="F140" i="1"/>
  <c r="G140" i="1"/>
  <c r="H140" i="1"/>
  <c r="I140" i="1"/>
  <c r="J140" i="1"/>
  <c r="K140" i="1"/>
  <c r="B140" i="1"/>
  <c r="C124" i="1"/>
  <c r="D124" i="1"/>
  <c r="E124" i="1"/>
  <c r="F124" i="1"/>
  <c r="G124" i="1"/>
  <c r="H124" i="1"/>
  <c r="I124" i="1"/>
  <c r="J124" i="1"/>
  <c r="K124" i="1"/>
  <c r="B124" i="1"/>
  <c r="C118" i="1"/>
  <c r="D118" i="1"/>
  <c r="E118" i="1"/>
  <c r="F118" i="1"/>
  <c r="G118" i="1"/>
  <c r="H118" i="1"/>
  <c r="I118" i="1"/>
  <c r="J118" i="1"/>
  <c r="K118" i="1"/>
  <c r="B118" i="1"/>
  <c r="C112" i="1"/>
  <c r="D112" i="1"/>
  <c r="E112" i="1"/>
  <c r="F112" i="1"/>
  <c r="G112" i="1"/>
  <c r="H112" i="1"/>
  <c r="I112" i="1"/>
  <c r="J112" i="1"/>
  <c r="K112" i="1"/>
  <c r="B112" i="1"/>
  <c r="C106" i="1"/>
  <c r="D106" i="1"/>
  <c r="E106" i="1"/>
  <c r="F106" i="1"/>
  <c r="G106" i="1"/>
  <c r="H106" i="1"/>
  <c r="I106" i="1"/>
  <c r="J106" i="1"/>
  <c r="K106" i="1"/>
  <c r="B106" i="1"/>
  <c r="C89" i="1"/>
  <c r="D89" i="1"/>
  <c r="E89" i="1"/>
  <c r="F89" i="1"/>
  <c r="G89" i="1"/>
  <c r="H89" i="1"/>
  <c r="I89" i="1"/>
  <c r="J89" i="1"/>
  <c r="K89" i="1"/>
  <c r="B89" i="1"/>
  <c r="C83" i="1"/>
  <c r="D83" i="1"/>
  <c r="E83" i="1"/>
  <c r="F83" i="1"/>
  <c r="G83" i="1"/>
  <c r="H83" i="1"/>
  <c r="I83" i="1"/>
  <c r="J83" i="1"/>
  <c r="M83" i="1" s="1"/>
  <c r="K83" i="1"/>
  <c r="B83" i="1"/>
  <c r="C77" i="1"/>
  <c r="D77" i="1"/>
  <c r="E77" i="1"/>
  <c r="F77" i="1"/>
  <c r="G77" i="1"/>
  <c r="H77" i="1"/>
  <c r="I77" i="1"/>
  <c r="J77" i="1"/>
  <c r="K77" i="1"/>
  <c r="B77" i="1"/>
  <c r="L71" i="1"/>
  <c r="C71" i="1"/>
  <c r="D71" i="1"/>
  <c r="E71" i="1"/>
  <c r="F71" i="1"/>
  <c r="G71" i="1"/>
  <c r="H71" i="1"/>
  <c r="I71" i="1"/>
  <c r="J71" i="1"/>
  <c r="K71" i="1"/>
  <c r="B71" i="1"/>
  <c r="M192" i="1"/>
  <c r="M191" i="1"/>
  <c r="C192" i="1"/>
  <c r="D192" i="1"/>
  <c r="E192" i="1"/>
  <c r="F192" i="1"/>
  <c r="G192" i="1"/>
  <c r="H192" i="1"/>
  <c r="I192" i="1"/>
  <c r="J192" i="1"/>
  <c r="K192" i="1"/>
  <c r="B192" i="1"/>
  <c r="C186" i="1"/>
  <c r="D186" i="1"/>
  <c r="E186" i="1"/>
  <c r="F186" i="1"/>
  <c r="G186" i="1"/>
  <c r="H186" i="1"/>
  <c r="I186" i="1"/>
  <c r="J186" i="1"/>
  <c r="M186" i="1" s="1"/>
  <c r="K186" i="1"/>
  <c r="B186" i="1"/>
  <c r="M180" i="1"/>
  <c r="M179" i="1"/>
  <c r="C180" i="1"/>
  <c r="D180" i="1"/>
  <c r="E180" i="1"/>
  <c r="F180" i="1"/>
  <c r="G180" i="1"/>
  <c r="H180" i="1"/>
  <c r="I180" i="1"/>
  <c r="J180" i="1"/>
  <c r="K180" i="1"/>
  <c r="B180" i="1"/>
  <c r="C174" i="1"/>
  <c r="D174" i="1"/>
  <c r="E174" i="1"/>
  <c r="F174" i="1"/>
  <c r="G174" i="1"/>
  <c r="H174" i="1"/>
  <c r="I174" i="1"/>
  <c r="J174" i="1"/>
  <c r="K174" i="1"/>
  <c r="B174" i="1"/>
  <c r="M174" i="1"/>
  <c r="M173" i="1"/>
  <c r="P191" i="1"/>
  <c r="M190" i="1"/>
  <c r="K190" i="1"/>
  <c r="J190" i="1"/>
  <c r="I190" i="1"/>
  <c r="H190" i="1"/>
  <c r="G190" i="1"/>
  <c r="F190" i="1"/>
  <c r="E190" i="1"/>
  <c r="D190" i="1"/>
  <c r="C190" i="1"/>
  <c r="B190" i="1"/>
  <c r="P185" i="1"/>
  <c r="M184" i="1"/>
  <c r="K184" i="1"/>
  <c r="J184" i="1"/>
  <c r="I184" i="1"/>
  <c r="H184" i="1"/>
  <c r="G184" i="1"/>
  <c r="F184" i="1"/>
  <c r="E184" i="1"/>
  <c r="D184" i="1"/>
  <c r="C184" i="1"/>
  <c r="B184" i="1"/>
  <c r="P179" i="1"/>
  <c r="M178" i="1"/>
  <c r="K178" i="1"/>
  <c r="J178" i="1"/>
  <c r="I178" i="1"/>
  <c r="H178" i="1"/>
  <c r="G178" i="1"/>
  <c r="F178" i="1"/>
  <c r="E178" i="1"/>
  <c r="D178" i="1"/>
  <c r="C178" i="1"/>
  <c r="B178" i="1"/>
  <c r="P173" i="1"/>
  <c r="L173" i="1"/>
  <c r="M172" i="1"/>
  <c r="K168" i="1"/>
  <c r="J168" i="1"/>
  <c r="I168" i="1"/>
  <c r="M168" i="1" s="1"/>
  <c r="H168" i="1"/>
  <c r="G168" i="1"/>
  <c r="F168" i="1"/>
  <c r="E168" i="1"/>
  <c r="D168" i="1"/>
  <c r="C168" i="1"/>
  <c r="B168" i="1"/>
  <c r="P167" i="1"/>
  <c r="K167" i="1"/>
  <c r="J167" i="1"/>
  <c r="I167" i="1"/>
  <c r="M167" i="1" s="1"/>
  <c r="H167" i="1"/>
  <c r="G167" i="1"/>
  <c r="F167" i="1"/>
  <c r="E167" i="1"/>
  <c r="D167" i="1"/>
  <c r="C167" i="1"/>
  <c r="B167" i="1"/>
  <c r="P166" i="1"/>
  <c r="M166" i="1"/>
  <c r="P165" i="1"/>
  <c r="M159" i="1"/>
  <c r="M158" i="1"/>
  <c r="C159" i="1"/>
  <c r="D159" i="1"/>
  <c r="E159" i="1"/>
  <c r="F159" i="1"/>
  <c r="G159" i="1"/>
  <c r="H159" i="1"/>
  <c r="I159" i="1"/>
  <c r="J159" i="1"/>
  <c r="K159" i="1"/>
  <c r="B159" i="1"/>
  <c r="C153" i="1"/>
  <c r="D153" i="1"/>
  <c r="E153" i="1"/>
  <c r="F153" i="1"/>
  <c r="G153" i="1"/>
  <c r="H153" i="1"/>
  <c r="I153" i="1"/>
  <c r="J153" i="1"/>
  <c r="K153" i="1"/>
  <c r="M152" i="1"/>
  <c r="B153" i="1"/>
  <c r="B147" i="1"/>
  <c r="C147" i="1"/>
  <c r="D147" i="1"/>
  <c r="E147" i="1"/>
  <c r="F147" i="1"/>
  <c r="G147" i="1"/>
  <c r="H147" i="1"/>
  <c r="I147" i="1"/>
  <c r="J147" i="1"/>
  <c r="K147" i="1"/>
  <c r="M147" i="1"/>
  <c r="M146" i="1"/>
  <c r="M141" i="1"/>
  <c r="M140" i="1"/>
  <c r="C141" i="1"/>
  <c r="D141" i="1"/>
  <c r="E141" i="1"/>
  <c r="F141" i="1"/>
  <c r="G141" i="1"/>
  <c r="H141" i="1"/>
  <c r="I141" i="1"/>
  <c r="J141" i="1"/>
  <c r="K141" i="1"/>
  <c r="B141" i="1"/>
  <c r="P158" i="1"/>
  <c r="M157" i="1"/>
  <c r="K157" i="1"/>
  <c r="J157" i="1"/>
  <c r="I157" i="1"/>
  <c r="H157" i="1"/>
  <c r="G157" i="1"/>
  <c r="F157" i="1"/>
  <c r="E157" i="1"/>
  <c r="D157" i="1"/>
  <c r="C157" i="1"/>
  <c r="B157" i="1"/>
  <c r="M153" i="1"/>
  <c r="P152" i="1"/>
  <c r="M151" i="1"/>
  <c r="K151" i="1"/>
  <c r="J151" i="1"/>
  <c r="I151" i="1"/>
  <c r="H151" i="1"/>
  <c r="G151" i="1"/>
  <c r="F151" i="1"/>
  <c r="E151" i="1"/>
  <c r="D151" i="1"/>
  <c r="C151" i="1"/>
  <c r="B151" i="1"/>
  <c r="P146" i="1"/>
  <c r="M145" i="1"/>
  <c r="K145" i="1"/>
  <c r="J145" i="1"/>
  <c r="I145" i="1"/>
  <c r="H145" i="1"/>
  <c r="G145" i="1"/>
  <c r="F145" i="1"/>
  <c r="E145" i="1"/>
  <c r="D145" i="1"/>
  <c r="C145" i="1"/>
  <c r="B145" i="1"/>
  <c r="P140" i="1"/>
  <c r="L140" i="1"/>
  <c r="M139" i="1"/>
  <c r="K135" i="1"/>
  <c r="J135" i="1"/>
  <c r="I135" i="1"/>
  <c r="M135" i="1" s="1"/>
  <c r="H135" i="1"/>
  <c r="G135" i="1"/>
  <c r="F135" i="1"/>
  <c r="E135" i="1"/>
  <c r="D135" i="1"/>
  <c r="C135" i="1"/>
  <c r="B135" i="1"/>
  <c r="P134" i="1"/>
  <c r="K134" i="1"/>
  <c r="J134" i="1"/>
  <c r="I134" i="1"/>
  <c r="M134" i="1" s="1"/>
  <c r="H134" i="1"/>
  <c r="G134" i="1"/>
  <c r="F134" i="1"/>
  <c r="E134" i="1"/>
  <c r="D134" i="1"/>
  <c r="C134" i="1"/>
  <c r="B134" i="1"/>
  <c r="P133" i="1"/>
  <c r="M133" i="1"/>
  <c r="P132" i="1"/>
  <c r="M125" i="1"/>
  <c r="M124" i="1"/>
  <c r="C125" i="1"/>
  <c r="D125" i="1"/>
  <c r="E125" i="1"/>
  <c r="F125" i="1"/>
  <c r="G125" i="1"/>
  <c r="H125" i="1"/>
  <c r="I125" i="1"/>
  <c r="J125" i="1"/>
  <c r="K125" i="1"/>
  <c r="B125" i="1"/>
  <c r="C119" i="1"/>
  <c r="D119" i="1"/>
  <c r="E119" i="1"/>
  <c r="F119" i="1"/>
  <c r="G119" i="1"/>
  <c r="H119" i="1"/>
  <c r="I119" i="1"/>
  <c r="J119" i="1"/>
  <c r="M119" i="1" s="1"/>
  <c r="K119" i="1"/>
  <c r="M118" i="1"/>
  <c r="B119" i="1"/>
  <c r="M113" i="1"/>
  <c r="M112" i="1"/>
  <c r="C113" i="1"/>
  <c r="D113" i="1"/>
  <c r="E113" i="1"/>
  <c r="F113" i="1"/>
  <c r="G113" i="1"/>
  <c r="H113" i="1"/>
  <c r="I113" i="1"/>
  <c r="J113" i="1"/>
  <c r="K113" i="1"/>
  <c r="B113" i="1"/>
  <c r="M107" i="1"/>
  <c r="M106" i="1"/>
  <c r="C107" i="1"/>
  <c r="D107" i="1"/>
  <c r="E107" i="1"/>
  <c r="F107" i="1"/>
  <c r="G107" i="1"/>
  <c r="H107" i="1"/>
  <c r="I107" i="1"/>
  <c r="J107" i="1"/>
  <c r="K107" i="1"/>
  <c r="B107" i="1"/>
  <c r="P124" i="1"/>
  <c r="M123" i="1"/>
  <c r="K123" i="1"/>
  <c r="J123" i="1"/>
  <c r="I123" i="1"/>
  <c r="H123" i="1"/>
  <c r="G123" i="1"/>
  <c r="F123" i="1"/>
  <c r="E123" i="1"/>
  <c r="D123" i="1"/>
  <c r="C123" i="1"/>
  <c r="B123" i="1"/>
  <c r="P118" i="1"/>
  <c r="M117" i="1"/>
  <c r="K117" i="1"/>
  <c r="J117" i="1"/>
  <c r="I117" i="1"/>
  <c r="H117" i="1"/>
  <c r="G117" i="1"/>
  <c r="F117" i="1"/>
  <c r="E117" i="1"/>
  <c r="D117" i="1"/>
  <c r="C117" i="1"/>
  <c r="B117" i="1"/>
  <c r="P112" i="1"/>
  <c r="M111" i="1"/>
  <c r="K111" i="1"/>
  <c r="J111" i="1"/>
  <c r="I111" i="1"/>
  <c r="H111" i="1"/>
  <c r="G111" i="1"/>
  <c r="F111" i="1"/>
  <c r="E111" i="1"/>
  <c r="D111" i="1"/>
  <c r="C111" i="1"/>
  <c r="B111" i="1"/>
  <c r="P106" i="1"/>
  <c r="L106" i="1"/>
  <c r="M105" i="1"/>
  <c r="K101" i="1"/>
  <c r="J101" i="1"/>
  <c r="I101" i="1"/>
  <c r="M101" i="1" s="1"/>
  <c r="H101" i="1"/>
  <c r="G101" i="1"/>
  <c r="F101" i="1"/>
  <c r="E101" i="1"/>
  <c r="D101" i="1"/>
  <c r="C101" i="1"/>
  <c r="B101" i="1"/>
  <c r="P100" i="1"/>
  <c r="K100" i="1"/>
  <c r="J100" i="1"/>
  <c r="I100" i="1"/>
  <c r="M100" i="1" s="1"/>
  <c r="H100" i="1"/>
  <c r="G100" i="1"/>
  <c r="F100" i="1"/>
  <c r="E100" i="1"/>
  <c r="D100" i="1"/>
  <c r="C100" i="1"/>
  <c r="B100" i="1"/>
  <c r="P99" i="1"/>
  <c r="M99" i="1"/>
  <c r="P98" i="1"/>
  <c r="M90" i="1"/>
  <c r="M89" i="1"/>
  <c r="C90" i="1"/>
  <c r="D90" i="1"/>
  <c r="E90" i="1"/>
  <c r="F90" i="1"/>
  <c r="G90" i="1"/>
  <c r="H90" i="1"/>
  <c r="I90" i="1"/>
  <c r="J90" i="1"/>
  <c r="K90" i="1"/>
  <c r="B90" i="1"/>
  <c r="M88" i="1"/>
  <c r="P89" i="1"/>
  <c r="B88" i="1"/>
  <c r="C88" i="1"/>
  <c r="D88" i="1"/>
  <c r="E88" i="1"/>
  <c r="F88" i="1"/>
  <c r="G88" i="1"/>
  <c r="H88" i="1"/>
  <c r="I88" i="1"/>
  <c r="J88" i="1"/>
  <c r="K88" i="1"/>
  <c r="M84" i="1"/>
  <c r="M82" i="1"/>
  <c r="C84" i="1"/>
  <c r="D84" i="1"/>
  <c r="E84" i="1"/>
  <c r="F84" i="1"/>
  <c r="G84" i="1"/>
  <c r="H84" i="1"/>
  <c r="I84" i="1"/>
  <c r="J84" i="1"/>
  <c r="K84" i="1"/>
  <c r="B84" i="1"/>
  <c r="M78" i="1"/>
  <c r="M77" i="1"/>
  <c r="P83" i="1"/>
  <c r="M76" i="1"/>
  <c r="M70" i="1"/>
  <c r="P77" i="1"/>
  <c r="C78" i="1"/>
  <c r="D78" i="1"/>
  <c r="E78" i="1"/>
  <c r="F78" i="1"/>
  <c r="G78" i="1"/>
  <c r="H78" i="1"/>
  <c r="I78" i="1"/>
  <c r="J78" i="1"/>
  <c r="K78" i="1"/>
  <c r="B78" i="1"/>
  <c r="M72" i="1"/>
  <c r="M71" i="1"/>
  <c r="P71" i="1"/>
  <c r="C72" i="1"/>
  <c r="D72" i="1"/>
  <c r="E72" i="1"/>
  <c r="F72" i="1"/>
  <c r="G72" i="1"/>
  <c r="H72" i="1"/>
  <c r="I72" i="1"/>
  <c r="J72" i="1"/>
  <c r="K72" i="1"/>
  <c r="B72" i="1"/>
  <c r="P65" i="1"/>
  <c r="M64" i="1"/>
  <c r="C82" i="1"/>
  <c r="D82" i="1"/>
  <c r="E82" i="1"/>
  <c r="F82" i="1"/>
  <c r="G82" i="1"/>
  <c r="H82" i="1"/>
  <c r="I82" i="1"/>
  <c r="J82" i="1"/>
  <c r="K82" i="1"/>
  <c r="B82" i="1"/>
  <c r="B76" i="1"/>
  <c r="C76" i="1"/>
  <c r="D76" i="1"/>
  <c r="E76" i="1"/>
  <c r="F76" i="1"/>
  <c r="G76" i="1"/>
  <c r="H76" i="1"/>
  <c r="I76" i="1"/>
  <c r="J76" i="1"/>
  <c r="K76" i="1"/>
  <c r="C66" i="1"/>
  <c r="D66" i="1"/>
  <c r="E66" i="1"/>
  <c r="F66" i="1"/>
  <c r="G66" i="1"/>
  <c r="H66" i="1"/>
  <c r="I66" i="1"/>
  <c r="M66" i="1" s="1"/>
  <c r="J66" i="1"/>
  <c r="K66" i="1"/>
  <c r="C65" i="1"/>
  <c r="D65" i="1"/>
  <c r="E65" i="1"/>
  <c r="F65" i="1"/>
  <c r="G65" i="1"/>
  <c r="H65" i="1"/>
  <c r="I65" i="1"/>
  <c r="M65" i="1" s="1"/>
  <c r="J65" i="1"/>
  <c r="K65" i="1"/>
  <c r="B65" i="1"/>
  <c r="B66" i="1"/>
  <c r="O39" i="1"/>
  <c r="O37" i="1"/>
  <c r="O38" i="1"/>
  <c r="C39" i="1"/>
  <c r="D39" i="1"/>
  <c r="E39" i="1"/>
  <c r="F39" i="1"/>
  <c r="G39" i="1"/>
  <c r="H39" i="1"/>
  <c r="I39" i="1"/>
  <c r="J39" i="1"/>
  <c r="K39" i="1"/>
  <c r="B39" i="1"/>
  <c r="C38" i="1"/>
  <c r="D38" i="1"/>
  <c r="E38" i="1"/>
  <c r="F38" i="1"/>
  <c r="G38" i="1"/>
  <c r="H38" i="1"/>
  <c r="I38" i="1"/>
  <c r="J38" i="1"/>
  <c r="K38" i="1"/>
  <c r="B38" i="1"/>
  <c r="C37" i="1"/>
  <c r="D37" i="1"/>
  <c r="E37" i="1"/>
  <c r="F37" i="1"/>
  <c r="G37" i="1"/>
  <c r="H37" i="1"/>
  <c r="I37" i="1"/>
  <c r="J37" i="1"/>
  <c r="K37" i="1"/>
  <c r="C36" i="1"/>
  <c r="D36" i="1"/>
  <c r="E36" i="1"/>
  <c r="F36" i="1"/>
  <c r="G36" i="1"/>
  <c r="H36" i="1"/>
  <c r="I36" i="1"/>
  <c r="J36" i="1"/>
  <c r="K36" i="1"/>
  <c r="B36" i="1"/>
  <c r="D35" i="1"/>
  <c r="E35" i="1"/>
  <c r="F35" i="1"/>
  <c r="G35" i="1"/>
  <c r="H35" i="1"/>
  <c r="I35" i="1"/>
  <c r="J35" i="1"/>
  <c r="K35" i="1"/>
  <c r="L35" i="1"/>
  <c r="C35" i="1"/>
  <c r="O35" i="1"/>
  <c r="O34" i="1"/>
  <c r="O33" i="1"/>
  <c r="O11" i="1"/>
  <c r="O7" i="1"/>
  <c r="C10" i="1"/>
  <c r="D10" i="1"/>
  <c r="E10" i="1"/>
  <c r="F10" i="1"/>
  <c r="G10" i="1"/>
  <c r="H10" i="1"/>
  <c r="I10" i="1"/>
  <c r="J10" i="1"/>
  <c r="K10" i="1"/>
  <c r="B10" i="1"/>
  <c r="C8" i="1"/>
  <c r="D8" i="1"/>
  <c r="E8" i="1"/>
  <c r="F8" i="1"/>
  <c r="G8" i="1"/>
  <c r="H8" i="1"/>
  <c r="I8" i="1"/>
  <c r="J8" i="1"/>
  <c r="K8" i="1"/>
  <c r="B8" i="1"/>
  <c r="B7" i="1"/>
  <c r="O10" i="1"/>
  <c r="O9" i="1"/>
  <c r="C9" i="1"/>
  <c r="D9" i="1"/>
  <c r="E9" i="1"/>
  <c r="F9" i="1"/>
  <c r="G9" i="1"/>
  <c r="I9" i="1"/>
  <c r="J9" i="1"/>
  <c r="K9" i="1"/>
  <c r="B9" i="1"/>
  <c r="O6" i="1"/>
  <c r="O5" i="1"/>
  <c r="C7" i="1"/>
  <c r="D7" i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<sst xmlns="http://schemas.openxmlformats.org/spreadsheetml/2006/main" count="336" uniqueCount="73">
  <si>
    <t>Двигатель: МТВ412-6</t>
  </si>
  <si>
    <t>Pн, кВт</t>
  </si>
  <si>
    <t>nн, об/мин</t>
  </si>
  <si>
    <t>Mm/Mn</t>
  </si>
  <si>
    <t>Iс.н., А</t>
  </si>
  <si>
    <t>Iс.х., А</t>
  </si>
  <si>
    <t>rc, Ом</t>
  </si>
  <si>
    <t>xc, Ом</t>
  </si>
  <si>
    <t>Eр.н., В</t>
  </si>
  <si>
    <t>Iр.н., А</t>
  </si>
  <si>
    <t>rp, А</t>
  </si>
  <si>
    <t>xр, Ом</t>
  </si>
  <si>
    <t>ke</t>
  </si>
  <si>
    <t>номинальный 0,73</t>
  </si>
  <si>
    <t>хх 0,06</t>
  </si>
  <si>
    <t>r'2, Ом</t>
  </si>
  <si>
    <t>x'2, Ом</t>
  </si>
  <si>
    <t>S</t>
  </si>
  <si>
    <r>
      <t>cos</t>
    </r>
    <r>
      <rPr>
        <sz val="11"/>
        <color theme="1"/>
        <rFont val="Calibri"/>
        <family val="2"/>
        <charset val="204"/>
      </rPr>
      <t>ϕ</t>
    </r>
  </si>
  <si>
    <t>U, В</t>
  </si>
  <si>
    <t>ω0, рад/сек</t>
  </si>
  <si>
    <t>p</t>
  </si>
  <si>
    <t>Mп, Н*м</t>
  </si>
  <si>
    <t>Mк, Н*м</t>
  </si>
  <si>
    <t>M(0,8U1), Н*м</t>
  </si>
  <si>
    <t>I'2(0,8U1), А</t>
  </si>
  <si>
    <t>ω, об/сек</t>
  </si>
  <si>
    <t>Mп(0,8U1), Н*м</t>
  </si>
  <si>
    <t>Mк(0,8U1), Н*м</t>
  </si>
  <si>
    <t>Sк</t>
  </si>
  <si>
    <t>Sк(0,8U1)</t>
  </si>
  <si>
    <t>r'доб, Ом</t>
  </si>
  <si>
    <t>0,5ω, об/сек</t>
  </si>
  <si>
    <t>M(0,5ω+r'доб), Н*м</t>
  </si>
  <si>
    <t>I'2(0,5ω+r'доб), А</t>
  </si>
  <si>
    <t>Mк(0,5ω+r'доб), Н*м</t>
  </si>
  <si>
    <t>Sк(0,5ω+r'доб)</t>
  </si>
  <si>
    <t>M(ест), Н*м</t>
  </si>
  <si>
    <t>I'2(ест), А</t>
  </si>
  <si>
    <t>Естественная характеристика</t>
  </si>
  <si>
    <t>U1/f1=k,f1=40Гц</t>
  </si>
  <si>
    <t>Sк(0,3)</t>
  </si>
  <si>
    <t>k, U1/f1=k</t>
  </si>
  <si>
    <t>U1/f1=k,f1=30Гц</t>
  </si>
  <si>
    <t>U1/f1=k,f1=20Гц</t>
  </si>
  <si>
    <t>Sк(0,125)</t>
  </si>
  <si>
    <t>Sк(0,1569)</t>
  </si>
  <si>
    <t>Sк(0,2)</t>
  </si>
  <si>
    <t>U1/f1=k,f1=10Гц</t>
  </si>
  <si>
    <t>Sк(0,2658)</t>
  </si>
  <si>
    <t>M(40Гц), Н*м</t>
  </si>
  <si>
    <t>I'2(40Гц), А</t>
  </si>
  <si>
    <t>M(30Гц), Н*м</t>
  </si>
  <si>
    <t>I'2(30Гц), А</t>
  </si>
  <si>
    <t>M(20Гц), Н*м</t>
  </si>
  <si>
    <t>I'2(20Гц), А</t>
  </si>
  <si>
    <t>M(10Гц), Н*м</t>
  </si>
  <si>
    <t>I'2(10Гц), А</t>
  </si>
  <si>
    <t>k, U1/(f1)^(1/2)=k</t>
  </si>
  <si>
    <t>U1/f1^(1/2)=k,f1=40Гц</t>
  </si>
  <si>
    <t>U1/f1^(1/2)=k,f1=30Гц</t>
  </si>
  <si>
    <t>U1/f1^(1/2)=k,f1=20Гц</t>
  </si>
  <si>
    <t>U1/f1^(1/2)=k,f1=10Гц</t>
  </si>
  <si>
    <t>k, U1/f1^2=k</t>
  </si>
  <si>
    <t>U1/f1^2=k,f1=40Гц</t>
  </si>
  <si>
    <t>U1/f1^2=k,f1=30Гц</t>
  </si>
  <si>
    <t>U1/f1^2=k,f1=20Гц</t>
  </si>
  <si>
    <t>U1/f1^2=k,f1=10Гц</t>
  </si>
  <si>
    <t>U=const</t>
  </si>
  <si>
    <t>U=const, f1=40Гц</t>
  </si>
  <si>
    <t>U=const, f1=30Гц</t>
  </si>
  <si>
    <t>U=const, f1=20Гц</t>
  </si>
  <si>
    <t>U=const, f1=10Гц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</si>
</sst>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3016791575751825"/>
          <c:h val="0.7474947984443121"/>
        </c:manualLayout>
      </c:layout>
      <c:scatterChart>
        <c:scatterStyle val="smoothMarker"/>
        <c:varyColors val="0"/>
        <c:ser>
          <c:idx val="0"/>
          <c:order val="0"/>
          <c:tx>
            <c:v>М(ест),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Лист1!$B$7:$L$7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B9-4908-B676-E595D22CAA8F}"/>
            </c:ext>
          </c:extLst>
        </c:ser>
        <c:ser>
          <c:idx val="1"/>
          <c:order val="1"/>
          <c:tx>
            <c:v>I'2(ест),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B9-4908-B676-E595D22CAA8F}"/>
            </c:ext>
          </c:extLst>
        </c:ser>
        <c:ser>
          <c:idx val="2"/>
          <c:order val="2"/>
          <c:tx>
            <c:v>M(0,8U1),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Лист1!$B$9:$L$9</c:f>
              <c:numCache>
                <c:formatCode>General</c:formatCode>
                <c:ptCount val="11"/>
                <c:pt idx="0">
                  <c:v>242.16014062329728</c:v>
                </c:pt>
                <c:pt idx="1">
                  <c:v>265.95746054532663</c:v>
                </c:pt>
                <c:pt idx="2">
                  <c:v>294.70236428133046</c:v>
                </c:pt>
                <c:pt idx="3">
                  <c:v>329.98491749131915</c:v>
                </c:pt>
                <c:pt idx="4">
                  <c:v>374.03749462557562</c:v>
                </c:pt>
                <c:pt idx="5">
                  <c:v>429.9123331134208</c:v>
                </c:pt>
                <c:pt idx="6">
                  <c:v>501.22754512941265</c:v>
                </c:pt>
                <c:pt idx="7">
                  <c:v>589.2103377725997</c:v>
                </c:pt>
                <c:pt idx="8">
                  <c:v>674.82369692225063</c:v>
                </c:pt>
                <c:pt idx="9">
                  <c:v>626.19859140929077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B9-4908-B676-E595D22CAA8F}"/>
            </c:ext>
          </c:extLst>
        </c:ser>
        <c:ser>
          <c:idx val="3"/>
          <c:order val="3"/>
          <c:tx>
            <c:v>I'2(0,8U1),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Лист1!$B$10:$K$10</c:f>
              <c:numCache>
                <c:formatCode>General</c:formatCode>
                <c:ptCount val="10"/>
                <c:pt idx="0">
                  <c:v>247.88117739277536</c:v>
                </c:pt>
                <c:pt idx="1">
                  <c:v>246.44474595367041</c:v>
                </c:pt>
                <c:pt idx="2">
                  <c:v>244.58455216458722</c:v>
                </c:pt>
                <c:pt idx="3">
                  <c:v>242.09637427279634</c:v>
                </c:pt>
                <c:pt idx="4">
                  <c:v>238.63020542119213</c:v>
                </c:pt>
                <c:pt idx="5">
                  <c:v>233.5431719634577</c:v>
                </c:pt>
                <c:pt idx="6">
                  <c:v>225.54836372358648</c:v>
                </c:pt>
                <c:pt idx="7">
                  <c:v>211.78150321876342</c:v>
                </c:pt>
                <c:pt idx="8">
                  <c:v>185.05566329772094</c:v>
                </c:pt>
                <c:pt idx="9">
                  <c:v>126.05157120093197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B9-4908-B676-E595D22C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  <a:br>
                  <a:rPr lang="ru-RU"/>
                </a:b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1035006166409"/>
          <c:y val="4.1548924031554871E-2"/>
          <c:w val="9.5089738071837987E-2"/>
          <c:h val="0.19396051601863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2-4DD1-8CBD-240FD21C1EB0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Лист1!$B$174:$L$174</c:f>
              <c:numCache>
                <c:formatCode>General</c:formatCode>
                <c:ptCount val="11"/>
                <c:pt idx="0">
                  <c:v>205.67710137903924</c:v>
                </c:pt>
                <c:pt idx="1">
                  <c:v>205.14937852397046</c:v>
                </c:pt>
                <c:pt idx="2">
                  <c:v>204.45829554981191</c:v>
                </c:pt>
                <c:pt idx="3">
                  <c:v>203.52017581360747</c:v>
                </c:pt>
                <c:pt idx="4">
                  <c:v>202.18663001357791</c:v>
                </c:pt>
                <c:pt idx="5">
                  <c:v>200.17170847895932</c:v>
                </c:pt>
                <c:pt idx="6">
                  <c:v>196.86061975717192</c:v>
                </c:pt>
                <c:pt idx="7">
                  <c:v>190.71859039608651</c:v>
                </c:pt>
                <c:pt idx="8">
                  <c:v>177.02117116019718</c:v>
                </c:pt>
                <c:pt idx="9">
                  <c:v>136.7138856000619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2-4DD1-8CBD-240FD21C1EB0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Лист1!$B$180:$L$180</c:f>
              <c:numCache>
                <c:formatCode>General</c:formatCode>
                <c:ptCount val="11"/>
                <c:pt idx="0">
                  <c:v>236.66519634252049</c:v>
                </c:pt>
                <c:pt idx="1">
                  <c:v>235.86220560019112</c:v>
                </c:pt>
                <c:pt idx="2">
                  <c:v>234.81365383820918</c:v>
                </c:pt>
                <c:pt idx="3">
                  <c:v>233.39569571461135</c:v>
                </c:pt>
                <c:pt idx="4">
                  <c:v>231.39064963194758</c:v>
                </c:pt>
                <c:pt idx="5">
                  <c:v>228.38429867563949</c:v>
                </c:pt>
                <c:pt idx="6">
                  <c:v>223.50292073816635</c:v>
                </c:pt>
                <c:pt idx="7">
                  <c:v>214.63301139562998</c:v>
                </c:pt>
                <c:pt idx="8">
                  <c:v>195.64059315884387</c:v>
                </c:pt>
                <c:pt idx="9">
                  <c:v>144.76425742741262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2-4DD1-8CBD-240FD21C1EB0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Лист1!$B$186:$L$186</c:f>
              <c:numCache>
                <c:formatCode>General</c:formatCode>
                <c:ptCount val="11"/>
                <c:pt idx="0">
                  <c:v>269.95897242153342</c:v>
                </c:pt>
                <c:pt idx="1">
                  <c:v>268.76900137373923</c:v>
                </c:pt>
                <c:pt idx="2">
                  <c:v>267.22057629071776</c:v>
                </c:pt>
                <c:pt idx="3">
                  <c:v>265.13634208281258</c:v>
                </c:pt>
                <c:pt idx="4">
                  <c:v>262.20790237994197</c:v>
                </c:pt>
                <c:pt idx="5">
                  <c:v>257.85725984076504</c:v>
                </c:pt>
                <c:pt idx="6">
                  <c:v>250.89254121817319</c:v>
                </c:pt>
                <c:pt idx="7">
                  <c:v>238.53426482484198</c:v>
                </c:pt>
                <c:pt idx="8">
                  <c:v>213.22825277372402</c:v>
                </c:pt>
                <c:pt idx="9">
                  <c:v>151.47129643464717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C2-4DD1-8CBD-240FD21C1EB0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Лист1!$B$192:$L$192</c:f>
              <c:numCache>
                <c:formatCode>General</c:formatCode>
                <c:ptCount val="11"/>
                <c:pt idx="0">
                  <c:v>298.24511617511263</c:v>
                </c:pt>
                <c:pt idx="1">
                  <c:v>296.6428623065683</c:v>
                </c:pt>
                <c:pt idx="2">
                  <c:v>294.56489811015581</c:v>
                </c:pt>
                <c:pt idx="3">
                  <c:v>291.78011585592856</c:v>
                </c:pt>
                <c:pt idx="4">
                  <c:v>287.89068891006679</c:v>
                </c:pt>
                <c:pt idx="5">
                  <c:v>282.16145041012408</c:v>
                </c:pt>
                <c:pt idx="6">
                  <c:v>273.10760499874817</c:v>
                </c:pt>
                <c:pt idx="7">
                  <c:v>257.37841039581843</c:v>
                </c:pt>
                <c:pt idx="8">
                  <c:v>226.36847864413463</c:v>
                </c:pt>
                <c:pt idx="9">
                  <c:v>155.9724810189264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C2-4DD1-8CBD-240FD21C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0.90483626799996508"/>
              <c:y val="0.8963218390804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079533326387E-2"/>
          <c:h val="0.24540139379129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7474947984443121"/>
        </c:manualLayout>
      </c:layout>
      <c:scatterChart>
        <c:scatterStyle val="smoothMarker"/>
        <c:varyColors val="0"/>
        <c:ser>
          <c:idx val="4"/>
          <c:order val="0"/>
          <c:tx>
            <c:v>M(ест), Н*м</c:v>
          </c:tx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404-47CC-836D-F1073E10B3AF}"/>
            </c:ext>
          </c:extLst>
        </c:ser>
        <c:ser>
          <c:idx val="5"/>
          <c:order val="1"/>
          <c:tx>
            <c:v>I'2(ест), А</c:v>
          </c:tx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404-47CC-836D-F1073E10B3AF}"/>
            </c:ext>
          </c:extLst>
        </c:ser>
        <c:ser>
          <c:idx val="6"/>
          <c:order val="2"/>
          <c:tx>
            <c:v>M(0,5ω+r'доб), Н*м</c:v>
          </c:tx>
          <c:xVal>
            <c:numRef>
              <c:f>Лист1!$B$38:$L$38</c:f>
              <c:numCache>
                <c:formatCode>General</c:formatCode>
                <c:ptCount val="11"/>
                <c:pt idx="0">
                  <c:v>812.04687717221793</c:v>
                </c:pt>
                <c:pt idx="1">
                  <c:v>834.82534340825976</c:v>
                </c:pt>
                <c:pt idx="2">
                  <c:v>852.0313610066097</c:v>
                </c:pt>
                <c:pt idx="3">
                  <c:v>859.90406755023457</c:v>
                </c:pt>
                <c:pt idx="4">
                  <c:v>852.99369056928776</c:v>
                </c:pt>
                <c:pt idx="5">
                  <c:v>823.70342058081735</c:v>
                </c:pt>
                <c:pt idx="6">
                  <c:v>762.08885274382055</c:v>
                </c:pt>
                <c:pt idx="7">
                  <c:v>656.48283992435472</c:v>
                </c:pt>
                <c:pt idx="8">
                  <c:v>495.86300063769107</c:v>
                </c:pt>
                <c:pt idx="9">
                  <c:v>274.76855893807533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404-47CC-836D-F1073E10B3AF}"/>
            </c:ext>
          </c:extLst>
        </c:ser>
        <c:ser>
          <c:idx val="7"/>
          <c:order val="3"/>
          <c:tx>
            <c:v>I'2(0,5ω+r'доб), А</c:v>
          </c:tx>
          <c:xVal>
            <c:numRef>
              <c:f>Лист1!$B$39:$L$39</c:f>
              <c:numCache>
                <c:formatCode>General</c:formatCode>
                <c:ptCount val="11"/>
                <c:pt idx="0">
                  <c:v>245.51904753525446</c:v>
                </c:pt>
                <c:pt idx="1">
                  <c:v>236.16400622493558</c:v>
                </c:pt>
                <c:pt idx="2">
                  <c:v>224.94037974731293</c:v>
                </c:pt>
                <c:pt idx="3">
                  <c:v>211.38232090322822</c:v>
                </c:pt>
                <c:pt idx="4">
                  <c:v>194.9140632018792</c:v>
                </c:pt>
                <c:pt idx="5">
                  <c:v>174.84977478566481</c:v>
                </c:pt>
                <c:pt idx="6">
                  <c:v>150.42757020626797</c:v>
                </c:pt>
                <c:pt idx="7">
                  <c:v>120.91131845964112</c:v>
                </c:pt>
                <c:pt idx="8">
                  <c:v>85.800632674747803</c:v>
                </c:pt>
                <c:pt idx="9">
                  <c:v>45.162519112010209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404-47CC-836D-F1073E10B3AF}"/>
            </c:ext>
          </c:extLst>
        </c:ser>
        <c:ser>
          <c:idx val="0"/>
          <c:order val="4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04-47CC-836D-F1073E10B3AF}"/>
            </c:ext>
          </c:extLst>
        </c:ser>
        <c:ser>
          <c:idx val="1"/>
          <c:order val="5"/>
          <c:tx>
            <c:v>I'2(ест),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04-47CC-836D-F1073E10B3AF}"/>
            </c:ext>
          </c:extLst>
        </c:ser>
        <c:ser>
          <c:idx val="2"/>
          <c:order val="6"/>
          <c:tx>
            <c:v>M(0,5ω+r'доб),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Лист1!$B$38:$L$38</c:f>
              <c:numCache>
                <c:formatCode>General</c:formatCode>
                <c:ptCount val="11"/>
                <c:pt idx="0">
                  <c:v>812.04687717221793</c:v>
                </c:pt>
                <c:pt idx="1">
                  <c:v>834.82534340825976</c:v>
                </c:pt>
                <c:pt idx="2">
                  <c:v>852.0313610066097</c:v>
                </c:pt>
                <c:pt idx="3">
                  <c:v>859.90406755023457</c:v>
                </c:pt>
                <c:pt idx="4">
                  <c:v>852.99369056928776</c:v>
                </c:pt>
                <c:pt idx="5">
                  <c:v>823.70342058081735</c:v>
                </c:pt>
                <c:pt idx="6">
                  <c:v>762.08885274382055</c:v>
                </c:pt>
                <c:pt idx="7">
                  <c:v>656.48283992435472</c:v>
                </c:pt>
                <c:pt idx="8">
                  <c:v>495.86300063769107</c:v>
                </c:pt>
                <c:pt idx="9">
                  <c:v>274.76855893807533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04-47CC-836D-F1073E10B3AF}"/>
            </c:ext>
          </c:extLst>
        </c:ser>
        <c:ser>
          <c:idx val="3"/>
          <c:order val="7"/>
          <c:tx>
            <c:v>I'2(0,5ω+r'доб),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Лист1!$B$39:$L$39</c:f>
              <c:numCache>
                <c:formatCode>General</c:formatCode>
                <c:ptCount val="11"/>
                <c:pt idx="0">
                  <c:v>245.51904753525446</c:v>
                </c:pt>
                <c:pt idx="1">
                  <c:v>236.16400622493558</c:v>
                </c:pt>
                <c:pt idx="2">
                  <c:v>224.94037974731293</c:v>
                </c:pt>
                <c:pt idx="3">
                  <c:v>211.38232090322822</c:v>
                </c:pt>
                <c:pt idx="4">
                  <c:v>194.9140632018792</c:v>
                </c:pt>
                <c:pt idx="5">
                  <c:v>174.84977478566481</c:v>
                </c:pt>
                <c:pt idx="6">
                  <c:v>150.42757020626797</c:v>
                </c:pt>
                <c:pt idx="7">
                  <c:v>120.91131845964112</c:v>
                </c:pt>
                <c:pt idx="8">
                  <c:v>85.800632674747803</c:v>
                </c:pt>
                <c:pt idx="9">
                  <c:v>45.162519112010209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04-47CC-836D-F1073E1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M, </a:t>
                </a:r>
                <a:r>
                  <a:rPr lang="ru-RU"/>
                  <a:t>Н*М</a:t>
                </a:r>
                <a:br>
                  <a:rPr lang="ru-RU"/>
                </a:b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2651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17502779941E-2"/>
          <c:h val="0.4101115183158964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3-49DE-AF45-72A866B05B5D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Лист1!$B$71:$L$71</c:f>
              <c:numCache>
                <c:formatCode>General</c:formatCode>
                <c:ptCount val="11"/>
                <c:pt idx="0">
                  <c:v>106.70073714997896</c:v>
                </c:pt>
                <c:pt idx="1">
                  <c:v>117.94877518381769</c:v>
                </c:pt>
                <c:pt idx="2">
                  <c:v>131.79988112402194</c:v>
                </c:pt>
                <c:pt idx="3">
                  <c:v>149.24934428960759</c:v>
                </c:pt>
                <c:pt idx="4">
                  <c:v>171.84984723008486</c:v>
                </c:pt>
                <c:pt idx="5">
                  <c:v>202.13006749875979</c:v>
                </c:pt>
                <c:pt idx="6">
                  <c:v>244.37301003226781</c:v>
                </c:pt>
                <c:pt idx="7">
                  <c:v>305.81609270015736</c:v>
                </c:pt>
                <c:pt idx="8">
                  <c:v>395.19910940813423</c:v>
                </c:pt>
                <c:pt idx="9">
                  <c:v>471.43387645116275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13-49DE-AF45-72A866B05B5D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Лист1!$B$77:$L$77</c:f>
              <c:numCache>
                <c:formatCode>General</c:formatCode>
                <c:ptCount val="11"/>
                <c:pt idx="0">
                  <c:v>105.9560082960102</c:v>
                </c:pt>
                <c:pt idx="1">
                  <c:v>116.93135929995955</c:v>
                </c:pt>
                <c:pt idx="2">
                  <c:v>130.38075838032282</c:v>
                </c:pt>
                <c:pt idx="3">
                  <c:v>147.21241657049967</c:v>
                </c:pt>
                <c:pt idx="4">
                  <c:v>168.80960640039419</c:v>
                </c:pt>
                <c:pt idx="5">
                  <c:v>197.34188790859136</c:v>
                </c:pt>
                <c:pt idx="6">
                  <c:v>236.24531857980645</c:v>
                </c:pt>
                <c:pt idx="7">
                  <c:v>290.4882565920322</c:v>
                </c:pt>
                <c:pt idx="8">
                  <c:v>362.03015230537079</c:v>
                </c:pt>
                <c:pt idx="9">
                  <c:v>396.44184699793158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13-49DE-AF45-72A866B05B5D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Лист1!$B$83:$L$83</c:f>
              <c:numCache>
                <c:formatCode>General</c:formatCode>
                <c:ptCount val="11"/>
                <c:pt idx="0">
                  <c:v>91.909641175772421</c:v>
                </c:pt>
                <c:pt idx="1">
                  <c:v>101.22350791003913</c:v>
                </c:pt>
                <c:pt idx="2">
                  <c:v>112.56810195734374</c:v>
                </c:pt>
                <c:pt idx="3">
                  <c:v>126.65024038967002</c:v>
                </c:pt>
                <c:pt idx="4">
                  <c:v>144.51264167682439</c:v>
                </c:pt>
                <c:pt idx="5">
                  <c:v>167.70818544729158</c:v>
                </c:pt>
                <c:pt idx="6">
                  <c:v>198.46368333287768</c:v>
                </c:pt>
                <c:pt idx="7">
                  <c:v>239.19154794298331</c:v>
                </c:pt>
                <c:pt idx="8">
                  <c:v>286.69824779061014</c:v>
                </c:pt>
                <c:pt idx="9">
                  <c:v>289.35182302110604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13-49DE-AF45-72A866B05B5D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Лист1!$B$89:$L$89</c:f>
              <c:numCache>
                <c:formatCode>General</c:formatCode>
                <c:ptCount val="11"/>
                <c:pt idx="0">
                  <c:v>56.0895846045117</c:v>
                </c:pt>
                <c:pt idx="1">
                  <c:v>61.653940466991713</c:v>
                </c:pt>
                <c:pt idx="2">
                  <c:v>68.392352234601915</c:v>
                </c:pt>
                <c:pt idx="3">
                  <c:v>76.691792219117474</c:v>
                </c:pt>
                <c:pt idx="4">
                  <c:v>87.104286914545369</c:v>
                </c:pt>
                <c:pt idx="5">
                  <c:v>100.4062844032732</c:v>
                </c:pt>
                <c:pt idx="6">
                  <c:v>117.58262144756483</c:v>
                </c:pt>
                <c:pt idx="7">
                  <c:v>139.23823710509456</c:v>
                </c:pt>
                <c:pt idx="8">
                  <c:v>161.56134153638035</c:v>
                </c:pt>
                <c:pt idx="9">
                  <c:v>153.40216997991951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13-49DE-AF45-72A866B0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>
            <c:manualLayout>
              <c:xMode val="edge"/>
              <c:yMode val="edge"/>
              <c:x val="0.89938729579469956"/>
              <c:y val="0.88616183713572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826519427E-2"/>
          <c:h val="0.26944964673142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6-47EC-91BD-E77CFFE33677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Лист1!$B$72:$L$72</c:f>
              <c:numCache>
                <c:formatCode>General</c:formatCode>
                <c:ptCount val="11"/>
                <c:pt idx="0">
                  <c:v>164.54168110323141</c:v>
                </c:pt>
                <c:pt idx="1">
                  <c:v>164.11950281917638</c:v>
                </c:pt>
                <c:pt idx="2">
                  <c:v>163.56663643984953</c:v>
                </c:pt>
                <c:pt idx="3">
                  <c:v>162.81614065088598</c:v>
                </c:pt>
                <c:pt idx="4">
                  <c:v>161.74930401086235</c:v>
                </c:pt>
                <c:pt idx="5">
                  <c:v>160.13736678316744</c:v>
                </c:pt>
                <c:pt idx="6">
                  <c:v>157.48849580573753</c:v>
                </c:pt>
                <c:pt idx="7">
                  <c:v>152.5748723168692</c:v>
                </c:pt>
                <c:pt idx="8">
                  <c:v>141.61693692815774</c:v>
                </c:pt>
                <c:pt idx="9">
                  <c:v>109.37110848004951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6-47EC-91BD-E77CFFE33677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Лист1!$B$78:$L$78</c:f>
              <c:numCache>
                <c:formatCode>General</c:formatCode>
                <c:ptCount val="11"/>
                <c:pt idx="0">
                  <c:v>141.9991178055123</c:v>
                </c:pt>
                <c:pt idx="1">
                  <c:v>141.51732336011466</c:v>
                </c:pt>
                <c:pt idx="2">
                  <c:v>140.88819230292552</c:v>
                </c:pt>
                <c:pt idx="3">
                  <c:v>140.03741742876682</c:v>
                </c:pt>
                <c:pt idx="4">
                  <c:v>138.83438977916856</c:v>
                </c:pt>
                <c:pt idx="5">
                  <c:v>137.03057920538367</c:v>
                </c:pt>
                <c:pt idx="6">
                  <c:v>134.10175244289979</c:v>
                </c:pt>
                <c:pt idx="7">
                  <c:v>128.779806837378</c:v>
                </c:pt>
                <c:pt idx="8">
                  <c:v>117.38435589530631</c:v>
                </c:pt>
                <c:pt idx="9">
                  <c:v>86.858554456447578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6-47EC-91BD-E77CFFE33677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Лист1!$B$84:$L$84</c:f>
              <c:numCache>
                <c:formatCode>General</c:formatCode>
                <c:ptCount val="11"/>
                <c:pt idx="0">
                  <c:v>107.98358896861338</c:v>
                </c:pt>
                <c:pt idx="1">
                  <c:v>107.50760054949569</c:v>
                </c:pt>
                <c:pt idx="2">
                  <c:v>106.88823051628711</c:v>
                </c:pt>
                <c:pt idx="3">
                  <c:v>106.05453683312503</c:v>
                </c:pt>
                <c:pt idx="4">
                  <c:v>104.88316095197678</c:v>
                </c:pt>
                <c:pt idx="5">
                  <c:v>103.14290393630601</c:v>
                </c:pt>
                <c:pt idx="6">
                  <c:v>100.35701648726928</c:v>
                </c:pt>
                <c:pt idx="7">
                  <c:v>95.413705929936796</c:v>
                </c:pt>
                <c:pt idx="8">
                  <c:v>85.291301109489609</c:v>
                </c:pt>
                <c:pt idx="9">
                  <c:v>60.58851857385887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6-47EC-91BD-E77CFFE33677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Лист1!$B$90:$L$90</c:f>
              <c:numCache>
                <c:formatCode>General</c:formatCode>
                <c:ptCount val="11"/>
                <c:pt idx="0">
                  <c:v>59.649023235022526</c:v>
                </c:pt>
                <c:pt idx="1">
                  <c:v>59.328572461313662</c:v>
                </c:pt>
                <c:pt idx="2">
                  <c:v>58.912979622031159</c:v>
                </c:pt>
                <c:pt idx="3">
                  <c:v>58.356023171185711</c:v>
                </c:pt>
                <c:pt idx="4">
                  <c:v>57.578137782013357</c:v>
                </c:pt>
                <c:pt idx="5">
                  <c:v>56.432290082024821</c:v>
                </c:pt>
                <c:pt idx="6">
                  <c:v>54.621520999749627</c:v>
                </c:pt>
                <c:pt idx="7">
                  <c:v>51.475682079163683</c:v>
                </c:pt>
                <c:pt idx="8">
                  <c:v>45.273695728826922</c:v>
                </c:pt>
                <c:pt idx="9">
                  <c:v>31.194496203785281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F6-47EC-91BD-E77CFFE3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0.90648547266257551"/>
              <c:y val="0.89121009269511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079533326387E-2"/>
          <c:h val="0.26944964673142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5"/>
          <c:order val="0"/>
          <c:tx>
            <c:v>M(ест), Н*м</c:v>
          </c:tx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19-44BF-9EFF-38F5BEA55D5A}"/>
            </c:ext>
          </c:extLst>
        </c:ser>
        <c:ser>
          <c:idx val="6"/>
          <c:order val="1"/>
          <c:tx>
            <c:v>M(40Гц), Н*м</c:v>
          </c:tx>
          <c:xVal>
            <c:numRef>
              <c:f>Лист1!$B$106:$L$106</c:f>
              <c:numCache>
                <c:formatCode>General</c:formatCode>
                <c:ptCount val="11"/>
                <c:pt idx="0">
                  <c:v>5334.1114931514558</c:v>
                </c:pt>
                <c:pt idx="1">
                  <c:v>5896.4158460011458</c:v>
                </c:pt>
                <c:pt idx="2">
                  <c:v>6588.8510190089119</c:v>
                </c:pt>
                <c:pt idx="3">
                  <c:v>7461.1728464583657</c:v>
                </c:pt>
                <c:pt idx="4">
                  <c:v>8591.0019901535252</c:v>
                </c:pt>
                <c:pt idx="5">
                  <c:v>10104.750397751368</c:v>
                </c:pt>
                <c:pt idx="6">
                  <c:v>12216.531171634859</c:v>
                </c:pt>
                <c:pt idx="7">
                  <c:v>15288.152438625415</c:v>
                </c:pt>
                <c:pt idx="8">
                  <c:v>19756.528097965103</c:v>
                </c:pt>
                <c:pt idx="9">
                  <c:v>23567.605302524251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B19-44BF-9EFF-38F5BEA55D5A}"/>
            </c:ext>
          </c:extLst>
        </c:ser>
        <c:ser>
          <c:idx val="7"/>
          <c:order val="2"/>
          <c:tx>
            <c:v>M(30Гц), Н*м</c:v>
          </c:tx>
          <c:xVal>
            <c:numRef>
              <c:f>Лист1!$B$112:$L$112</c:f>
              <c:numCache>
                <c:formatCode>General</c:formatCode>
                <c:ptCount val="11"/>
                <c:pt idx="0">
                  <c:v>5296.8815091293891</c:v>
                </c:pt>
                <c:pt idx="1">
                  <c:v>5845.5538753685114</c:v>
                </c:pt>
                <c:pt idx="2">
                  <c:v>6517.907189195269</c:v>
                </c:pt>
                <c:pt idx="3">
                  <c:v>7359.344125800696</c:v>
                </c:pt>
                <c:pt idx="4">
                  <c:v>8439.0163152204004</c:v>
                </c:pt>
                <c:pt idx="5">
                  <c:v>9865.3829438293687</c:v>
                </c:pt>
                <c:pt idx="6">
                  <c:v>11810.217086583838</c:v>
                </c:pt>
                <c:pt idx="7">
                  <c:v>14521.893564194494</c:v>
                </c:pt>
                <c:pt idx="8">
                  <c:v>18098.36790129271</c:v>
                </c:pt>
                <c:pt idx="9">
                  <c:v>19818.654199787543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B19-44BF-9EFF-38F5BEA55D5A}"/>
            </c:ext>
          </c:extLst>
        </c:ser>
        <c:ser>
          <c:idx val="8"/>
          <c:order val="3"/>
          <c:tx>
            <c:v>M(20Гц), Н*м</c:v>
          </c:tx>
          <c:xVal>
            <c:numRef>
              <c:f>Лист1!$B$118:$L$118</c:f>
              <c:numCache>
                <c:formatCode>General</c:formatCode>
                <c:ptCount val="11"/>
                <c:pt idx="0">
                  <c:v>4594.6849705265658</c:v>
                </c:pt>
                <c:pt idx="1">
                  <c:v>5060.2975325382131</c:v>
                </c:pt>
                <c:pt idx="2">
                  <c:v>5627.4288486771757</c:v>
                </c:pt>
                <c:pt idx="3">
                  <c:v>6331.413642656983</c:v>
                </c:pt>
                <c:pt idx="4">
                  <c:v>7224.3787949704792</c:v>
                </c:pt>
                <c:pt idx="5">
                  <c:v>8383.954819661245</c:v>
                </c:pt>
                <c:pt idx="6">
                  <c:v>9921.4629862496931</c:v>
                </c:pt>
                <c:pt idx="7">
                  <c:v>11957.503003507658</c:v>
                </c:pt>
                <c:pt idx="8">
                  <c:v>14332.425993053028</c:v>
                </c:pt>
                <c:pt idx="9">
                  <c:v>14465.081741391812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B19-44BF-9EFF-38F5BEA55D5A}"/>
            </c:ext>
          </c:extLst>
        </c:ser>
        <c:ser>
          <c:idx val="9"/>
          <c:order val="4"/>
          <c:tx>
            <c:v>M(10Гц), Н*м</c:v>
          </c:tx>
          <c:xVal>
            <c:numRef>
              <c:f>Лист1!$B$124:$L$124</c:f>
              <c:numCache>
                <c:formatCode>General</c:formatCode>
                <c:ptCount val="11"/>
                <c:pt idx="0">
                  <c:v>2803.9927921442272</c:v>
                </c:pt>
                <c:pt idx="1">
                  <c:v>3082.1623282770447</c:v>
                </c:pt>
                <c:pt idx="2">
                  <c:v>3419.0244776422765</c:v>
                </c:pt>
                <c:pt idx="3">
                  <c:v>3833.9244998033132</c:v>
                </c:pt>
                <c:pt idx="4">
                  <c:v>4354.4589319993274</c:v>
                </c:pt>
                <c:pt idx="5">
                  <c:v>5019.4434445876641</c:v>
                </c:pt>
                <c:pt idx="6">
                  <c:v>5878.111334664346</c:v>
                </c:pt>
                <c:pt idx="7">
                  <c:v>6960.7043087666125</c:v>
                </c:pt>
                <c:pt idx="8">
                  <c:v>8076.6659327465004</c:v>
                </c:pt>
                <c:pt idx="9">
                  <c:v>7668.7781155073599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B19-44BF-9EFF-38F5BEA55D5A}"/>
            </c:ext>
          </c:extLst>
        </c:ser>
        <c:ser>
          <c:idx val="0"/>
          <c:order val="5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19-44BF-9EFF-38F5BEA55D5A}"/>
            </c:ext>
          </c:extLst>
        </c:ser>
        <c:ser>
          <c:idx val="2"/>
          <c:order val="6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Лист1!$B$106:$L$106</c:f>
              <c:numCache>
                <c:formatCode>General</c:formatCode>
                <c:ptCount val="11"/>
                <c:pt idx="0">
                  <c:v>5334.1114931514558</c:v>
                </c:pt>
                <c:pt idx="1">
                  <c:v>5896.4158460011458</c:v>
                </c:pt>
                <c:pt idx="2">
                  <c:v>6588.8510190089119</c:v>
                </c:pt>
                <c:pt idx="3">
                  <c:v>7461.1728464583657</c:v>
                </c:pt>
                <c:pt idx="4">
                  <c:v>8591.0019901535252</c:v>
                </c:pt>
                <c:pt idx="5">
                  <c:v>10104.750397751368</c:v>
                </c:pt>
                <c:pt idx="6">
                  <c:v>12216.531171634859</c:v>
                </c:pt>
                <c:pt idx="7">
                  <c:v>15288.152438625415</c:v>
                </c:pt>
                <c:pt idx="8">
                  <c:v>19756.528097965103</c:v>
                </c:pt>
                <c:pt idx="9">
                  <c:v>23567.605302524251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19-44BF-9EFF-38F5BEA55D5A}"/>
            </c:ext>
          </c:extLst>
        </c:ser>
        <c:ser>
          <c:idx val="3"/>
          <c:order val="7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Лист1!$B$112:$L$112</c:f>
              <c:numCache>
                <c:formatCode>General</c:formatCode>
                <c:ptCount val="11"/>
                <c:pt idx="0">
                  <c:v>5296.8815091293891</c:v>
                </c:pt>
                <c:pt idx="1">
                  <c:v>5845.5538753685114</c:v>
                </c:pt>
                <c:pt idx="2">
                  <c:v>6517.907189195269</c:v>
                </c:pt>
                <c:pt idx="3">
                  <c:v>7359.344125800696</c:v>
                </c:pt>
                <c:pt idx="4">
                  <c:v>8439.0163152204004</c:v>
                </c:pt>
                <c:pt idx="5">
                  <c:v>9865.3829438293687</c:v>
                </c:pt>
                <c:pt idx="6">
                  <c:v>11810.217086583838</c:v>
                </c:pt>
                <c:pt idx="7">
                  <c:v>14521.893564194494</c:v>
                </c:pt>
                <c:pt idx="8">
                  <c:v>18098.36790129271</c:v>
                </c:pt>
                <c:pt idx="9">
                  <c:v>19818.654199787543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19-44BF-9EFF-38F5BEA55D5A}"/>
            </c:ext>
          </c:extLst>
        </c:ser>
        <c:ser>
          <c:idx val="1"/>
          <c:order val="8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Лист1!$B$118:$L$118</c:f>
              <c:numCache>
                <c:formatCode>General</c:formatCode>
                <c:ptCount val="11"/>
                <c:pt idx="0">
                  <c:v>4594.6849705265658</c:v>
                </c:pt>
                <c:pt idx="1">
                  <c:v>5060.2975325382131</c:v>
                </c:pt>
                <c:pt idx="2">
                  <c:v>5627.4288486771757</c:v>
                </c:pt>
                <c:pt idx="3">
                  <c:v>6331.413642656983</c:v>
                </c:pt>
                <c:pt idx="4">
                  <c:v>7224.3787949704792</c:v>
                </c:pt>
                <c:pt idx="5">
                  <c:v>8383.954819661245</c:v>
                </c:pt>
                <c:pt idx="6">
                  <c:v>9921.4629862496931</c:v>
                </c:pt>
                <c:pt idx="7">
                  <c:v>11957.503003507658</c:v>
                </c:pt>
                <c:pt idx="8">
                  <c:v>14332.425993053028</c:v>
                </c:pt>
                <c:pt idx="9">
                  <c:v>14465.081741391812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B19-44BF-9EFF-38F5BEA55D5A}"/>
            </c:ext>
          </c:extLst>
        </c:ser>
        <c:ser>
          <c:idx val="4"/>
          <c:order val="9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Лист1!$B$124:$L$124</c:f>
              <c:numCache>
                <c:formatCode>General</c:formatCode>
                <c:ptCount val="11"/>
                <c:pt idx="0">
                  <c:v>2803.9927921442272</c:v>
                </c:pt>
                <c:pt idx="1">
                  <c:v>3082.1623282770447</c:v>
                </c:pt>
                <c:pt idx="2">
                  <c:v>3419.0244776422765</c:v>
                </c:pt>
                <c:pt idx="3">
                  <c:v>3833.9244998033132</c:v>
                </c:pt>
                <c:pt idx="4">
                  <c:v>4354.4589319993274</c:v>
                </c:pt>
                <c:pt idx="5">
                  <c:v>5019.4434445876641</c:v>
                </c:pt>
                <c:pt idx="6">
                  <c:v>5878.111334664346</c:v>
                </c:pt>
                <c:pt idx="7">
                  <c:v>6960.7043087666125</c:v>
                </c:pt>
                <c:pt idx="8">
                  <c:v>8076.6659327465004</c:v>
                </c:pt>
                <c:pt idx="9">
                  <c:v>7668.7781155073599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B19-44BF-9EFF-38F5BEA5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>
            <c:manualLayout>
              <c:xMode val="edge"/>
              <c:yMode val="edge"/>
              <c:x val="0.90070665952478801"/>
              <c:y val="0.88251435851208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2651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826519427E-2"/>
          <c:h val="0.521478003103742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9-44FF-8C1E-3A72F1D781CB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Лист1!$B$107:$L$107</c:f>
              <c:numCache>
                <c:formatCode>General</c:formatCode>
                <c:ptCount val="11"/>
                <c:pt idx="0">
                  <c:v>1163.3844770730748</c:v>
                </c:pt>
                <c:pt idx="1">
                  <c:v>1160.3994847055858</c:v>
                </c:pt>
                <c:pt idx="2">
                  <c:v>1156.4904681008454</c:v>
                </c:pt>
                <c:pt idx="3">
                  <c:v>1151.1841217384233</c:v>
                </c:pt>
                <c:pt idx="4">
                  <c:v>1143.6411017677108</c:v>
                </c:pt>
                <c:pt idx="5">
                  <c:v>1132.2439728691681</c:v>
                </c:pt>
                <c:pt idx="6">
                  <c:v>1113.5152510264761</c:v>
                </c:pt>
                <c:pt idx="7">
                  <c:v>1078.7736994949548</c:v>
                </c:pt>
                <c:pt idx="8">
                  <c:v>1001.2961154170426</c:v>
                </c:pt>
                <c:pt idx="9">
                  <c:v>773.30345109416828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9-44FF-8C1E-3A72F1D781CB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Лист1!$B$113:$L$113</c:f>
              <c:numCache>
                <c:formatCode>General</c:formatCode>
                <c:ptCount val="11"/>
                <c:pt idx="0">
                  <c:v>1003.9983079385198</c:v>
                </c:pt>
                <c:pt idx="1">
                  <c:v>1000.5918022120834</c:v>
                </c:pt>
                <c:pt idx="2">
                  <c:v>996.14355966909375</c:v>
                </c:pt>
                <c:pt idx="3">
                  <c:v>990.12819459293974</c:v>
                </c:pt>
                <c:pt idx="4">
                  <c:v>981.62224227953038</c:v>
                </c:pt>
                <c:pt idx="5">
                  <c:v>968.86848160897409</c:v>
                </c:pt>
                <c:pt idx="6">
                  <c:v>948.16034511332111</c:v>
                </c:pt>
                <c:pt idx="7">
                  <c:v>910.53177061609756</c:v>
                </c:pt>
                <c:pt idx="8">
                  <c:v>829.9607527052226</c:v>
                </c:pt>
                <c:pt idx="9">
                  <c:v>614.12946116820092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9-44FF-8C1E-3A72F1D781CB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Лист1!$B$119:$L$119</c:f>
              <c:numCache>
                <c:formatCode>General</c:formatCode>
                <c:ptCount val="11"/>
                <c:pt idx="0">
                  <c:v>763.49305745762786</c:v>
                </c:pt>
                <c:pt idx="1">
                  <c:v>760.12760297609339</c:v>
                </c:pt>
                <c:pt idx="2">
                  <c:v>755.74837530947548</c:v>
                </c:pt>
                <c:pt idx="3">
                  <c:v>749.85378201784545</c:v>
                </c:pt>
                <c:pt idx="4">
                  <c:v>741.57162209454498</c:v>
                </c:pt>
                <c:pt idx="5">
                  <c:v>729.26721396783648</c:v>
                </c:pt>
                <c:pt idx="6">
                  <c:v>709.56972339066988</c:v>
                </c:pt>
                <c:pt idx="7">
                  <c:v>674.61827079098498</c:v>
                </c:pt>
                <c:pt idx="8">
                  <c:v>603.04826761732318</c:v>
                </c:pt>
                <c:pt idx="9">
                  <c:v>428.38836655289765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9-44FF-8C1E-3A72F1D781CB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Лист1!$B$125:$L$125</c:f>
              <c:numCache>
                <c:formatCode>General</c:formatCode>
                <c:ptCount val="11"/>
                <c:pt idx="0">
                  <c:v>421.74570746398882</c:v>
                </c:pt>
                <c:pt idx="1">
                  <c:v>419.47997483442458</c:v>
                </c:pt>
                <c:pt idx="2">
                  <c:v>416.54154455486122</c:v>
                </c:pt>
                <c:pt idx="3">
                  <c:v>412.60360928536079</c:v>
                </c:pt>
                <c:pt idx="4">
                  <c:v>407.10360599964451</c:v>
                </c:pt>
                <c:pt idx="5">
                  <c:v>399.0019419208619</c:v>
                </c:pt>
                <c:pt idx="6">
                  <c:v>386.19898143232069</c:v>
                </c:pt>
                <c:pt idx="7">
                  <c:v>363.95647033699595</c:v>
                </c:pt>
                <c:pt idx="8">
                  <c:v>320.1056077554104</c:v>
                </c:pt>
                <c:pt idx="9">
                  <c:v>220.55926747721821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79-44FF-8C1E-3A72F1D7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0.90384674520239872"/>
              <c:y val="0.89121009269511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079533326387E-2"/>
          <c:h val="0.26944964673142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3-4482-8CC2-8AC529D66BD1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Лист1!$B$140:$K$140</c:f>
              <c:numCache>
                <c:formatCode>General</c:formatCode>
                <c:ptCount val="10"/>
                <c:pt idx="0">
                  <c:v>4.2680294859991592E-2</c:v>
                </c:pt>
                <c:pt idx="1">
                  <c:v>4.7179510073527074E-2</c:v>
                </c:pt>
                <c:pt idx="2">
                  <c:v>5.2719952449608774E-2</c:v>
                </c:pt>
                <c:pt idx="3">
                  <c:v>5.9699737715843033E-2</c:v>
                </c:pt>
                <c:pt idx="4">
                  <c:v>6.8739938892033933E-2</c:v>
                </c:pt>
                <c:pt idx="5">
                  <c:v>8.0852026999503918E-2</c:v>
                </c:pt>
                <c:pt idx="6">
                  <c:v>9.7749204012907126E-2</c:v>
                </c:pt>
                <c:pt idx="7">
                  <c:v>0.12232643708006292</c:v>
                </c:pt>
                <c:pt idx="8">
                  <c:v>0.15807964376325367</c:v>
                </c:pt>
                <c:pt idx="9">
                  <c:v>0.1885735505804651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3-4482-8CC2-8AC529D66BD1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Лист1!$B$146:$K$146</c:f>
              <c:numCache>
                <c:formatCode>General</c:formatCode>
                <c:ptCount val="10"/>
                <c:pt idx="0">
                  <c:v>4.238240331840408E-2</c:v>
                </c:pt>
                <c:pt idx="1">
                  <c:v>4.6772543719983829E-2</c:v>
                </c:pt>
                <c:pt idx="2">
                  <c:v>5.2152303352129135E-2</c:v>
                </c:pt>
                <c:pt idx="3">
                  <c:v>5.8884966628199864E-2</c:v>
                </c:pt>
                <c:pt idx="4">
                  <c:v>6.7523842560157685E-2</c:v>
                </c:pt>
                <c:pt idx="5">
                  <c:v>7.8936755163436553E-2</c:v>
                </c:pt>
                <c:pt idx="6">
                  <c:v>9.449812743192261E-2</c:v>
                </c:pt>
                <c:pt idx="7">
                  <c:v>0.11619530263681289</c:v>
                </c:pt>
                <c:pt idx="8">
                  <c:v>0.14481206092214835</c:v>
                </c:pt>
                <c:pt idx="9">
                  <c:v>0.15857673879917267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83-4482-8CC2-8AC529D66BD1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Лист1!$B$152:$K$152</c:f>
              <c:numCache>
                <c:formatCode>General</c:formatCode>
                <c:ptCount val="10"/>
                <c:pt idx="0">
                  <c:v>3.676385647030897E-2</c:v>
                </c:pt>
                <c:pt idx="1">
                  <c:v>4.0489403164015648E-2</c:v>
                </c:pt>
                <c:pt idx="2">
                  <c:v>4.5027240782937496E-2</c:v>
                </c:pt>
                <c:pt idx="3">
                  <c:v>5.0660096155868008E-2</c:v>
                </c:pt>
                <c:pt idx="4">
                  <c:v>5.7805056670729743E-2</c:v>
                </c:pt>
                <c:pt idx="5">
                  <c:v>6.708327417891663E-2</c:v>
                </c:pt>
                <c:pt idx="6">
                  <c:v>7.9385473333151074E-2</c:v>
                </c:pt>
                <c:pt idx="7">
                  <c:v>9.5676619177193306E-2</c:v>
                </c:pt>
                <c:pt idx="8">
                  <c:v>0.11467929911624405</c:v>
                </c:pt>
                <c:pt idx="9">
                  <c:v>0.11574072920844242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83-4482-8CC2-8AC529D66BD1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Лист1!$B$158:$K$158</c:f>
              <c:numCache>
                <c:formatCode>General</c:formatCode>
                <c:ptCount val="10"/>
                <c:pt idx="0">
                  <c:v>2.243583384180468E-2</c:v>
                </c:pt>
                <c:pt idx="1">
                  <c:v>2.4661576186796687E-2</c:v>
                </c:pt>
                <c:pt idx="2">
                  <c:v>2.7356940893840762E-2</c:v>
                </c:pt>
                <c:pt idx="3">
                  <c:v>3.0676716887646987E-2</c:v>
                </c:pt>
                <c:pt idx="4">
                  <c:v>3.4841714765818141E-2</c:v>
                </c:pt>
                <c:pt idx="5">
                  <c:v>4.0162513761309283E-2</c:v>
                </c:pt>
                <c:pt idx="6">
                  <c:v>4.7033048579025932E-2</c:v>
                </c:pt>
                <c:pt idx="7">
                  <c:v>5.5695294842037821E-2</c:v>
                </c:pt>
                <c:pt idx="8">
                  <c:v>6.4624536614552142E-2</c:v>
                </c:pt>
                <c:pt idx="9">
                  <c:v>6.1360867991967799E-2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83-4482-8CC2-8AC529D6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>
            <c:manualLayout>
              <c:xMode val="edge"/>
              <c:yMode val="edge"/>
              <c:x val="0.898067932064611"/>
              <c:y val="0.8906345682792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>
            <c:manualLayout>
              <c:xMode val="edge"/>
              <c:yMode val="edge"/>
              <c:x val="1.0964535918482851E-2"/>
              <c:y val="0.40569914049514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826519427E-2"/>
          <c:h val="0.26473280677855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1-408B-A630-8858E2D4A1EE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Лист1!$B$141:$K$141</c:f>
              <c:numCache>
                <c:formatCode>General</c:formatCode>
                <c:ptCount val="10"/>
                <c:pt idx="0">
                  <c:v>3.2908336220646279</c:v>
                </c:pt>
                <c:pt idx="1">
                  <c:v>3.2823900563835275</c:v>
                </c:pt>
                <c:pt idx="2">
                  <c:v>3.2713327287969909</c:v>
                </c:pt>
                <c:pt idx="3">
                  <c:v>3.2563228130177193</c:v>
                </c:pt>
                <c:pt idx="4">
                  <c:v>3.2349860802172468</c:v>
                </c:pt>
                <c:pt idx="5">
                  <c:v>3.2027473356633487</c:v>
                </c:pt>
                <c:pt idx="6">
                  <c:v>3.1497699161147508</c:v>
                </c:pt>
                <c:pt idx="7">
                  <c:v>3.0514974463373843</c:v>
                </c:pt>
                <c:pt idx="8">
                  <c:v>2.8323387385631547</c:v>
                </c:pt>
                <c:pt idx="9">
                  <c:v>2.1874221696009903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B1-408B-A630-8858E2D4A1EE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Лист1!$B$147:$K$147</c:f>
              <c:numCache>
                <c:formatCode>General</c:formatCode>
                <c:ptCount val="10"/>
                <c:pt idx="0">
                  <c:v>2.8399823561102457</c:v>
                </c:pt>
                <c:pt idx="1">
                  <c:v>2.8303464672022933</c:v>
                </c:pt>
                <c:pt idx="2">
                  <c:v>2.8177638460585102</c:v>
                </c:pt>
                <c:pt idx="3">
                  <c:v>2.8007483485753362</c:v>
                </c:pt>
                <c:pt idx="4">
                  <c:v>2.7766877955833711</c:v>
                </c:pt>
                <c:pt idx="5">
                  <c:v>2.7406115841076737</c:v>
                </c:pt>
                <c:pt idx="6">
                  <c:v>2.6820350488579963</c:v>
                </c:pt>
                <c:pt idx="7">
                  <c:v>2.5755961367475599</c:v>
                </c:pt>
                <c:pt idx="8">
                  <c:v>2.3476871179061263</c:v>
                </c:pt>
                <c:pt idx="9">
                  <c:v>1.7371710891289516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B1-408B-A630-8858E2D4A1EE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Лист1!$B$153:$L$153</c:f>
              <c:numCache>
                <c:formatCode>General</c:formatCode>
                <c:ptCount val="11"/>
                <c:pt idx="0">
                  <c:v>2.1596717793722675</c:v>
                </c:pt>
                <c:pt idx="1">
                  <c:v>2.1501520109899137</c:v>
                </c:pt>
                <c:pt idx="2">
                  <c:v>2.1377646103257422</c:v>
                </c:pt>
                <c:pt idx="3">
                  <c:v>2.1210907366625005</c:v>
                </c:pt>
                <c:pt idx="4">
                  <c:v>2.0976632190395357</c:v>
                </c:pt>
                <c:pt idx="5">
                  <c:v>2.0628580787261206</c:v>
                </c:pt>
                <c:pt idx="6">
                  <c:v>2.0071403297453854</c:v>
                </c:pt>
                <c:pt idx="7">
                  <c:v>1.908274118598736</c:v>
                </c:pt>
                <c:pt idx="8">
                  <c:v>1.7058260221897921</c:v>
                </c:pt>
                <c:pt idx="9">
                  <c:v>1.2117703714771775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B1-408B-A630-8858E2D4A1EE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Лист1!$B$159:$K$159</c:f>
              <c:numCache>
                <c:formatCode>General</c:formatCode>
                <c:ptCount val="10"/>
                <c:pt idx="0">
                  <c:v>1.1929804647004505</c:v>
                </c:pt>
                <c:pt idx="1">
                  <c:v>1.1865714492262733</c:v>
                </c:pt>
                <c:pt idx="2">
                  <c:v>1.1782595924406232</c:v>
                </c:pt>
                <c:pt idx="3">
                  <c:v>1.1671204634237142</c:v>
                </c:pt>
                <c:pt idx="4">
                  <c:v>1.1515627556402672</c:v>
                </c:pt>
                <c:pt idx="5">
                  <c:v>1.1286458016404963</c:v>
                </c:pt>
                <c:pt idx="6">
                  <c:v>1.0924304199949926</c:v>
                </c:pt>
                <c:pt idx="7">
                  <c:v>1.0295136415832737</c:v>
                </c:pt>
                <c:pt idx="8">
                  <c:v>0.90547391457653847</c:v>
                </c:pt>
                <c:pt idx="9">
                  <c:v>0.62388992407570565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B1-408B-A630-8858E2D4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0.90615563173005365"/>
              <c:y val="0.8963218390804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079533326387E-2"/>
          <c:h val="0.24540139379129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smooth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1-4D12-B3FD-2B7F568517E9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Лист1!$B$173:$L$173</c:f>
              <c:numCache>
                <c:formatCode>General</c:formatCode>
                <c:ptCount val="11"/>
                <c:pt idx="0">
                  <c:v>166.71990179684215</c:v>
                </c:pt>
                <c:pt idx="1">
                  <c:v>184.29496122471514</c:v>
                </c:pt>
                <c:pt idx="2">
                  <c:v>205.93731425628425</c:v>
                </c:pt>
                <c:pt idx="3">
                  <c:v>233.20210045251184</c:v>
                </c:pt>
                <c:pt idx="4">
                  <c:v>268.51538629700758</c:v>
                </c:pt>
                <c:pt idx="5">
                  <c:v>315.82823046681216</c:v>
                </c:pt>
                <c:pt idx="6">
                  <c:v>381.8328281754184</c:v>
                </c:pt>
                <c:pt idx="7">
                  <c:v>477.83764484399592</c:v>
                </c:pt>
                <c:pt idx="8">
                  <c:v>617.49860845020964</c:v>
                </c:pt>
                <c:pt idx="9">
                  <c:v>736.61543195494176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1-4D12-B3FD-2B7F568517E9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Лист1!$B$179:$L$179</c:f>
              <c:numCache>
                <c:formatCode>General</c:formatCode>
                <c:ptCount val="11"/>
                <c:pt idx="0">
                  <c:v>294.32224526669495</c:v>
                </c:pt>
                <c:pt idx="1">
                  <c:v>324.80933138877651</c:v>
                </c:pt>
                <c:pt idx="2">
                  <c:v>362.16877327867439</c:v>
                </c:pt>
                <c:pt idx="3">
                  <c:v>408.92337936249908</c:v>
                </c:pt>
                <c:pt idx="4">
                  <c:v>468.91557333442836</c:v>
                </c:pt>
                <c:pt idx="5">
                  <c:v>548.17191085719821</c:v>
                </c:pt>
                <c:pt idx="6">
                  <c:v>656.23699605501793</c:v>
                </c:pt>
                <c:pt idx="7">
                  <c:v>806.91182386675621</c:v>
                </c:pt>
                <c:pt idx="8">
                  <c:v>1005.6393119593632</c:v>
                </c:pt>
                <c:pt idx="9">
                  <c:v>1101.2273527720322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F1-4D12-B3FD-2B7F568517E9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Лист1!$B$185:$L$185</c:f>
              <c:numCache>
                <c:formatCode>General</c:formatCode>
                <c:ptCount val="11"/>
                <c:pt idx="0">
                  <c:v>574.43525734857758</c:v>
                </c:pt>
                <c:pt idx="1">
                  <c:v>632.64692443774459</c:v>
                </c:pt>
                <c:pt idx="2">
                  <c:v>703.55063723339833</c:v>
                </c:pt>
                <c:pt idx="3">
                  <c:v>791.5640024354376</c:v>
                </c:pt>
                <c:pt idx="4">
                  <c:v>903.20401048015231</c:v>
                </c:pt>
                <c:pt idx="5">
                  <c:v>1048.1761590455724</c:v>
                </c:pt>
                <c:pt idx="6">
                  <c:v>1240.3980208304854</c:v>
                </c:pt>
                <c:pt idx="7">
                  <c:v>1494.9471746436457</c:v>
                </c:pt>
                <c:pt idx="8">
                  <c:v>1791.8640486913132</c:v>
                </c:pt>
                <c:pt idx="9">
                  <c:v>1808.4488938819127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1-4D12-B3FD-2B7F568517E9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Лист1!$B$191:$L$191</c:f>
              <c:numCache>
                <c:formatCode>General</c:formatCode>
                <c:ptCount val="11"/>
                <c:pt idx="0">
                  <c:v>1402.2396151127925</c:v>
                </c:pt>
                <c:pt idx="1">
                  <c:v>1541.3485116747929</c:v>
                </c:pt>
                <c:pt idx="2">
                  <c:v>1709.8088058650476</c:v>
                </c:pt>
                <c:pt idx="3">
                  <c:v>1917.2948054779367</c:v>
                </c:pt>
                <c:pt idx="4">
                  <c:v>2177.6071728636343</c:v>
                </c:pt>
                <c:pt idx="5">
                  <c:v>2510.1571100818301</c:v>
                </c:pt>
                <c:pt idx="6">
                  <c:v>2939.5655361891204</c:v>
                </c:pt>
                <c:pt idx="7">
                  <c:v>3480.9559276273644</c:v>
                </c:pt>
                <c:pt idx="8">
                  <c:v>4039.0335384095083</c:v>
                </c:pt>
                <c:pt idx="9">
                  <c:v>3835.0542494979873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F1-4D12-B3FD-2B7F5685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>
            <c:manualLayout>
              <c:xMode val="edge"/>
              <c:yMode val="edge"/>
              <c:x val="0.89938729579469956"/>
              <c:y val="0.8931145100416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19956818719E-2"/>
          <c:h val="0.26473280677855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280144</xdr:colOff>
      <xdr:row>2</xdr:row>
      <xdr:rowOff>123264</xdr:rowOff>
    </xdr:from>
    <xdr:to>
      <xdr:col>30</xdr:col>
      <xdr:colOff>358586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388843</xdr:colOff>
      <xdr:row>31</xdr:row>
      <xdr:rowOff>22412</xdr:rowOff>
    </xdr:from>
    <xdr:to>
      <xdr:col>30</xdr:col>
      <xdr:colOff>593910</xdr:colOff>
      <xdr:row>51</xdr:row>
      <xdr:rowOff>168088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89648</xdr:colOff>
      <xdr:row>60</xdr:row>
      <xdr:rowOff>89647</xdr:rowOff>
    </xdr:from>
    <xdr:to>
      <xdr:col>32</xdr:col>
      <xdr:colOff>33618</xdr:colOff>
      <xdr:row>75</xdr:row>
      <xdr:rowOff>168088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168089</xdr:colOff>
      <xdr:row>75</xdr:row>
      <xdr:rowOff>302558</xdr:rowOff>
    </xdr:from>
    <xdr:to>
      <xdr:col>32</xdr:col>
      <xdr:colOff>112059</xdr:colOff>
      <xdr:row>91</xdr:row>
      <xdr:rowOff>190499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78441</xdr:colOff>
      <xdr:row>95</xdr:row>
      <xdr:rowOff>33617</xdr:rowOff>
    </xdr:from>
    <xdr:to>
      <xdr:col>32</xdr:col>
      <xdr:colOff>22411</xdr:colOff>
      <xdr:row>109</xdr:row>
      <xdr:rowOff>89646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100853</xdr:colOff>
      <xdr:row>109</xdr:row>
      <xdr:rowOff>168088</xdr:rowOff>
    </xdr:from>
    <xdr:to>
      <xdr:col>32</xdr:col>
      <xdr:colOff>44823</xdr:colOff>
      <xdr:row>124</xdr:row>
      <xdr:rowOff>56029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78441</xdr:colOff>
      <xdr:row>129</xdr:row>
      <xdr:rowOff>44824</xdr:rowOff>
    </xdr:from>
    <xdr:to>
      <xdr:col>32</xdr:col>
      <xdr:colOff>22411</xdr:colOff>
      <xdr:row>143</xdr:row>
      <xdr:rowOff>22412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145676</xdr:colOff>
      <xdr:row>143</xdr:row>
      <xdr:rowOff>145676</xdr:rowOff>
    </xdr:from>
    <xdr:to>
      <xdr:col>32</xdr:col>
      <xdr:colOff>89646</xdr:colOff>
      <xdr:row>159</xdr:row>
      <xdr:rowOff>145676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44823</xdr:colOff>
      <xdr:row>162</xdr:row>
      <xdr:rowOff>44823</xdr:rowOff>
    </xdr:from>
    <xdr:to>
      <xdr:col>31</xdr:col>
      <xdr:colOff>593911</xdr:colOff>
      <xdr:row>177</xdr:row>
      <xdr:rowOff>212911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78441</xdr:colOff>
      <xdr:row>178</xdr:row>
      <xdr:rowOff>44824</xdr:rowOff>
    </xdr:from>
    <xdr:to>
      <xdr:col>32</xdr:col>
      <xdr:colOff>22411</xdr:colOff>
      <xdr:row>197</xdr:row>
      <xdr:rowOff>44824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2"/>
  <sheetViews>
    <sheetView tabSelected="1" topLeftCell="A190" zoomScaleNormal="100" workbookViewId="0">
      <selection activeCell="E96" sqref="E96"/>
    </sheetView>
  </sheetViews>
  <sheetFormatPr defaultRowHeight="15" x14ac:dyDescent="0.25"/>
  <cols>
    <col min="1" max="1" width="9.140625" style="1"/>
    <col min="2" max="3" width="11.5703125" style="1" bestFit="1" customWidth="1"/>
    <col min="4" max="11" width="9.140625" style="1"/>
    <col min="12" max="13" width="11.5703125" style="1" bestFit="1" customWidth="1"/>
    <col min="14" max="14" width="9.140625" style="1"/>
    <col min="15" max="16" width="11.5703125" style="1" bestFit="1" customWidth="1"/>
    <col min="17" max="16384" width="9.140625" style="1"/>
  </cols>
  <sheetData>
    <row r="1" spans="1:1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19</v>
      </c>
      <c r="R1" s="2" t="s">
        <v>20</v>
      </c>
      <c r="S1" s="1" t="s">
        <v>21</v>
      </c>
    </row>
    <row r="2" spans="1:19" ht="45" x14ac:dyDescent="0.25">
      <c r="B2" s="1">
        <v>30</v>
      </c>
      <c r="C2" s="1">
        <v>970</v>
      </c>
      <c r="D2" s="1">
        <v>2.8</v>
      </c>
      <c r="E2" s="1" t="s">
        <v>13</v>
      </c>
      <c r="F2" s="1">
        <v>70.5</v>
      </c>
      <c r="G2" s="1">
        <v>42</v>
      </c>
      <c r="H2" s="1">
        <v>0.125</v>
      </c>
      <c r="I2" s="1">
        <v>0.23</v>
      </c>
      <c r="J2" s="1">
        <v>259</v>
      </c>
      <c r="K2" s="1">
        <v>72</v>
      </c>
      <c r="L2" s="1">
        <v>5.5E-2</v>
      </c>
      <c r="M2" s="1">
        <v>0.22500000000000001</v>
      </c>
      <c r="N2" s="1">
        <v>1.4</v>
      </c>
      <c r="O2" s="1">
        <v>0.11</v>
      </c>
      <c r="P2" s="1">
        <v>0.44</v>
      </c>
      <c r="Q2" s="1">
        <v>220</v>
      </c>
      <c r="R2" s="1">
        <v>104.7</v>
      </c>
      <c r="S2" s="1">
        <v>3</v>
      </c>
    </row>
    <row r="3" spans="1:19" x14ac:dyDescent="0.25">
      <c r="E3" s="1" t="s">
        <v>14</v>
      </c>
    </row>
    <row r="5" spans="1:19" x14ac:dyDescent="0.25">
      <c r="A5" s="1" t="s">
        <v>17</v>
      </c>
      <c r="B5" s="1">
        <v>1</v>
      </c>
      <c r="C5" s="1">
        <v>0.9</v>
      </c>
      <c r="D5" s="1">
        <v>0.8</v>
      </c>
      <c r="E5" s="1">
        <v>0.7</v>
      </c>
      <c r="F5" s="1">
        <v>0.6</v>
      </c>
      <c r="G5" s="1">
        <v>0.5</v>
      </c>
      <c r="H5" s="1">
        <v>0.4</v>
      </c>
      <c r="I5" s="1">
        <v>0.3</v>
      </c>
      <c r="J5" s="1">
        <v>0.2</v>
      </c>
      <c r="K5" s="1">
        <v>0.1</v>
      </c>
      <c r="L5" s="1">
        <v>0</v>
      </c>
      <c r="N5" s="1" t="s">
        <v>22</v>
      </c>
      <c r="O5" s="1">
        <f>(3*220^2*0.11*3)/(2*3.14*50*((0.125+0.11)^2+(0.23+0.44)^2))</f>
        <v>302.70017577912159</v>
      </c>
    </row>
    <row r="6" spans="1:19" ht="30" x14ac:dyDescent="0.25">
      <c r="A6" s="2" t="s">
        <v>26</v>
      </c>
      <c r="B6" s="1">
        <v>0</v>
      </c>
      <c r="C6" s="1">
        <v>10.5</v>
      </c>
      <c r="D6" s="1">
        <v>21</v>
      </c>
      <c r="E6" s="1">
        <v>31</v>
      </c>
      <c r="F6" s="1">
        <v>42</v>
      </c>
      <c r="G6" s="1">
        <v>52</v>
      </c>
      <c r="H6" s="1">
        <v>63</v>
      </c>
      <c r="I6" s="1">
        <v>73</v>
      </c>
      <c r="J6" s="1">
        <v>84</v>
      </c>
      <c r="K6" s="1">
        <v>94</v>
      </c>
      <c r="L6" s="1">
        <v>104.7</v>
      </c>
      <c r="N6" s="1" t="s">
        <v>23</v>
      </c>
      <c r="O6" s="1">
        <f>(3*220^2*3)/(4*3.14*50*(0.125+(0.125^2+(0.23+0.44)^2)^(1/2)))</f>
        <v>859.98557274326845</v>
      </c>
    </row>
    <row r="7" spans="1:19" ht="30" x14ac:dyDescent="0.25">
      <c r="A7" s="1" t="s">
        <v>37</v>
      </c>
      <c r="B7" s="1">
        <f>(3*220^2*(0.11/B5)*3)/(2*3.14*50*((0.125+(0.11/B5))^2+(0.23+0.44)^2))</f>
        <v>302.70017577912159</v>
      </c>
      <c r="C7" s="1">
        <f t="shared" ref="C7:K7" si="0">(3*220^2*(0.11/C5)*3)/(2*3.14*50*((0.125+(0.11/C5))^2+(0.23+0.44)^2))</f>
        <v>332.44682568165825</v>
      </c>
      <c r="D7" s="1">
        <f t="shared" si="0"/>
        <v>368.37795535166305</v>
      </c>
      <c r="E7" s="1">
        <f t="shared" si="0"/>
        <v>412.48114686414891</v>
      </c>
      <c r="F7" s="1">
        <f t="shared" si="0"/>
        <v>467.54686828196952</v>
      </c>
      <c r="G7" s="1">
        <f t="shared" si="0"/>
        <v>537.39041639177594</v>
      </c>
      <c r="H7" s="1">
        <f t="shared" si="0"/>
        <v>626.53443141176558</v>
      </c>
      <c r="I7" s="1">
        <f t="shared" si="0"/>
        <v>736.51292221574965</v>
      </c>
      <c r="J7" s="1">
        <f t="shared" si="0"/>
        <v>843.52962115281309</v>
      </c>
      <c r="K7" s="1">
        <f t="shared" si="0"/>
        <v>782.74823926161332</v>
      </c>
      <c r="L7" s="1">
        <v>0</v>
      </c>
      <c r="N7" s="1" t="s">
        <v>29</v>
      </c>
      <c r="O7" s="1">
        <f>0.11/((0.125^2+(0.23+0.11)^2)^(1/2))</f>
        <v>0.30365776727525928</v>
      </c>
    </row>
    <row r="8" spans="1:19" ht="30" x14ac:dyDescent="0.25">
      <c r="A8" s="1" t="s">
        <v>38</v>
      </c>
      <c r="B8" s="1">
        <f>(220)/((0.125+(0.11/B5))^2+(0.23+0.44)^2)^(1/2)</f>
        <v>309.8514717409692</v>
      </c>
      <c r="C8" s="1">
        <f t="shared" ref="C8:K8" si="1">(220)/((0.125+(0.11/C5))^2+(0.23+0.44)^2)^(1/2)</f>
        <v>308.05593244208802</v>
      </c>
      <c r="D8" s="1">
        <f t="shared" si="1"/>
        <v>305.73069020573405</v>
      </c>
      <c r="E8" s="1">
        <f t="shared" si="1"/>
        <v>302.62046784099539</v>
      </c>
      <c r="F8" s="1">
        <f t="shared" si="1"/>
        <v>298.28775677649014</v>
      </c>
      <c r="G8" s="1">
        <f t="shared" si="1"/>
        <v>291.92896495432211</v>
      </c>
      <c r="H8" s="1">
        <f t="shared" si="1"/>
        <v>281.93545465448307</v>
      </c>
      <c r="I8" s="1">
        <f t="shared" si="1"/>
        <v>264.72687902345427</v>
      </c>
      <c r="J8" s="1">
        <f t="shared" si="1"/>
        <v>231.31957912215117</v>
      </c>
      <c r="K8" s="1">
        <f t="shared" si="1"/>
        <v>157.56446400116496</v>
      </c>
      <c r="L8" s="1">
        <v>0</v>
      </c>
    </row>
    <row r="9" spans="1:19" ht="30" x14ac:dyDescent="0.25">
      <c r="A9" s="1" t="s">
        <v>24</v>
      </c>
      <c r="B9" s="1">
        <f>(3*0.8*220^2*(0.11/B5)*3)/(2*3.14*50*((0.125+(0.11/B5))^2+(0.23+0.44)^2))</f>
        <v>242.16014062329728</v>
      </c>
      <c r="C9" s="1">
        <f t="shared" ref="C9:K9" si="2">(3*0.8*220^2*(0.11/C5)*3)/(2*3.14*50*((0.125+(0.11/C5))^2+(0.23+0.44)^2))</f>
        <v>265.95746054532663</v>
      </c>
      <c r="D9" s="1">
        <f t="shared" si="2"/>
        <v>294.70236428133046</v>
      </c>
      <c r="E9" s="1">
        <f t="shared" si="2"/>
        <v>329.98491749131915</v>
      </c>
      <c r="F9" s="1">
        <f t="shared" si="2"/>
        <v>374.03749462557562</v>
      </c>
      <c r="G9" s="1">
        <f t="shared" si="2"/>
        <v>429.9123331134208</v>
      </c>
      <c r="H9" s="1">
        <f>(3*0.8*220^2*(0.11/H5)*3)/(2*3.14*50*((0.125+(0.11/H5))^2+(0.23+0.44)^2))</f>
        <v>501.22754512941265</v>
      </c>
      <c r="I9" s="1">
        <f t="shared" si="2"/>
        <v>589.2103377725997</v>
      </c>
      <c r="J9" s="1">
        <f t="shared" si="2"/>
        <v>674.82369692225063</v>
      </c>
      <c r="K9" s="1">
        <f t="shared" si="2"/>
        <v>626.19859140929077</v>
      </c>
      <c r="L9" s="1">
        <v>0</v>
      </c>
      <c r="N9" s="1" t="s">
        <v>27</v>
      </c>
      <c r="O9" s="1">
        <f>(3*0.8*220^2*0.11*3)/(2*3.14*50*((0.125+0.11)^2+(0.23+0.44)^2))</f>
        <v>242.16014062329728</v>
      </c>
    </row>
    <row r="10" spans="1:19" ht="30" x14ac:dyDescent="0.25">
      <c r="A10" s="1" t="s">
        <v>25</v>
      </c>
      <c r="B10" s="1">
        <f>(0.8*220)/((0.125+(0.11/B5))^2+(0.23+0.44)^2)^(1/2)</f>
        <v>247.88117739277536</v>
      </c>
      <c r="C10" s="1">
        <f t="shared" ref="C10:K10" si="3">(0.8*220)/((0.125+(0.11/C5))^2+(0.23+0.44)^2)^(1/2)</f>
        <v>246.44474595367041</v>
      </c>
      <c r="D10" s="1">
        <f t="shared" si="3"/>
        <v>244.58455216458722</v>
      </c>
      <c r="E10" s="1">
        <f t="shared" si="3"/>
        <v>242.09637427279634</v>
      </c>
      <c r="F10" s="1">
        <f t="shared" si="3"/>
        <v>238.63020542119213</v>
      </c>
      <c r="G10" s="1">
        <f t="shared" si="3"/>
        <v>233.5431719634577</v>
      </c>
      <c r="H10" s="1">
        <f t="shared" si="3"/>
        <v>225.54836372358648</v>
      </c>
      <c r="I10" s="1">
        <f t="shared" si="3"/>
        <v>211.78150321876342</v>
      </c>
      <c r="J10" s="1">
        <f t="shared" si="3"/>
        <v>185.05566329772094</v>
      </c>
      <c r="K10" s="1">
        <f t="shared" si="3"/>
        <v>126.05157120093197</v>
      </c>
      <c r="L10" s="1">
        <v>0</v>
      </c>
      <c r="N10" s="1" t="s">
        <v>28</v>
      </c>
      <c r="O10" s="1">
        <f>(3*0.8*220^2*3)/(4*3.14*50*(0.125+(0.125^2+(0.23+0.44)^2)^(1/2)))</f>
        <v>687.98845819461485</v>
      </c>
    </row>
    <row r="11" spans="1:19" ht="30" x14ac:dyDescent="0.25">
      <c r="N11" s="1" t="s">
        <v>30</v>
      </c>
      <c r="O11" s="1">
        <f>0.11/((0.125^2+(0.23+0.11)^2)^(1/2))</f>
        <v>0.30365776727525928</v>
      </c>
    </row>
    <row r="29" spans="1:20" ht="6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18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15</v>
      </c>
      <c r="P29" s="1" t="s">
        <v>16</v>
      </c>
      <c r="Q29" s="1" t="s">
        <v>19</v>
      </c>
      <c r="R29" s="2" t="s">
        <v>20</v>
      </c>
      <c r="S29" s="1" t="s">
        <v>21</v>
      </c>
      <c r="T29" s="1" t="s">
        <v>31</v>
      </c>
    </row>
    <row r="30" spans="1:20" ht="45" x14ac:dyDescent="0.25">
      <c r="B30" s="1">
        <v>30</v>
      </c>
      <c r="C30" s="1">
        <v>970</v>
      </c>
      <c r="D30" s="1">
        <v>2.8</v>
      </c>
      <c r="E30" s="1" t="s">
        <v>13</v>
      </c>
      <c r="F30" s="1">
        <v>70.5</v>
      </c>
      <c r="G30" s="1">
        <v>42</v>
      </c>
      <c r="H30" s="1">
        <v>0.125</v>
      </c>
      <c r="I30" s="1">
        <v>0.23</v>
      </c>
      <c r="J30" s="1">
        <v>259</v>
      </c>
      <c r="K30" s="1">
        <v>72</v>
      </c>
      <c r="L30" s="1">
        <v>5.5E-2</v>
      </c>
      <c r="M30" s="1">
        <v>0.22500000000000001</v>
      </c>
      <c r="N30" s="1">
        <v>1.4</v>
      </c>
      <c r="O30" s="1">
        <v>0.11</v>
      </c>
      <c r="P30" s="1">
        <v>0.44</v>
      </c>
      <c r="Q30" s="1">
        <v>220</v>
      </c>
      <c r="R30" s="1">
        <v>104.7</v>
      </c>
      <c r="S30" s="1">
        <v>3</v>
      </c>
      <c r="T30" s="1">
        <v>0.36</v>
      </c>
    </row>
    <row r="31" spans="1:20" x14ac:dyDescent="0.25">
      <c r="E31" s="1" t="s">
        <v>14</v>
      </c>
    </row>
    <row r="33" spans="1:15" x14ac:dyDescent="0.25">
      <c r="A33" s="1" t="s">
        <v>17</v>
      </c>
      <c r="B33" s="1">
        <v>1</v>
      </c>
      <c r="C33" s="1">
        <v>0.9</v>
      </c>
      <c r="D33" s="1">
        <v>0.8</v>
      </c>
      <c r="E33" s="1">
        <v>0.7</v>
      </c>
      <c r="F33" s="1">
        <v>0.6</v>
      </c>
      <c r="G33" s="1">
        <v>0.5</v>
      </c>
      <c r="H33" s="1">
        <v>0.4</v>
      </c>
      <c r="I33" s="1">
        <v>0.3</v>
      </c>
      <c r="J33" s="1">
        <v>0.2</v>
      </c>
      <c r="K33" s="1">
        <v>0.1</v>
      </c>
      <c r="L33" s="1">
        <v>0</v>
      </c>
      <c r="N33" s="1" t="s">
        <v>22</v>
      </c>
      <c r="O33" s="1">
        <f>(3*220^2*0.11*3)/(2*3.14*50*((0.125+0.11)^2+(0.23+0.44)^2))</f>
        <v>302.70017577912159</v>
      </c>
    </row>
    <row r="34" spans="1:15" ht="30" x14ac:dyDescent="0.25">
      <c r="A34" s="2" t="s">
        <v>26</v>
      </c>
      <c r="B34" s="1">
        <v>0</v>
      </c>
      <c r="C34" s="1">
        <v>10.5</v>
      </c>
      <c r="D34" s="1">
        <v>21</v>
      </c>
      <c r="E34" s="1">
        <v>31</v>
      </c>
      <c r="F34" s="1">
        <v>42</v>
      </c>
      <c r="G34" s="1">
        <v>52</v>
      </c>
      <c r="H34" s="1">
        <v>63</v>
      </c>
      <c r="I34" s="1">
        <v>73</v>
      </c>
      <c r="J34" s="1">
        <v>84</v>
      </c>
      <c r="K34" s="1">
        <v>94</v>
      </c>
      <c r="L34" s="1">
        <v>104.7</v>
      </c>
      <c r="N34" s="1" t="s">
        <v>23</v>
      </c>
      <c r="O34" s="1">
        <f>(3*220^2*3)/(4*3.14*50*(0.125+(0.125^2+(0.23+0.44)^2)^(1/2)))</f>
        <v>859.98557274326845</v>
      </c>
    </row>
    <row r="35" spans="1:15" ht="30" x14ac:dyDescent="0.25">
      <c r="A35" s="2" t="s">
        <v>32</v>
      </c>
      <c r="B35" s="1">
        <v>0</v>
      </c>
      <c r="C35" s="1">
        <f>C34/2</f>
        <v>5.25</v>
      </c>
      <c r="D35" s="1">
        <f t="shared" ref="D35:L35" si="4">D34/2</f>
        <v>10.5</v>
      </c>
      <c r="E35" s="1">
        <f t="shared" si="4"/>
        <v>15.5</v>
      </c>
      <c r="F35" s="1">
        <f t="shared" si="4"/>
        <v>21</v>
      </c>
      <c r="G35" s="1">
        <f t="shared" si="4"/>
        <v>26</v>
      </c>
      <c r="H35" s="1">
        <f t="shared" si="4"/>
        <v>31.5</v>
      </c>
      <c r="I35" s="1">
        <f t="shared" si="4"/>
        <v>36.5</v>
      </c>
      <c r="J35" s="1">
        <f t="shared" si="4"/>
        <v>42</v>
      </c>
      <c r="K35" s="1">
        <f t="shared" si="4"/>
        <v>47</v>
      </c>
      <c r="L35" s="1">
        <f t="shared" si="4"/>
        <v>52.35</v>
      </c>
      <c r="N35" s="1" t="s">
        <v>29</v>
      </c>
      <c r="O35" s="1">
        <f>0.11/((0.125^2+(0.23+0.11)^2)^(1/2))</f>
        <v>0.30365776727525928</v>
      </c>
    </row>
    <row r="36" spans="1:15" ht="30" x14ac:dyDescent="0.25">
      <c r="A36" s="1" t="s">
        <v>37</v>
      </c>
      <c r="B36" s="1">
        <f>(3*220^2*(0.11/B33)*3)/(2*3.14*50*((0.125+(0.11/B33))^2+(0.23+0.44)^2))</f>
        <v>302.70017577912159</v>
      </c>
      <c r="C36" s="1">
        <f t="shared" ref="C36:K36" si="5">(3*220^2*(0.11/C33)*3)/(2*3.14*50*((0.125+(0.11/C33))^2+(0.23+0.44)^2))</f>
        <v>332.44682568165825</v>
      </c>
      <c r="D36" s="1">
        <f t="shared" si="5"/>
        <v>368.37795535166305</v>
      </c>
      <c r="E36" s="1">
        <f t="shared" si="5"/>
        <v>412.48114686414891</v>
      </c>
      <c r="F36" s="1">
        <f t="shared" si="5"/>
        <v>467.54686828196952</v>
      </c>
      <c r="G36" s="1">
        <f t="shared" si="5"/>
        <v>537.39041639177594</v>
      </c>
      <c r="H36" s="1">
        <f t="shared" si="5"/>
        <v>626.53443141176558</v>
      </c>
      <c r="I36" s="1">
        <f t="shared" si="5"/>
        <v>736.51292221574965</v>
      </c>
      <c r="J36" s="1">
        <f t="shared" si="5"/>
        <v>843.52962115281309</v>
      </c>
      <c r="K36" s="1">
        <f t="shared" si="5"/>
        <v>782.74823926161332</v>
      </c>
      <c r="L36" s="1">
        <v>0</v>
      </c>
    </row>
    <row r="37" spans="1:15" ht="30" x14ac:dyDescent="0.25">
      <c r="A37" s="1" t="s">
        <v>38</v>
      </c>
      <c r="B37" s="1">
        <f>(220)/((0.125+(0.11/B33))^2+(0.23+0.44)^2)^(1/2)</f>
        <v>309.8514717409692</v>
      </c>
      <c r="C37" s="1">
        <f t="shared" ref="C37:K37" si="6">(220)/((0.125+(0.11/C33))^2+(0.23+0.44)^2)^(1/2)</f>
        <v>308.05593244208802</v>
      </c>
      <c r="D37" s="1">
        <f t="shared" si="6"/>
        <v>305.73069020573405</v>
      </c>
      <c r="E37" s="1">
        <f t="shared" si="6"/>
        <v>302.62046784099539</v>
      </c>
      <c r="F37" s="1">
        <f t="shared" si="6"/>
        <v>298.28775677649014</v>
      </c>
      <c r="G37" s="1">
        <f t="shared" si="6"/>
        <v>291.92896495432211</v>
      </c>
      <c r="H37" s="1">
        <f t="shared" si="6"/>
        <v>281.93545465448307</v>
      </c>
      <c r="I37" s="1">
        <f t="shared" si="6"/>
        <v>264.72687902345427</v>
      </c>
      <c r="J37" s="1">
        <f t="shared" si="6"/>
        <v>231.31957912215117</v>
      </c>
      <c r="K37" s="1">
        <f t="shared" si="6"/>
        <v>157.56446400116496</v>
      </c>
      <c r="L37" s="1">
        <v>0</v>
      </c>
      <c r="N37" s="1" t="s">
        <v>27</v>
      </c>
      <c r="O37" s="1">
        <f>(3*220^2*(0.11+0.36)*3)/(2*3.14*50*((0.125+0.11+0.36)^2+(0.23+0.44)^2))</f>
        <v>812.04687717221793</v>
      </c>
    </row>
    <row r="38" spans="1:15" ht="45" x14ac:dyDescent="0.25">
      <c r="A38" s="1" t="s">
        <v>33</v>
      </c>
      <c r="B38" s="1">
        <f>(3*220^2*((0.11+0.36)/B33)*3)/(2*3.14*50*((0.125+((0.11+0.36)/B33))^2+(0.23+0.44)^2))</f>
        <v>812.04687717221793</v>
      </c>
      <c r="C38" s="1">
        <f t="shared" ref="C38:K38" si="7">(3*220^2*((0.11+0.36)/C33)*3)/(2*3.14*50*((0.125+((0.11+0.36)/C33))^2+(0.23+0.44)^2))</f>
        <v>834.82534340825976</v>
      </c>
      <c r="D38" s="1">
        <f t="shared" si="7"/>
        <v>852.0313610066097</v>
      </c>
      <c r="E38" s="1">
        <f t="shared" si="7"/>
        <v>859.90406755023457</v>
      </c>
      <c r="F38" s="1">
        <f t="shared" si="7"/>
        <v>852.99369056928776</v>
      </c>
      <c r="G38" s="1">
        <f t="shared" si="7"/>
        <v>823.70342058081735</v>
      </c>
      <c r="H38" s="1">
        <f t="shared" si="7"/>
        <v>762.08885274382055</v>
      </c>
      <c r="I38" s="1">
        <f t="shared" si="7"/>
        <v>656.48283992435472</v>
      </c>
      <c r="J38" s="1">
        <f t="shared" si="7"/>
        <v>495.86300063769107</v>
      </c>
      <c r="K38" s="1">
        <f t="shared" si="7"/>
        <v>274.76855893807533</v>
      </c>
      <c r="L38" s="1">
        <v>0</v>
      </c>
      <c r="N38" s="1" t="s">
        <v>35</v>
      </c>
      <c r="O38" s="1">
        <f>(3*220^2*3)/(4*3.14*50*(0.125+(0.125^2+(0.23+0.44)^2)^(1/2)))</f>
        <v>859.98557274326845</v>
      </c>
    </row>
    <row r="39" spans="1:15" ht="30" x14ac:dyDescent="0.25">
      <c r="A39" s="1" t="s">
        <v>34</v>
      </c>
      <c r="B39" s="1">
        <f>(220)/((0.125+((0.11+0.36)/B33))^2+(0.23+0.44)^2)^(1/2)</f>
        <v>245.51904753525446</v>
      </c>
      <c r="C39" s="1">
        <f t="shared" ref="C39:K39" si="8">(220)/((0.125+((0.11+0.36)/C33))^2+(0.23+0.44)^2)^(1/2)</f>
        <v>236.16400622493558</v>
      </c>
      <c r="D39" s="1">
        <f t="shared" si="8"/>
        <v>224.94037974731293</v>
      </c>
      <c r="E39" s="1">
        <f t="shared" si="8"/>
        <v>211.38232090322822</v>
      </c>
      <c r="F39" s="1">
        <f t="shared" si="8"/>
        <v>194.9140632018792</v>
      </c>
      <c r="G39" s="1">
        <f t="shared" si="8"/>
        <v>174.84977478566481</v>
      </c>
      <c r="H39" s="1">
        <f t="shared" si="8"/>
        <v>150.42757020626797</v>
      </c>
      <c r="I39" s="1">
        <f t="shared" si="8"/>
        <v>120.91131845964112</v>
      </c>
      <c r="J39" s="1">
        <f t="shared" si="8"/>
        <v>85.800632674747803</v>
      </c>
      <c r="K39" s="1">
        <f t="shared" si="8"/>
        <v>45.162519112010209</v>
      </c>
      <c r="L39" s="1">
        <v>0</v>
      </c>
      <c r="N39" s="1" t="s">
        <v>36</v>
      </c>
      <c r="O39" s="1">
        <f>(0.11+0.36)/((0.125^2+(0.23+0.11)^2)^(1/2))</f>
        <v>1.2974468238124715</v>
      </c>
    </row>
    <row r="59" spans="1:20" ht="60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18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  <c r="K59" s="1" t="s">
        <v>9</v>
      </c>
      <c r="L59" s="1" t="s">
        <v>10</v>
      </c>
      <c r="M59" s="1" t="s">
        <v>11</v>
      </c>
      <c r="N59" s="1" t="s">
        <v>12</v>
      </c>
      <c r="O59" s="1" t="s">
        <v>15</v>
      </c>
      <c r="P59" s="1" t="s">
        <v>16</v>
      </c>
      <c r="Q59" s="1" t="s">
        <v>19</v>
      </c>
      <c r="R59" s="2" t="s">
        <v>20</v>
      </c>
      <c r="S59" s="1" t="s">
        <v>21</v>
      </c>
      <c r="T59" s="1" t="s">
        <v>42</v>
      </c>
    </row>
    <row r="60" spans="1:20" ht="45" x14ac:dyDescent="0.25">
      <c r="B60" s="1">
        <v>30</v>
      </c>
      <c r="C60" s="1">
        <v>970</v>
      </c>
      <c r="D60" s="1">
        <v>2.8</v>
      </c>
      <c r="E60" s="1" t="s">
        <v>13</v>
      </c>
      <c r="F60" s="1">
        <v>70.5</v>
      </c>
      <c r="G60" s="1">
        <v>42</v>
      </c>
      <c r="H60" s="1">
        <v>0.125</v>
      </c>
      <c r="I60" s="1">
        <v>0.23</v>
      </c>
      <c r="J60" s="1">
        <v>259</v>
      </c>
      <c r="K60" s="1">
        <v>72</v>
      </c>
      <c r="L60" s="1">
        <v>5.5E-2</v>
      </c>
      <c r="M60" s="1">
        <v>0.22500000000000001</v>
      </c>
      <c r="N60" s="1">
        <v>1.4</v>
      </c>
      <c r="O60" s="1">
        <v>0.11</v>
      </c>
      <c r="P60" s="1">
        <v>0.44</v>
      </c>
      <c r="Q60" s="1">
        <v>220</v>
      </c>
      <c r="R60" s="1">
        <v>104.7</v>
      </c>
      <c r="S60" s="1">
        <v>3</v>
      </c>
      <c r="T60" s="1">
        <v>4.4000000000000004</v>
      </c>
    </row>
    <row r="61" spans="1:20" x14ac:dyDescent="0.25">
      <c r="E61" s="1" t="s">
        <v>14</v>
      </c>
    </row>
    <row r="62" spans="1:20" ht="60" x14ac:dyDescent="0.25">
      <c r="A62" s="1" t="s">
        <v>39</v>
      </c>
    </row>
    <row r="63" spans="1:20" x14ac:dyDescent="0.25">
      <c r="A63" s="1" t="s">
        <v>17</v>
      </c>
      <c r="B63" s="1">
        <v>1</v>
      </c>
      <c r="C63" s="1">
        <v>0.9</v>
      </c>
      <c r="D63" s="1">
        <v>0.8</v>
      </c>
      <c r="E63" s="1">
        <v>0.7</v>
      </c>
      <c r="F63" s="1">
        <v>0.6</v>
      </c>
      <c r="G63" s="1">
        <v>0.5</v>
      </c>
      <c r="H63" s="1">
        <v>0.4</v>
      </c>
      <c r="I63" s="1">
        <v>0.3</v>
      </c>
      <c r="J63" s="1">
        <v>0.2</v>
      </c>
      <c r="K63" s="1">
        <v>0.1</v>
      </c>
      <c r="L63" s="1">
        <v>0</v>
      </c>
      <c r="M63" s="1" t="s">
        <v>41</v>
      </c>
      <c r="O63" s="1" t="s">
        <v>22</v>
      </c>
      <c r="P63" s="1">
        <f>(3*220^2*0.11*3)/(2*3.14*50*((0.125+0.11)^2+(0.23+0.44)^2))</f>
        <v>302.70017577912159</v>
      </c>
    </row>
    <row r="64" spans="1:20" ht="30" x14ac:dyDescent="0.25">
      <c r="A64" s="2" t="s">
        <v>26</v>
      </c>
      <c r="B64" s="1">
        <v>0</v>
      </c>
      <c r="C64" s="1">
        <v>10.5</v>
      </c>
      <c r="D64" s="1">
        <v>21</v>
      </c>
      <c r="E64" s="1">
        <v>31</v>
      </c>
      <c r="F64" s="1">
        <v>42</v>
      </c>
      <c r="G64" s="1">
        <v>52</v>
      </c>
      <c r="H64" s="1">
        <v>63</v>
      </c>
      <c r="I64" s="1">
        <v>73</v>
      </c>
      <c r="J64" s="1">
        <v>84</v>
      </c>
      <c r="K64" s="1">
        <v>94</v>
      </c>
      <c r="L64" s="1">
        <v>104.7</v>
      </c>
      <c r="M64" s="1">
        <f>I64</f>
        <v>73</v>
      </c>
      <c r="O64" s="1" t="s">
        <v>23</v>
      </c>
      <c r="P64" s="1">
        <f>(3*220^2*3)/(4*3.14*50*(0.125+(0.125^2+(0.23+0.44)^2)^(1/2)))</f>
        <v>859.98557274326845</v>
      </c>
    </row>
    <row r="65" spans="1:16" ht="30" x14ac:dyDescent="0.25">
      <c r="A65" s="1" t="s">
        <v>37</v>
      </c>
      <c r="B65" s="1">
        <f>(3*220^2*(0.11/B63)*3)/(2*3.14*50*((0.125+(0.11/B63))^2+(0.23+0.44)^2))</f>
        <v>302.70017577912159</v>
      </c>
      <c r="C65" s="1">
        <f t="shared" ref="C65:K65" si="9">(3*220^2*(0.11/C63)*3)/(2*3.14*50*((0.125+(0.11/C63))^2+(0.23+0.44)^2))</f>
        <v>332.44682568165825</v>
      </c>
      <c r="D65" s="1">
        <f t="shared" si="9"/>
        <v>368.37795535166305</v>
      </c>
      <c r="E65" s="1">
        <f t="shared" si="9"/>
        <v>412.48114686414891</v>
      </c>
      <c r="F65" s="1">
        <f t="shared" si="9"/>
        <v>467.54686828196952</v>
      </c>
      <c r="G65" s="1">
        <f t="shared" si="9"/>
        <v>537.39041639177594</v>
      </c>
      <c r="H65" s="1">
        <f t="shared" si="9"/>
        <v>626.53443141176558</v>
      </c>
      <c r="I65" s="1">
        <f t="shared" si="9"/>
        <v>736.51292221574965</v>
      </c>
      <c r="J65" s="1">
        <f t="shared" si="9"/>
        <v>843.52962115281309</v>
      </c>
      <c r="K65" s="1">
        <f t="shared" si="9"/>
        <v>782.74823926161332</v>
      </c>
      <c r="L65" s="1">
        <v>0</v>
      </c>
      <c r="M65" s="1">
        <f>I65</f>
        <v>736.51292221574965</v>
      </c>
      <c r="O65" s="1" t="s">
        <v>29</v>
      </c>
      <c r="P65" s="1">
        <f>0.11/((0.125^2+(0.23+0.11)^2)^(1/2))</f>
        <v>0.30365776727525928</v>
      </c>
    </row>
    <row r="66" spans="1:16" ht="30" x14ac:dyDescent="0.25">
      <c r="A66" s="1" t="s">
        <v>38</v>
      </c>
      <c r="B66" s="1">
        <f>(220)/((0.125+(0.11/B63))^2+(0.23+0.44)^2)^(1/2)</f>
        <v>309.8514717409692</v>
      </c>
      <c r="C66" s="1">
        <f t="shared" ref="C66:K66" si="10">(220)/((0.125+(0.11/C63))^2+(0.23+0.44)^2)^(1/2)</f>
        <v>308.05593244208802</v>
      </c>
      <c r="D66" s="1">
        <f t="shared" si="10"/>
        <v>305.73069020573405</v>
      </c>
      <c r="E66" s="1">
        <f t="shared" si="10"/>
        <v>302.62046784099539</v>
      </c>
      <c r="F66" s="1">
        <f t="shared" si="10"/>
        <v>298.28775677649014</v>
      </c>
      <c r="G66" s="1">
        <f t="shared" si="10"/>
        <v>291.92896495432211</v>
      </c>
      <c r="H66" s="1">
        <f t="shared" si="10"/>
        <v>281.93545465448307</v>
      </c>
      <c r="I66" s="1">
        <f t="shared" si="10"/>
        <v>264.72687902345427</v>
      </c>
      <c r="J66" s="1">
        <f t="shared" si="10"/>
        <v>231.31957912215117</v>
      </c>
      <c r="K66" s="1">
        <f t="shared" si="10"/>
        <v>157.56446400116496</v>
      </c>
      <c r="L66" s="1">
        <v>0</v>
      </c>
      <c r="M66" s="1">
        <f>I66</f>
        <v>264.72687902345427</v>
      </c>
    </row>
    <row r="68" spans="1:16" ht="30" x14ac:dyDescent="0.25">
      <c r="A68" s="1" t="s">
        <v>40</v>
      </c>
    </row>
    <row r="69" spans="1:16" x14ac:dyDescent="0.25">
      <c r="A69" s="1" t="s">
        <v>17</v>
      </c>
      <c r="B69" s="1">
        <v>1</v>
      </c>
      <c r="C69" s="1">
        <v>0.9</v>
      </c>
      <c r="D69" s="1">
        <v>0.8</v>
      </c>
      <c r="E69" s="1">
        <v>0.7</v>
      </c>
      <c r="F69" s="1">
        <v>0.6</v>
      </c>
      <c r="G69" s="1">
        <v>0.5</v>
      </c>
      <c r="H69" s="1">
        <v>0.4</v>
      </c>
      <c r="I69" s="1">
        <v>0.3</v>
      </c>
      <c r="J69" s="1">
        <v>0.2</v>
      </c>
      <c r="K69" s="1">
        <v>0.1</v>
      </c>
      <c r="L69" s="1">
        <v>0</v>
      </c>
      <c r="M69" s="1" t="s">
        <v>45</v>
      </c>
      <c r="O69" s="1" t="s">
        <v>22</v>
      </c>
      <c r="P69" s="1">
        <f>(3*176^2*0.11*3)/(2*3.14*40*((0.125+0.11)^2+(0.23+0.44)^2+0.8^2))</f>
        <v>106.70073714997896</v>
      </c>
    </row>
    <row r="70" spans="1:16" ht="30" x14ac:dyDescent="0.25">
      <c r="A70" s="2" t="s">
        <v>26</v>
      </c>
      <c r="B70" s="1">
        <v>0</v>
      </c>
      <c r="C70" s="1">
        <v>8.4</v>
      </c>
      <c r="D70" s="1">
        <v>17</v>
      </c>
      <c r="E70" s="1">
        <v>25</v>
      </c>
      <c r="F70" s="1">
        <v>34</v>
      </c>
      <c r="G70" s="1">
        <v>42</v>
      </c>
      <c r="H70" s="1">
        <v>50</v>
      </c>
      <c r="I70" s="1">
        <v>59</v>
      </c>
      <c r="J70" s="1">
        <v>67</v>
      </c>
      <c r="K70" s="1">
        <v>76</v>
      </c>
      <c r="L70" s="1">
        <v>84</v>
      </c>
      <c r="M70" s="1">
        <f>84-0.125*84</f>
        <v>73.5</v>
      </c>
      <c r="O70" s="1" t="s">
        <v>23</v>
      </c>
      <c r="P70" s="1">
        <f>(3*176^2*3)/(4*3.14*40*(0.125+(0.125^2+(0.23+0.44)^2+0.8^2)^(1/2)))</f>
        <v>471.87204074613879</v>
      </c>
    </row>
    <row r="71" spans="1:16" ht="30" x14ac:dyDescent="0.25">
      <c r="A71" s="1" t="s">
        <v>50</v>
      </c>
      <c r="B71" s="1">
        <f>(3*176^2*(0.11/B69)*3)/(2*3.14*40*((0.125+(0.11/B69))^2+(0.23+0.44)^2+0.8^2))</f>
        <v>106.70073714997896</v>
      </c>
      <c r="C71" s="1">
        <f t="shared" ref="C71:K71" si="11">(3*176^2*(0.11/C69)*3)/(2*3.14*40*((0.125+(0.11/C69))^2+(0.23+0.44)^2+0.8^2))</f>
        <v>117.94877518381769</v>
      </c>
      <c r="D71" s="1">
        <f t="shared" si="11"/>
        <v>131.79988112402194</v>
      </c>
      <c r="E71" s="1">
        <f t="shared" si="11"/>
        <v>149.24934428960759</v>
      </c>
      <c r="F71" s="1">
        <f t="shared" si="11"/>
        <v>171.84984723008486</v>
      </c>
      <c r="G71" s="1">
        <f t="shared" si="11"/>
        <v>202.13006749875979</v>
      </c>
      <c r="H71" s="1">
        <f t="shared" si="11"/>
        <v>244.37301003226781</v>
      </c>
      <c r="I71" s="1">
        <f t="shared" si="11"/>
        <v>305.81609270015736</v>
      </c>
      <c r="J71" s="1">
        <f t="shared" si="11"/>
        <v>395.19910940813423</v>
      </c>
      <c r="K71" s="1">
        <f t="shared" si="11"/>
        <v>471.43387645116275</v>
      </c>
      <c r="L71" s="1">
        <f>0</f>
        <v>0</v>
      </c>
      <c r="M71" s="1">
        <f>(3*176^2*(0.11/0.125)*3)/(2*3.14*50*((0.125+(0.11/0.125))^2+(0.23+0.44)^2+0.8^2))</f>
        <v>372.24077930702924</v>
      </c>
      <c r="O71" s="1" t="s">
        <v>29</v>
      </c>
      <c r="P71" s="1">
        <f>0.11/((0.125^2+(0.23+0.11)^2+0.8^2)^(1/2))</f>
        <v>0.12525703742240871</v>
      </c>
    </row>
    <row r="72" spans="1:16" ht="30" x14ac:dyDescent="0.25">
      <c r="A72" s="1" t="s">
        <v>51</v>
      </c>
      <c r="B72" s="1">
        <f>(176)/((0.125+(0.11/B69))^2+(0.23+0.44)^2+0.8^2)^(1/2)</f>
        <v>164.54168110323141</v>
      </c>
      <c r="C72" s="1">
        <f t="shared" ref="C72:K72" si="12">(176)/((0.125+(0.11/C69))^2+(0.23+0.44)^2+0.8^2)^(1/2)</f>
        <v>164.11950281917638</v>
      </c>
      <c r="D72" s="1">
        <f t="shared" si="12"/>
        <v>163.56663643984953</v>
      </c>
      <c r="E72" s="1">
        <f t="shared" si="12"/>
        <v>162.81614065088598</v>
      </c>
      <c r="F72" s="1">
        <f t="shared" si="12"/>
        <v>161.74930401086235</v>
      </c>
      <c r="G72" s="1">
        <f t="shared" si="12"/>
        <v>160.13736678316744</v>
      </c>
      <c r="H72" s="1">
        <f t="shared" si="12"/>
        <v>157.48849580573753</v>
      </c>
      <c r="I72" s="1">
        <f t="shared" si="12"/>
        <v>152.5748723168692</v>
      </c>
      <c r="J72" s="1">
        <f t="shared" si="12"/>
        <v>141.61693692815774</v>
      </c>
      <c r="K72" s="1">
        <f t="shared" si="12"/>
        <v>109.37110848004951</v>
      </c>
      <c r="L72" s="1">
        <v>0</v>
      </c>
      <c r="M72" s="1">
        <f>(176)/((0.125+(0.11/0.125))^2+(0.23+0.44)^2+0.8^2)^(1/2)</f>
        <v>121.48263619451377</v>
      </c>
    </row>
    <row r="74" spans="1:16" ht="30" x14ac:dyDescent="0.25">
      <c r="A74" s="1" t="s">
        <v>43</v>
      </c>
    </row>
    <row r="75" spans="1:16" x14ac:dyDescent="0.25">
      <c r="A75" s="1" t="s">
        <v>17</v>
      </c>
      <c r="B75" s="1">
        <v>1</v>
      </c>
      <c r="C75" s="1">
        <v>0.9</v>
      </c>
      <c r="D75" s="1">
        <v>0.8</v>
      </c>
      <c r="E75" s="1">
        <v>0.7</v>
      </c>
      <c r="F75" s="1">
        <v>0.6</v>
      </c>
      <c r="G75" s="1">
        <v>0.5</v>
      </c>
      <c r="H75" s="1">
        <v>0.4</v>
      </c>
      <c r="I75" s="1">
        <v>0.3</v>
      </c>
      <c r="J75" s="1">
        <v>0.2</v>
      </c>
      <c r="K75" s="1">
        <v>0.1</v>
      </c>
      <c r="L75" s="1">
        <v>0</v>
      </c>
      <c r="M75" s="1" t="s">
        <v>46</v>
      </c>
      <c r="O75" s="1" t="s">
        <v>22</v>
      </c>
      <c r="P75" s="1">
        <f>(3*132^2*0.11*3)/(2*3.14*30*((0.125+0.11)^2+(0.23+0.44)^2+0.6^2))</f>
        <v>105.9560082960102</v>
      </c>
    </row>
    <row r="76" spans="1:16" ht="30" x14ac:dyDescent="0.25">
      <c r="A76" s="2" t="s">
        <v>26</v>
      </c>
      <c r="B76" s="1">
        <f t="shared" ref="B76:J76" si="13">63-63*B75</f>
        <v>0</v>
      </c>
      <c r="C76" s="1">
        <f t="shared" si="13"/>
        <v>6.2999999999999972</v>
      </c>
      <c r="D76" s="1">
        <f t="shared" si="13"/>
        <v>12.599999999999994</v>
      </c>
      <c r="E76" s="1">
        <f t="shared" si="13"/>
        <v>18.900000000000006</v>
      </c>
      <c r="F76" s="1">
        <f t="shared" si="13"/>
        <v>25.200000000000003</v>
      </c>
      <c r="G76" s="1">
        <f t="shared" si="13"/>
        <v>31.5</v>
      </c>
      <c r="H76" s="1">
        <f t="shared" si="13"/>
        <v>37.799999999999997</v>
      </c>
      <c r="I76" s="1">
        <f t="shared" si="13"/>
        <v>44.1</v>
      </c>
      <c r="J76" s="1">
        <f t="shared" si="13"/>
        <v>50.4</v>
      </c>
      <c r="K76" s="1">
        <f>63-63*K75</f>
        <v>56.7</v>
      </c>
      <c r="L76" s="1">
        <v>63</v>
      </c>
      <c r="M76" s="1">
        <f>63-0.1569*63</f>
        <v>53.115299999999998</v>
      </c>
      <c r="O76" s="1" t="s">
        <v>23</v>
      </c>
      <c r="P76" s="1">
        <f>(3*132^2*3)/(4*3.14*30*(0.125+(0.125^2+(0.23+0.44)^2+0.6^2)^(1/2)))</f>
        <v>402.87009842062514</v>
      </c>
    </row>
    <row r="77" spans="1:16" ht="30" x14ac:dyDescent="0.25">
      <c r="A77" s="1" t="s">
        <v>52</v>
      </c>
      <c r="B77" s="1">
        <f>(3*132^2*(0.11/B75)*3)/(2*3.14*30*((0.125+(0.11/B75))^2+(0.23+0.44)^2+0.6^2))</f>
        <v>105.9560082960102</v>
      </c>
      <c r="C77" s="1">
        <f t="shared" ref="C77:K77" si="14">(3*132^2*(0.11/C75)*3)/(2*3.14*30*((0.125+(0.11/C75))^2+(0.23+0.44)^2+0.6^2))</f>
        <v>116.93135929995955</v>
      </c>
      <c r="D77" s="1">
        <f t="shared" si="14"/>
        <v>130.38075838032282</v>
      </c>
      <c r="E77" s="1">
        <f t="shared" si="14"/>
        <v>147.21241657049967</v>
      </c>
      <c r="F77" s="1">
        <f t="shared" si="14"/>
        <v>168.80960640039419</v>
      </c>
      <c r="G77" s="1">
        <f t="shared" si="14"/>
        <v>197.34188790859136</v>
      </c>
      <c r="H77" s="1">
        <f t="shared" si="14"/>
        <v>236.24531857980645</v>
      </c>
      <c r="I77" s="1">
        <f t="shared" si="14"/>
        <v>290.4882565920322</v>
      </c>
      <c r="J77" s="1">
        <f t="shared" si="14"/>
        <v>362.03015230537079</v>
      </c>
      <c r="K77" s="1">
        <f t="shared" si="14"/>
        <v>396.44184699793158</v>
      </c>
      <c r="L77" s="1">
        <v>0</v>
      </c>
      <c r="M77" s="1">
        <f>(3*132^2*(0.11/0.1569)*3)/(2*3.14*50*((0.125+(0.11/0.125))^2+(0.23+0.44)^2+0.8^2))</f>
        <v>166.81440277262902</v>
      </c>
      <c r="O77" s="1" t="s">
        <v>29</v>
      </c>
      <c r="P77" s="1">
        <f>0.11/((0.125^2+(0.23+0.11)^2+0.6^2)^(1/2))</f>
        <v>0.15694679610937559</v>
      </c>
    </row>
    <row r="78" spans="1:16" ht="30" x14ac:dyDescent="0.25">
      <c r="A78" s="1" t="s">
        <v>53</v>
      </c>
      <c r="B78" s="1">
        <f>(132)/((0.125+(0.11/B75))^2+(0.23+0.44)^2+0.6^2)^(1/2)</f>
        <v>141.9991178055123</v>
      </c>
      <c r="C78" s="1">
        <f t="shared" ref="C78:K78" si="15">(132)/((0.125+(0.11/C75))^2+(0.23+0.44)^2+0.6^2)^(1/2)</f>
        <v>141.51732336011466</v>
      </c>
      <c r="D78" s="1">
        <f t="shared" si="15"/>
        <v>140.88819230292552</v>
      </c>
      <c r="E78" s="1">
        <f t="shared" si="15"/>
        <v>140.03741742876682</v>
      </c>
      <c r="F78" s="1">
        <f t="shared" si="15"/>
        <v>138.83438977916856</v>
      </c>
      <c r="G78" s="1">
        <f t="shared" si="15"/>
        <v>137.03057920538367</v>
      </c>
      <c r="H78" s="1">
        <f t="shared" si="15"/>
        <v>134.10175244289979</v>
      </c>
      <c r="I78" s="1">
        <f t="shared" si="15"/>
        <v>128.779806837378</v>
      </c>
      <c r="J78" s="1">
        <f t="shared" si="15"/>
        <v>117.38435589530631</v>
      </c>
      <c r="K78" s="1">
        <f t="shared" si="15"/>
        <v>86.858554456447578</v>
      </c>
      <c r="L78" s="1">
        <v>0</v>
      </c>
      <c r="M78" s="1">
        <f>(132)/((0.125+(0.11/0.1569))^2+(0.23+0.44)^2+0.8^2)^(1/2)</f>
        <v>99.180469849029265</v>
      </c>
    </row>
    <row r="80" spans="1:16" ht="30" x14ac:dyDescent="0.25">
      <c r="A80" s="1" t="s">
        <v>44</v>
      </c>
    </row>
    <row r="81" spans="1:20" x14ac:dyDescent="0.25">
      <c r="A81" s="1" t="s">
        <v>17</v>
      </c>
      <c r="B81" s="1">
        <v>1</v>
      </c>
      <c r="C81" s="1">
        <v>0.9</v>
      </c>
      <c r="D81" s="1">
        <v>0.8</v>
      </c>
      <c r="E81" s="1">
        <v>0.7</v>
      </c>
      <c r="F81" s="1">
        <v>0.6</v>
      </c>
      <c r="G81" s="1">
        <v>0.5</v>
      </c>
      <c r="H81" s="1">
        <v>0.4</v>
      </c>
      <c r="I81" s="1">
        <v>0.3</v>
      </c>
      <c r="J81" s="1">
        <v>0.2</v>
      </c>
      <c r="K81" s="1">
        <v>0.1</v>
      </c>
      <c r="L81" s="1">
        <v>0</v>
      </c>
      <c r="M81" s="1" t="s">
        <v>47</v>
      </c>
      <c r="O81" s="1" t="s">
        <v>22</v>
      </c>
      <c r="P81" s="1">
        <f>(3*88^2*0.11*3)/(2*3.14*20*((0.125+0.11)^2+(0.23+0.44)^2+0.4^2))</f>
        <v>91.909641175772421</v>
      </c>
    </row>
    <row r="82" spans="1:20" ht="30" x14ac:dyDescent="0.25">
      <c r="A82" s="2" t="s">
        <v>26</v>
      </c>
      <c r="B82" s="1">
        <f t="shared" ref="B82" si="16">63-63*B81</f>
        <v>0</v>
      </c>
      <c r="C82" s="1">
        <f t="shared" ref="C82:J82" si="17">42-42*C81</f>
        <v>4.1999999999999957</v>
      </c>
      <c r="D82" s="1">
        <f t="shared" si="17"/>
        <v>8.3999999999999986</v>
      </c>
      <c r="E82" s="1">
        <f t="shared" si="17"/>
        <v>12.600000000000001</v>
      </c>
      <c r="F82" s="1">
        <f t="shared" si="17"/>
        <v>16.8</v>
      </c>
      <c r="G82" s="1">
        <f t="shared" si="17"/>
        <v>21</v>
      </c>
      <c r="H82" s="1">
        <f t="shared" si="17"/>
        <v>25.2</v>
      </c>
      <c r="I82" s="1">
        <f t="shared" si="17"/>
        <v>29.4</v>
      </c>
      <c r="J82" s="1">
        <f t="shared" si="17"/>
        <v>33.6</v>
      </c>
      <c r="K82" s="1">
        <f>42-42*K81</f>
        <v>37.799999999999997</v>
      </c>
      <c r="L82" s="1">
        <v>42</v>
      </c>
      <c r="M82" s="1">
        <f>42-0.2*42</f>
        <v>33.6</v>
      </c>
      <c r="O82" s="1" t="s">
        <v>23</v>
      </c>
      <c r="P82" s="1">
        <f>(3*88^2*3)/(4*3.14*20*(0.125+(0.125^2+(0.23+0.44)^2+0.4^2)^(1/2)))</f>
        <v>303.13738039159011</v>
      </c>
    </row>
    <row r="83" spans="1:20" ht="30" x14ac:dyDescent="0.25">
      <c r="A83" s="1" t="s">
        <v>54</v>
      </c>
      <c r="B83" s="1">
        <f>(3*88^2*(0.11/B81)*3)/(2*3.14*20*((0.125+(0.11/B81))^2+(0.23+0.44)^2+0.4^2))</f>
        <v>91.909641175772421</v>
      </c>
      <c r="C83" s="1">
        <f t="shared" ref="C83:K83" si="18">(3*88^2*(0.11/C81)*3)/(2*3.14*20*((0.125+(0.11/C81))^2+(0.23+0.44)^2+0.4^2))</f>
        <v>101.22350791003913</v>
      </c>
      <c r="D83" s="1">
        <f t="shared" si="18"/>
        <v>112.56810195734374</v>
      </c>
      <c r="E83" s="1">
        <f t="shared" si="18"/>
        <v>126.65024038967002</v>
      </c>
      <c r="F83" s="1">
        <f t="shared" si="18"/>
        <v>144.51264167682439</v>
      </c>
      <c r="G83" s="1">
        <f t="shared" si="18"/>
        <v>167.70818544729158</v>
      </c>
      <c r="H83" s="1">
        <f t="shared" si="18"/>
        <v>198.46368333287768</v>
      </c>
      <c r="I83" s="1">
        <f t="shared" si="18"/>
        <v>239.19154794298331</v>
      </c>
      <c r="J83" s="1">
        <f t="shared" si="18"/>
        <v>286.69824779061014</v>
      </c>
      <c r="K83" s="1">
        <f t="shared" si="18"/>
        <v>289.35182302110604</v>
      </c>
      <c r="L83" s="1">
        <v>0</v>
      </c>
      <c r="M83" s="1">
        <f>J83</f>
        <v>286.69824779061014</v>
      </c>
      <c r="O83" s="1" t="s">
        <v>29</v>
      </c>
      <c r="P83" s="1">
        <f>0.11/((0.125^2+(0.23+0.11)^2+0.4^2)^(1/2))</f>
        <v>0.20383481249226848</v>
      </c>
    </row>
    <row r="84" spans="1:20" ht="30" x14ac:dyDescent="0.25">
      <c r="A84" s="1" t="s">
        <v>55</v>
      </c>
      <c r="B84" s="1">
        <f>(88)/((0.125+(0.11/B81))^2+(0.23+0.44)^2+0.4^2)^(1/2)</f>
        <v>107.98358896861338</v>
      </c>
      <c r="C84" s="1">
        <f t="shared" ref="C84:K84" si="19">(88)/((0.125+(0.11/C81))^2+(0.23+0.44)^2+0.4^2)^(1/2)</f>
        <v>107.50760054949569</v>
      </c>
      <c r="D84" s="1">
        <f t="shared" si="19"/>
        <v>106.88823051628711</v>
      </c>
      <c r="E84" s="1">
        <f t="shared" si="19"/>
        <v>106.05453683312503</v>
      </c>
      <c r="F84" s="1">
        <f t="shared" si="19"/>
        <v>104.88316095197678</v>
      </c>
      <c r="G84" s="1">
        <f t="shared" si="19"/>
        <v>103.14290393630601</v>
      </c>
      <c r="H84" s="1">
        <f t="shared" si="19"/>
        <v>100.35701648726928</v>
      </c>
      <c r="I84" s="1">
        <f t="shared" si="19"/>
        <v>95.413705929936796</v>
      </c>
      <c r="J84" s="1">
        <f t="shared" si="19"/>
        <v>85.291301109489609</v>
      </c>
      <c r="K84" s="1">
        <f t="shared" si="19"/>
        <v>60.58851857385887</v>
      </c>
      <c r="L84" s="1">
        <v>0</v>
      </c>
      <c r="M84" s="1">
        <f>J84</f>
        <v>85.291301109489609</v>
      </c>
    </row>
    <row r="86" spans="1:20" ht="30" x14ac:dyDescent="0.25">
      <c r="A86" s="1" t="s">
        <v>48</v>
      </c>
    </row>
    <row r="87" spans="1:20" x14ac:dyDescent="0.25">
      <c r="A87" s="1" t="s">
        <v>17</v>
      </c>
      <c r="B87" s="1">
        <v>1</v>
      </c>
      <c r="C87" s="1">
        <v>0.9</v>
      </c>
      <c r="D87" s="1">
        <v>0.8</v>
      </c>
      <c r="E87" s="1">
        <v>0.7</v>
      </c>
      <c r="F87" s="1">
        <v>0.6</v>
      </c>
      <c r="G87" s="1">
        <v>0.5</v>
      </c>
      <c r="H87" s="1">
        <v>0.4</v>
      </c>
      <c r="I87" s="1">
        <v>0.3</v>
      </c>
      <c r="J87" s="1">
        <v>0.2</v>
      </c>
      <c r="K87" s="1">
        <v>0.1</v>
      </c>
      <c r="L87" s="1">
        <v>0</v>
      </c>
      <c r="M87" s="1" t="s">
        <v>49</v>
      </c>
      <c r="O87" s="1" t="s">
        <v>22</v>
      </c>
      <c r="P87" s="1">
        <f>(3*44^2*0.11*3)/(2*3.14*10*((0.125+0.11)^2+(0.23+0.44)^2+0.2^2))</f>
        <v>56.0895846045117</v>
      </c>
    </row>
    <row r="88" spans="1:20" ht="30" x14ac:dyDescent="0.25">
      <c r="A88" s="2" t="s">
        <v>26</v>
      </c>
      <c r="B88" s="1">
        <f t="shared" ref="B88:J88" si="20">21-21*B87</f>
        <v>0</v>
      </c>
      <c r="C88" s="1">
        <f t="shared" si="20"/>
        <v>2.0999999999999979</v>
      </c>
      <c r="D88" s="1">
        <f t="shared" si="20"/>
        <v>4.1999999999999993</v>
      </c>
      <c r="E88" s="1">
        <f t="shared" si="20"/>
        <v>6.3000000000000007</v>
      </c>
      <c r="F88" s="1">
        <f t="shared" si="20"/>
        <v>8.4</v>
      </c>
      <c r="G88" s="1">
        <f t="shared" si="20"/>
        <v>10.5</v>
      </c>
      <c r="H88" s="1">
        <f t="shared" si="20"/>
        <v>12.6</v>
      </c>
      <c r="I88" s="1">
        <f t="shared" si="20"/>
        <v>14.7</v>
      </c>
      <c r="J88" s="1">
        <f t="shared" si="20"/>
        <v>16.8</v>
      </c>
      <c r="K88" s="1">
        <f>21-21*K87</f>
        <v>18.899999999999999</v>
      </c>
      <c r="L88" s="1">
        <v>21</v>
      </c>
      <c r="M88" s="1">
        <f>42-0.2658*42</f>
        <v>30.836400000000001</v>
      </c>
      <c r="O88" s="1" t="s">
        <v>23</v>
      </c>
      <c r="P88" s="1">
        <f>(3*44^2*3)/(4*3.14*10*(0.125+(0.125^2+(0.23+0.44)^2+0.2^2)^(1/2)))</f>
        <v>166.07954277445165</v>
      </c>
    </row>
    <row r="89" spans="1:20" ht="30" x14ac:dyDescent="0.25">
      <c r="A89" s="1" t="s">
        <v>56</v>
      </c>
      <c r="B89" s="1">
        <f>(3*44^2*(0.11/B87)*3)/(2*3.14*10*((0.125+(0.11/B87))^2+(0.23+0.44)^2+0.2^2))</f>
        <v>56.0895846045117</v>
      </c>
      <c r="C89" s="1">
        <f t="shared" ref="C89:K89" si="21">(3*44^2*(0.11/C87)*3)/(2*3.14*10*((0.125+(0.11/C87))^2+(0.23+0.44)^2+0.2^2))</f>
        <v>61.653940466991713</v>
      </c>
      <c r="D89" s="1">
        <f t="shared" si="21"/>
        <v>68.392352234601915</v>
      </c>
      <c r="E89" s="1">
        <f t="shared" si="21"/>
        <v>76.691792219117474</v>
      </c>
      <c r="F89" s="1">
        <f t="shared" si="21"/>
        <v>87.104286914545369</v>
      </c>
      <c r="G89" s="1">
        <f t="shared" si="21"/>
        <v>100.4062844032732</v>
      </c>
      <c r="H89" s="1">
        <f t="shared" si="21"/>
        <v>117.58262144756483</v>
      </c>
      <c r="I89" s="1">
        <f t="shared" si="21"/>
        <v>139.23823710509456</v>
      </c>
      <c r="J89" s="1">
        <f t="shared" si="21"/>
        <v>161.56134153638035</v>
      </c>
      <c r="K89" s="1">
        <f t="shared" si="21"/>
        <v>153.40216997991951</v>
      </c>
      <c r="L89" s="1">
        <v>0</v>
      </c>
      <c r="M89" s="1">
        <f>(3*44^2*(0.11/0.2658)*3)/(2*3.14*50*((0.125+(0.11/0.2658))^2+(0.23+0.44)^2+0.2^2))</f>
        <v>29.469781896359642</v>
      </c>
      <c r="O89" s="1" t="s">
        <v>29</v>
      </c>
      <c r="P89" s="1">
        <f>0.11/((0.125^2+(0.23+0.11)^2+0.2^2)^(1/2))</f>
        <v>0.26583312565128503</v>
      </c>
    </row>
    <row r="90" spans="1:20" ht="30" x14ac:dyDescent="0.25">
      <c r="A90" s="1" t="s">
        <v>57</v>
      </c>
      <c r="B90" s="1">
        <f>(44)/((0.125+(0.11/B87))^2+(0.23+0.44)^2+0.2^2)^(1/2)</f>
        <v>59.649023235022526</v>
      </c>
      <c r="C90" s="1">
        <f t="shared" ref="C90:K90" si="22">(44)/((0.125+(0.11/C87))^2+(0.23+0.44)^2+0.2^2)^(1/2)</f>
        <v>59.328572461313662</v>
      </c>
      <c r="D90" s="1">
        <f t="shared" si="22"/>
        <v>58.912979622031159</v>
      </c>
      <c r="E90" s="1">
        <f t="shared" si="22"/>
        <v>58.356023171185711</v>
      </c>
      <c r="F90" s="1">
        <f t="shared" si="22"/>
        <v>57.578137782013357</v>
      </c>
      <c r="G90" s="1">
        <f t="shared" si="22"/>
        <v>56.432290082024821</v>
      </c>
      <c r="H90" s="1">
        <f t="shared" si="22"/>
        <v>54.621520999749627</v>
      </c>
      <c r="I90" s="1">
        <f t="shared" si="22"/>
        <v>51.475682079163683</v>
      </c>
      <c r="J90" s="1">
        <f t="shared" si="22"/>
        <v>45.273695728826922</v>
      </c>
      <c r="K90" s="1">
        <f t="shared" si="22"/>
        <v>31.194496203785281</v>
      </c>
      <c r="L90" s="1">
        <v>0</v>
      </c>
      <c r="M90" s="1">
        <f>(44)/((0.125+(0.11/0.2658))^2+(0.23+0.44)^2+0.2^2)^(1/2)</f>
        <v>49.844033115110719</v>
      </c>
    </row>
    <row r="94" spans="1:20" ht="60" x14ac:dyDescent="0.25">
      <c r="A94" s="1" t="s">
        <v>0</v>
      </c>
      <c r="B94" s="1" t="s">
        <v>1</v>
      </c>
      <c r="C94" s="1" t="s">
        <v>2</v>
      </c>
      <c r="D94" s="1" t="s">
        <v>3</v>
      </c>
      <c r="E94" s="1" t="s">
        <v>18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" t="s">
        <v>15</v>
      </c>
      <c r="P94" s="1" t="s">
        <v>16</v>
      </c>
      <c r="Q94" s="1" t="s">
        <v>19</v>
      </c>
      <c r="R94" s="2" t="s">
        <v>20</v>
      </c>
      <c r="S94" s="1" t="s">
        <v>21</v>
      </c>
      <c r="T94" s="1" t="s">
        <v>58</v>
      </c>
    </row>
    <row r="95" spans="1:20" ht="45" x14ac:dyDescent="0.25">
      <c r="B95" s="1">
        <v>30</v>
      </c>
      <c r="C95" s="1">
        <v>970</v>
      </c>
      <c r="D95" s="1">
        <v>2.8</v>
      </c>
      <c r="E95" s="1" t="s">
        <v>13</v>
      </c>
      <c r="F95" s="1">
        <v>70.5</v>
      </c>
      <c r="G95" s="1">
        <v>42</v>
      </c>
      <c r="H95" s="1">
        <v>0.125</v>
      </c>
      <c r="I95" s="1">
        <v>0.23</v>
      </c>
      <c r="J95" s="1">
        <v>259</v>
      </c>
      <c r="K95" s="1">
        <v>72</v>
      </c>
      <c r="L95" s="1">
        <v>5.5E-2</v>
      </c>
      <c r="M95" s="1">
        <v>0.22500000000000001</v>
      </c>
      <c r="N95" s="1">
        <v>1.4</v>
      </c>
      <c r="O95" s="1">
        <v>0.11</v>
      </c>
      <c r="P95" s="1">
        <v>0.44</v>
      </c>
      <c r="Q95" s="1">
        <v>220</v>
      </c>
      <c r="R95" s="1">
        <v>104.7</v>
      </c>
      <c r="S95" s="1">
        <v>3</v>
      </c>
      <c r="T95" s="1">
        <v>31.11</v>
      </c>
    </row>
    <row r="96" spans="1:20" x14ac:dyDescent="0.25">
      <c r="E96" s="1" t="s">
        <v>14</v>
      </c>
    </row>
    <row r="97" spans="1:16" ht="60" x14ac:dyDescent="0.25">
      <c r="A97" s="1" t="s">
        <v>39</v>
      </c>
    </row>
    <row r="98" spans="1:16" x14ac:dyDescent="0.25">
      <c r="A98" s="1" t="s">
        <v>17</v>
      </c>
      <c r="B98" s="1">
        <v>1</v>
      </c>
      <c r="C98" s="1">
        <v>0.9</v>
      </c>
      <c r="D98" s="1">
        <v>0.8</v>
      </c>
      <c r="E98" s="1">
        <v>0.7</v>
      </c>
      <c r="F98" s="1">
        <v>0.6</v>
      </c>
      <c r="G98" s="1">
        <v>0.5</v>
      </c>
      <c r="H98" s="1">
        <v>0.4</v>
      </c>
      <c r="I98" s="1">
        <v>0.3</v>
      </c>
      <c r="J98" s="1">
        <v>0.2</v>
      </c>
      <c r="K98" s="1">
        <v>0.1</v>
      </c>
      <c r="L98" s="1">
        <v>0</v>
      </c>
      <c r="M98" s="1" t="s">
        <v>41</v>
      </c>
      <c r="O98" s="1" t="s">
        <v>22</v>
      </c>
      <c r="P98" s="1">
        <f>(3*220^2*0.11*3)/(2*3.14*50*((0.125+0.11)^2+(0.23+0.44)^2))</f>
        <v>302.70017577912159</v>
      </c>
    </row>
    <row r="99" spans="1:16" ht="30" x14ac:dyDescent="0.25">
      <c r="A99" s="2" t="s">
        <v>26</v>
      </c>
      <c r="B99" s="1">
        <v>0</v>
      </c>
      <c r="C99" s="1">
        <v>10.5</v>
      </c>
      <c r="D99" s="1">
        <v>21</v>
      </c>
      <c r="E99" s="1">
        <v>31</v>
      </c>
      <c r="F99" s="1">
        <v>42</v>
      </c>
      <c r="G99" s="1">
        <v>52</v>
      </c>
      <c r="H99" s="1">
        <v>63</v>
      </c>
      <c r="I99" s="1">
        <v>73</v>
      </c>
      <c r="J99" s="1">
        <v>84</v>
      </c>
      <c r="K99" s="1">
        <v>94</v>
      </c>
      <c r="L99" s="1">
        <v>104.7</v>
      </c>
      <c r="M99" s="1">
        <f>I99</f>
        <v>73</v>
      </c>
      <c r="O99" s="1" t="s">
        <v>23</v>
      </c>
      <c r="P99" s="1">
        <f>(3*220^2*3)/(4*3.14*50*(0.125+(0.125^2+(0.23+0.44)^2)^(1/2)))</f>
        <v>859.98557274326845</v>
      </c>
    </row>
    <row r="100" spans="1:16" ht="30" x14ac:dyDescent="0.25">
      <c r="A100" s="1" t="s">
        <v>37</v>
      </c>
      <c r="B100" s="1">
        <f>(3*220^2*(0.11/B98)*3)/(2*3.14*50*((0.125+(0.11/B98))^2+(0.23+0.44)^2))</f>
        <v>302.70017577912159</v>
      </c>
      <c r="C100" s="1">
        <f t="shared" ref="C100:K100" si="23">(3*220^2*(0.11/C98)*3)/(2*3.14*50*((0.125+(0.11/C98))^2+(0.23+0.44)^2))</f>
        <v>332.44682568165825</v>
      </c>
      <c r="D100" s="1">
        <f t="shared" si="23"/>
        <v>368.37795535166305</v>
      </c>
      <c r="E100" s="1">
        <f t="shared" si="23"/>
        <v>412.48114686414891</v>
      </c>
      <c r="F100" s="1">
        <f t="shared" si="23"/>
        <v>467.54686828196952</v>
      </c>
      <c r="G100" s="1">
        <f t="shared" si="23"/>
        <v>537.39041639177594</v>
      </c>
      <c r="H100" s="1">
        <f t="shared" si="23"/>
        <v>626.53443141176558</v>
      </c>
      <c r="I100" s="1">
        <f t="shared" si="23"/>
        <v>736.51292221574965</v>
      </c>
      <c r="J100" s="1">
        <f t="shared" si="23"/>
        <v>843.52962115281309</v>
      </c>
      <c r="K100" s="1">
        <f t="shared" si="23"/>
        <v>782.74823926161332</v>
      </c>
      <c r="L100" s="1">
        <v>0</v>
      </c>
      <c r="M100" s="1">
        <f>I100</f>
        <v>736.51292221574965</v>
      </c>
      <c r="O100" s="1" t="s">
        <v>29</v>
      </c>
      <c r="P100" s="1">
        <f>0.11/((0.125^2+(0.23+0.11)^2)^(1/2))</f>
        <v>0.30365776727525928</v>
      </c>
    </row>
    <row r="101" spans="1:16" ht="30" x14ac:dyDescent="0.25">
      <c r="A101" s="1" t="s">
        <v>38</v>
      </c>
      <c r="B101" s="1">
        <f>(220)/((0.125+(0.11/B98))^2+(0.23+0.44)^2)^(1/2)</f>
        <v>309.8514717409692</v>
      </c>
      <c r="C101" s="1">
        <f t="shared" ref="C101:K101" si="24">(220)/((0.125+(0.11/C98))^2+(0.23+0.44)^2)^(1/2)</f>
        <v>308.05593244208802</v>
      </c>
      <c r="D101" s="1">
        <f t="shared" si="24"/>
        <v>305.73069020573405</v>
      </c>
      <c r="E101" s="1">
        <f t="shared" si="24"/>
        <v>302.62046784099539</v>
      </c>
      <c r="F101" s="1">
        <f t="shared" si="24"/>
        <v>298.28775677649014</v>
      </c>
      <c r="G101" s="1">
        <f t="shared" si="24"/>
        <v>291.92896495432211</v>
      </c>
      <c r="H101" s="1">
        <f t="shared" si="24"/>
        <v>281.93545465448307</v>
      </c>
      <c r="I101" s="1">
        <f t="shared" si="24"/>
        <v>264.72687902345427</v>
      </c>
      <c r="J101" s="1">
        <f t="shared" si="24"/>
        <v>231.31957912215117</v>
      </c>
      <c r="K101" s="1">
        <f t="shared" si="24"/>
        <v>157.56446400116496</v>
      </c>
      <c r="L101" s="1">
        <v>0</v>
      </c>
      <c r="M101" s="1">
        <f>I101</f>
        <v>264.72687902345427</v>
      </c>
    </row>
    <row r="103" spans="1:16" ht="45" x14ac:dyDescent="0.25">
      <c r="A103" s="1" t="s">
        <v>59</v>
      </c>
    </row>
    <row r="104" spans="1:16" x14ac:dyDescent="0.25">
      <c r="A104" s="1" t="s">
        <v>17</v>
      </c>
      <c r="B104" s="1">
        <v>1</v>
      </c>
      <c r="C104" s="1">
        <v>0.9</v>
      </c>
      <c r="D104" s="1">
        <v>0.8</v>
      </c>
      <c r="E104" s="1">
        <v>0.7</v>
      </c>
      <c r="F104" s="1">
        <v>0.6</v>
      </c>
      <c r="G104" s="1">
        <v>0.5</v>
      </c>
      <c r="H104" s="1">
        <v>0.4</v>
      </c>
      <c r="I104" s="1">
        <v>0.3</v>
      </c>
      <c r="J104" s="1">
        <v>0.2</v>
      </c>
      <c r="K104" s="1">
        <v>0.1</v>
      </c>
      <c r="L104" s="1">
        <v>0</v>
      </c>
      <c r="M104" s="1" t="s">
        <v>45</v>
      </c>
      <c r="O104" s="1" t="s">
        <v>22</v>
      </c>
      <c r="P104" s="1">
        <f>(3*1244.4^2*0.11*3)/(2*3.14*40*((0.125+0.11)^2+(0.23+0.44)^2+0.8^2))</f>
        <v>5334.1114931514558</v>
      </c>
    </row>
    <row r="105" spans="1:16" ht="30" x14ac:dyDescent="0.25">
      <c r="A105" s="2" t="s">
        <v>26</v>
      </c>
      <c r="B105" s="1">
        <v>0</v>
      </c>
      <c r="C105" s="1">
        <v>8.4</v>
      </c>
      <c r="D105" s="1">
        <v>17</v>
      </c>
      <c r="E105" s="1">
        <v>25</v>
      </c>
      <c r="F105" s="1">
        <v>34</v>
      </c>
      <c r="G105" s="1">
        <v>42</v>
      </c>
      <c r="H105" s="1">
        <v>50</v>
      </c>
      <c r="I105" s="1">
        <v>59</v>
      </c>
      <c r="J105" s="1">
        <v>67</v>
      </c>
      <c r="K105" s="1">
        <v>76</v>
      </c>
      <c r="L105" s="1">
        <v>84</v>
      </c>
      <c r="M105" s="1">
        <f>84-0.125*84</f>
        <v>73.5</v>
      </c>
      <c r="O105" s="1" t="s">
        <v>23</v>
      </c>
      <c r="P105" s="1">
        <f>(3*1244.4^2*3)/(4*3.14*40*(0.125+(0.125^2+(0.23+0.44)^2+0.8^2)^(1/2)))</f>
        <v>23589.509717284149</v>
      </c>
    </row>
    <row r="106" spans="1:16" ht="30" x14ac:dyDescent="0.25">
      <c r="A106" s="1" t="s">
        <v>50</v>
      </c>
      <c r="B106" s="1">
        <f>(3*1244.4^2*(0.11/B104)*3)/(2*3.14*40*((0.125+(0.11/B104))^2+(0.23+0.44)^2+0.8^2))</f>
        <v>5334.1114931514558</v>
      </c>
      <c r="C106" s="1">
        <f t="shared" ref="C106:K106" si="25">(3*1244.4^2*(0.11/C104)*3)/(2*3.14*40*((0.125+(0.11/C104))^2+(0.23+0.44)^2+0.8^2))</f>
        <v>5896.4158460011458</v>
      </c>
      <c r="D106" s="1">
        <f t="shared" si="25"/>
        <v>6588.8510190089119</v>
      </c>
      <c r="E106" s="1">
        <f t="shared" si="25"/>
        <v>7461.1728464583657</v>
      </c>
      <c r="F106" s="1">
        <f t="shared" si="25"/>
        <v>8591.0019901535252</v>
      </c>
      <c r="G106" s="1">
        <f t="shared" si="25"/>
        <v>10104.750397751368</v>
      </c>
      <c r="H106" s="1">
        <f t="shared" si="25"/>
        <v>12216.531171634859</v>
      </c>
      <c r="I106" s="1">
        <f t="shared" si="25"/>
        <v>15288.152438625415</v>
      </c>
      <c r="J106" s="1">
        <f t="shared" si="25"/>
        <v>19756.528097965103</v>
      </c>
      <c r="K106" s="1">
        <f t="shared" si="25"/>
        <v>23567.605302524251</v>
      </c>
      <c r="L106" s="1">
        <f>0</f>
        <v>0</v>
      </c>
      <c r="M106" s="1">
        <f>(3*1244.4^2*(0.11/0.125)*3)/(2*3.14*50*((0.125+(0.11/0.125))^2+(0.23+0.44)^2+0.8^2))</f>
        <v>18608.810699502003</v>
      </c>
      <c r="O106" s="1" t="s">
        <v>29</v>
      </c>
      <c r="P106" s="1">
        <f>0.11/((0.125^2+(0.23+0.11)^2+0.8^2)^(1/2))</f>
        <v>0.12525703742240871</v>
      </c>
    </row>
    <row r="107" spans="1:16" ht="30" x14ac:dyDescent="0.25">
      <c r="A107" s="1" t="s">
        <v>51</v>
      </c>
      <c r="B107" s="1">
        <f>(1244.4)/((0.125+(0.11/B104))^2+(0.23+0.44)^2+0.8^2)^(1/2)</f>
        <v>1163.3844770730748</v>
      </c>
      <c r="C107" s="1">
        <f t="shared" ref="C107:K107" si="26">(1244.4)/((0.125+(0.11/C104))^2+(0.23+0.44)^2+0.8^2)^(1/2)</f>
        <v>1160.3994847055858</v>
      </c>
      <c r="D107" s="1">
        <f t="shared" si="26"/>
        <v>1156.4904681008454</v>
      </c>
      <c r="E107" s="1">
        <f t="shared" si="26"/>
        <v>1151.1841217384233</v>
      </c>
      <c r="F107" s="1">
        <f t="shared" si="26"/>
        <v>1143.6411017677108</v>
      </c>
      <c r="G107" s="1">
        <f t="shared" si="26"/>
        <v>1132.2439728691681</v>
      </c>
      <c r="H107" s="1">
        <f t="shared" si="26"/>
        <v>1113.5152510264761</v>
      </c>
      <c r="I107" s="1">
        <f t="shared" si="26"/>
        <v>1078.7736994949548</v>
      </c>
      <c r="J107" s="1">
        <f t="shared" si="26"/>
        <v>1001.2961154170426</v>
      </c>
      <c r="K107" s="1">
        <f t="shared" si="26"/>
        <v>773.30345109416828</v>
      </c>
      <c r="L107" s="1">
        <v>0</v>
      </c>
      <c r="M107" s="1">
        <f>(1244.4)/((0.125+(0.11/0.125))^2+(0.23+0.44)^2+0.8^2)^(1/2)</f>
        <v>858.93745727530086</v>
      </c>
    </row>
    <row r="109" spans="1:16" ht="45" x14ac:dyDescent="0.25">
      <c r="A109" s="1" t="s">
        <v>60</v>
      </c>
    </row>
    <row r="110" spans="1:16" x14ac:dyDescent="0.25">
      <c r="A110" s="1" t="s">
        <v>17</v>
      </c>
      <c r="B110" s="1">
        <v>1</v>
      </c>
      <c r="C110" s="1">
        <v>0.9</v>
      </c>
      <c r="D110" s="1">
        <v>0.8</v>
      </c>
      <c r="E110" s="1">
        <v>0.7</v>
      </c>
      <c r="F110" s="1">
        <v>0.6</v>
      </c>
      <c r="G110" s="1">
        <v>0.5</v>
      </c>
      <c r="H110" s="1">
        <v>0.4</v>
      </c>
      <c r="I110" s="1">
        <v>0.3</v>
      </c>
      <c r="J110" s="1">
        <v>0.2</v>
      </c>
      <c r="K110" s="1">
        <v>0.1</v>
      </c>
      <c r="L110" s="1">
        <v>0</v>
      </c>
      <c r="M110" s="1" t="s">
        <v>46</v>
      </c>
      <c r="O110" s="1" t="s">
        <v>22</v>
      </c>
      <c r="P110" s="1">
        <f>(3*933.3^2*0.11*3)/(2*3.14*30*((0.125+0.11)^2+(0.23+0.44)^2+0.6^2))</f>
        <v>5296.8815091293891</v>
      </c>
    </row>
    <row r="111" spans="1:16" ht="30" x14ac:dyDescent="0.25">
      <c r="A111" s="2" t="s">
        <v>26</v>
      </c>
      <c r="B111" s="1">
        <f t="shared" ref="B111" si="27">63-63*B110</f>
        <v>0</v>
      </c>
      <c r="C111" s="1">
        <f t="shared" ref="C111" si="28">63-63*C110</f>
        <v>6.2999999999999972</v>
      </c>
      <c r="D111" s="1">
        <f t="shared" ref="D111" si="29">63-63*D110</f>
        <v>12.599999999999994</v>
      </c>
      <c r="E111" s="1">
        <f t="shared" ref="E111" si="30">63-63*E110</f>
        <v>18.900000000000006</v>
      </c>
      <c r="F111" s="1">
        <f t="shared" ref="F111" si="31">63-63*F110</f>
        <v>25.200000000000003</v>
      </c>
      <c r="G111" s="1">
        <f t="shared" ref="G111" si="32">63-63*G110</f>
        <v>31.5</v>
      </c>
      <c r="H111" s="1">
        <f t="shared" ref="H111" si="33">63-63*H110</f>
        <v>37.799999999999997</v>
      </c>
      <c r="I111" s="1">
        <f t="shared" ref="I111" si="34">63-63*I110</f>
        <v>44.1</v>
      </c>
      <c r="J111" s="1">
        <f t="shared" ref="J111" si="35">63-63*J110</f>
        <v>50.4</v>
      </c>
      <c r="K111" s="1">
        <f>63-63*K110</f>
        <v>56.7</v>
      </c>
      <c r="L111" s="1">
        <v>63</v>
      </c>
      <c r="M111" s="1">
        <f>63-0.1569*63</f>
        <v>53.115299999999998</v>
      </c>
      <c r="O111" s="1" t="s">
        <v>23</v>
      </c>
      <c r="P111" s="1">
        <f>(3*933.3^2*3)/(4*3.14*30*(0.125+(0.125^2+(0.23+0.44)^2+0.6^2)^(1/2)))</f>
        <v>20140.011021778941</v>
      </c>
    </row>
    <row r="112" spans="1:16" ht="30" x14ac:dyDescent="0.25">
      <c r="A112" s="1" t="s">
        <v>52</v>
      </c>
      <c r="B112" s="1">
        <f>(3*933.3^2*(0.11/B110)*3)/(2*3.14*30*((0.125+(0.11/B110))^2+(0.23+0.44)^2+0.6^2))</f>
        <v>5296.8815091293891</v>
      </c>
      <c r="C112" s="1">
        <f t="shared" ref="C112:K112" si="36">(3*933.3^2*(0.11/C110)*3)/(2*3.14*30*((0.125+(0.11/C110))^2+(0.23+0.44)^2+0.6^2))</f>
        <v>5845.5538753685114</v>
      </c>
      <c r="D112" s="1">
        <f t="shared" si="36"/>
        <v>6517.907189195269</v>
      </c>
      <c r="E112" s="1">
        <f t="shared" si="36"/>
        <v>7359.344125800696</v>
      </c>
      <c r="F112" s="1">
        <f t="shared" si="36"/>
        <v>8439.0163152204004</v>
      </c>
      <c r="G112" s="1">
        <f t="shared" si="36"/>
        <v>9865.3829438293687</v>
      </c>
      <c r="H112" s="1">
        <f t="shared" si="36"/>
        <v>11810.217086583838</v>
      </c>
      <c r="I112" s="1">
        <f t="shared" si="36"/>
        <v>14521.893564194494</v>
      </c>
      <c r="J112" s="1">
        <f t="shared" si="36"/>
        <v>18098.36790129271</v>
      </c>
      <c r="K112" s="1">
        <f t="shared" si="36"/>
        <v>19818.654199787543</v>
      </c>
      <c r="L112" s="1">
        <v>0</v>
      </c>
      <c r="M112" s="1">
        <f>(3*933.3^2*(0.11/0.1569)*3)/(2*3.14*50*((0.125+(0.11/0.125))^2+(0.23+0.44)^2+0.8^2))</f>
        <v>8339.2734372768264</v>
      </c>
      <c r="O112" s="1" t="s">
        <v>29</v>
      </c>
      <c r="P112" s="1">
        <f>0.11/((0.125^2+(0.23+0.11)^2+0.6^2)^(1/2))</f>
        <v>0.15694679610937559</v>
      </c>
    </row>
    <row r="113" spans="1:20" ht="30" x14ac:dyDescent="0.25">
      <c r="A113" s="1" t="s">
        <v>53</v>
      </c>
      <c r="B113" s="1">
        <f>(933.3)/((0.125+(0.11/B110))^2+(0.23+0.44)^2+0.6^2)^(1/2)</f>
        <v>1003.9983079385198</v>
      </c>
      <c r="C113" s="1">
        <f t="shared" ref="C113:K113" si="37">(933.3)/((0.125+(0.11/C110))^2+(0.23+0.44)^2+0.6^2)^(1/2)</f>
        <v>1000.5918022120834</v>
      </c>
      <c r="D113" s="1">
        <f t="shared" si="37"/>
        <v>996.14355966909375</v>
      </c>
      <c r="E113" s="1">
        <f t="shared" si="37"/>
        <v>990.12819459293974</v>
      </c>
      <c r="F113" s="1">
        <f t="shared" si="37"/>
        <v>981.62224227953038</v>
      </c>
      <c r="G113" s="1">
        <f t="shared" si="37"/>
        <v>968.86848160897409</v>
      </c>
      <c r="H113" s="1">
        <f t="shared" si="37"/>
        <v>948.16034511332111</v>
      </c>
      <c r="I113" s="1">
        <f t="shared" si="37"/>
        <v>910.53177061609756</v>
      </c>
      <c r="J113" s="1">
        <f t="shared" si="37"/>
        <v>829.9607527052226</v>
      </c>
      <c r="K113" s="1">
        <f t="shared" si="37"/>
        <v>614.12946116820092</v>
      </c>
      <c r="L113" s="1">
        <v>0</v>
      </c>
      <c r="M113" s="1">
        <f>(933.3)/((0.125+(0.11/0.1569))^2+(0.23+0.44)^2+0.8^2)^(1/2)</f>
        <v>701.25100386438635</v>
      </c>
    </row>
    <row r="115" spans="1:20" ht="45" x14ac:dyDescent="0.25">
      <c r="A115" s="1" t="s">
        <v>61</v>
      </c>
    </row>
    <row r="116" spans="1:20" x14ac:dyDescent="0.25">
      <c r="A116" s="1" t="s">
        <v>17</v>
      </c>
      <c r="B116" s="1">
        <v>1</v>
      </c>
      <c r="C116" s="1">
        <v>0.9</v>
      </c>
      <c r="D116" s="1">
        <v>0.8</v>
      </c>
      <c r="E116" s="1">
        <v>0.7</v>
      </c>
      <c r="F116" s="1">
        <v>0.6</v>
      </c>
      <c r="G116" s="1">
        <v>0.5</v>
      </c>
      <c r="H116" s="1">
        <v>0.4</v>
      </c>
      <c r="I116" s="1">
        <v>0.3</v>
      </c>
      <c r="J116" s="1">
        <v>0.2</v>
      </c>
      <c r="K116" s="1">
        <v>0.1</v>
      </c>
      <c r="L116" s="1">
        <v>0</v>
      </c>
      <c r="M116" s="1" t="s">
        <v>47</v>
      </c>
      <c r="O116" s="1" t="s">
        <v>22</v>
      </c>
      <c r="P116" s="1">
        <f>(3*622.2^2*0.11*3)/(2*3.14*20*((0.125+0.11)^2+(0.23+0.44)^2+0.4^2))</f>
        <v>4594.6849705265658</v>
      </c>
    </row>
    <row r="117" spans="1:20" ht="30" x14ac:dyDescent="0.25">
      <c r="A117" s="2" t="s">
        <v>26</v>
      </c>
      <c r="B117" s="1">
        <f t="shared" ref="B117" si="38">63-63*B116</f>
        <v>0</v>
      </c>
      <c r="C117" s="1">
        <f t="shared" ref="C117" si="39">42-42*C116</f>
        <v>4.1999999999999957</v>
      </c>
      <c r="D117" s="1">
        <f t="shared" ref="D117" si="40">42-42*D116</f>
        <v>8.3999999999999986</v>
      </c>
      <c r="E117" s="1">
        <f t="shared" ref="E117" si="41">42-42*E116</f>
        <v>12.600000000000001</v>
      </c>
      <c r="F117" s="1">
        <f t="shared" ref="F117" si="42">42-42*F116</f>
        <v>16.8</v>
      </c>
      <c r="G117" s="1">
        <f t="shared" ref="G117" si="43">42-42*G116</f>
        <v>21</v>
      </c>
      <c r="H117" s="1">
        <f t="shared" ref="H117" si="44">42-42*H116</f>
        <v>25.2</v>
      </c>
      <c r="I117" s="1">
        <f t="shared" ref="I117" si="45">42-42*I116</f>
        <v>29.4</v>
      </c>
      <c r="J117" s="1">
        <f t="shared" ref="J117" si="46">42-42*J116</f>
        <v>33.6</v>
      </c>
      <c r="K117" s="1">
        <f>42-42*K116</f>
        <v>37.799999999999997</v>
      </c>
      <c r="L117" s="1">
        <v>42</v>
      </c>
      <c r="M117" s="1">
        <f>42-0.2*42</f>
        <v>33.6</v>
      </c>
      <c r="O117" s="1" t="s">
        <v>23</v>
      </c>
      <c r="P117" s="1">
        <f>(3*622.2^2*3)/(4*3.14*20*(0.125+(0.125^2+(0.23+0.44)^2+0.4^2)^(1/2)))</f>
        <v>15154.240054384894</v>
      </c>
    </row>
    <row r="118" spans="1:20" ht="30" x14ac:dyDescent="0.25">
      <c r="A118" s="1" t="s">
        <v>54</v>
      </c>
      <c r="B118" s="1">
        <f>(3*622.2^2*(0.11/B116)*3)/(2*3.14*20*((0.125+(0.11/B116))^2+(0.23+0.44)^2+0.4^2))</f>
        <v>4594.6849705265658</v>
      </c>
      <c r="C118" s="1">
        <f t="shared" ref="C118:K118" si="47">(3*622.2^2*(0.11/C116)*3)/(2*3.14*20*((0.125+(0.11/C116))^2+(0.23+0.44)^2+0.4^2))</f>
        <v>5060.2975325382131</v>
      </c>
      <c r="D118" s="1">
        <f t="shared" si="47"/>
        <v>5627.4288486771757</v>
      </c>
      <c r="E118" s="1">
        <f t="shared" si="47"/>
        <v>6331.413642656983</v>
      </c>
      <c r="F118" s="1">
        <f t="shared" si="47"/>
        <v>7224.3787949704792</v>
      </c>
      <c r="G118" s="1">
        <f t="shared" si="47"/>
        <v>8383.954819661245</v>
      </c>
      <c r="H118" s="1">
        <f t="shared" si="47"/>
        <v>9921.4629862496931</v>
      </c>
      <c r="I118" s="1">
        <f t="shared" si="47"/>
        <v>11957.503003507658</v>
      </c>
      <c r="J118" s="1">
        <f t="shared" si="47"/>
        <v>14332.425993053028</v>
      </c>
      <c r="K118" s="1">
        <f t="shared" si="47"/>
        <v>14465.081741391812</v>
      </c>
      <c r="L118" s="1">
        <v>0</v>
      </c>
      <c r="M118" s="1">
        <f>J118</f>
        <v>14332.425993053028</v>
      </c>
      <c r="O118" s="1" t="s">
        <v>29</v>
      </c>
      <c r="P118" s="1">
        <f>0.11/((0.125^2+(0.23+0.11)^2+0.4^2)^(1/2))</f>
        <v>0.20383481249226848</v>
      </c>
    </row>
    <row r="119" spans="1:20" ht="30" x14ac:dyDescent="0.25">
      <c r="A119" s="1" t="s">
        <v>55</v>
      </c>
      <c r="B119" s="1">
        <f>(622.2)/((0.125+(0.11/B116))^2+(0.23+0.44)^2+0.4^2)^(1/2)</f>
        <v>763.49305745762786</v>
      </c>
      <c r="C119" s="1">
        <f t="shared" ref="C119:K119" si="48">(622.2)/((0.125+(0.11/C116))^2+(0.23+0.44)^2+0.4^2)^(1/2)</f>
        <v>760.12760297609339</v>
      </c>
      <c r="D119" s="1">
        <f t="shared" si="48"/>
        <v>755.74837530947548</v>
      </c>
      <c r="E119" s="1">
        <f t="shared" si="48"/>
        <v>749.85378201784545</v>
      </c>
      <c r="F119" s="1">
        <f t="shared" si="48"/>
        <v>741.57162209454498</v>
      </c>
      <c r="G119" s="1">
        <f t="shared" si="48"/>
        <v>729.26721396783648</v>
      </c>
      <c r="H119" s="1">
        <f t="shared" si="48"/>
        <v>709.56972339066988</v>
      </c>
      <c r="I119" s="1">
        <f t="shared" si="48"/>
        <v>674.61827079098498</v>
      </c>
      <c r="J119" s="1">
        <f t="shared" si="48"/>
        <v>603.04826761732318</v>
      </c>
      <c r="K119" s="1">
        <f t="shared" si="48"/>
        <v>428.38836655289765</v>
      </c>
      <c r="L119" s="1">
        <v>0</v>
      </c>
      <c r="M119" s="1">
        <f>J119</f>
        <v>603.04826761732318</v>
      </c>
    </row>
    <row r="121" spans="1:20" ht="45" x14ac:dyDescent="0.25">
      <c r="A121" s="1" t="s">
        <v>62</v>
      </c>
    </row>
    <row r="122" spans="1:20" x14ac:dyDescent="0.25">
      <c r="A122" s="1" t="s">
        <v>17</v>
      </c>
      <c r="B122" s="1">
        <v>1</v>
      </c>
      <c r="C122" s="1">
        <v>0.9</v>
      </c>
      <c r="D122" s="1">
        <v>0.8</v>
      </c>
      <c r="E122" s="1">
        <v>0.7</v>
      </c>
      <c r="F122" s="1">
        <v>0.6</v>
      </c>
      <c r="G122" s="1">
        <v>0.5</v>
      </c>
      <c r="H122" s="1">
        <v>0.4</v>
      </c>
      <c r="I122" s="1">
        <v>0.3</v>
      </c>
      <c r="J122" s="1">
        <v>0.2</v>
      </c>
      <c r="K122" s="1">
        <v>0.1</v>
      </c>
      <c r="L122" s="1">
        <v>0</v>
      </c>
      <c r="M122" s="1" t="s">
        <v>49</v>
      </c>
      <c r="O122" s="1" t="s">
        <v>22</v>
      </c>
      <c r="P122" s="1">
        <f>(3*311.1^2*0.11*3)/(2*3.14*10*((0.125+0.11)^2+(0.23+0.44)^2+0.2^2))</f>
        <v>2803.9927921442272</v>
      </c>
    </row>
    <row r="123" spans="1:20" ht="30" x14ac:dyDescent="0.25">
      <c r="A123" s="2" t="s">
        <v>26</v>
      </c>
      <c r="B123" s="1">
        <f t="shared" ref="B123" si="49">21-21*B122</f>
        <v>0</v>
      </c>
      <c r="C123" s="1">
        <f t="shared" ref="C123" si="50">21-21*C122</f>
        <v>2.0999999999999979</v>
      </c>
      <c r="D123" s="1">
        <f t="shared" ref="D123" si="51">21-21*D122</f>
        <v>4.1999999999999993</v>
      </c>
      <c r="E123" s="1">
        <f t="shared" ref="E123" si="52">21-21*E122</f>
        <v>6.3000000000000007</v>
      </c>
      <c r="F123" s="1">
        <f t="shared" ref="F123" si="53">21-21*F122</f>
        <v>8.4</v>
      </c>
      <c r="G123" s="1">
        <f t="shared" ref="G123" si="54">21-21*G122</f>
        <v>10.5</v>
      </c>
      <c r="H123" s="1">
        <f t="shared" ref="H123" si="55">21-21*H122</f>
        <v>12.6</v>
      </c>
      <c r="I123" s="1">
        <f t="shared" ref="I123" si="56">21-21*I122</f>
        <v>14.7</v>
      </c>
      <c r="J123" s="1">
        <f t="shared" ref="J123" si="57">21-21*J122</f>
        <v>16.8</v>
      </c>
      <c r="K123" s="1">
        <f>21-21*K122</f>
        <v>18.899999999999999</v>
      </c>
      <c r="L123" s="1">
        <v>21</v>
      </c>
      <c r="M123" s="1">
        <f>42-0.2658*42</f>
        <v>30.836400000000001</v>
      </c>
      <c r="O123" s="1" t="s">
        <v>23</v>
      </c>
      <c r="P123" s="1">
        <f>(3*311.1^2*3)/(4*3.14*10*(0.125+(0.125^2+(0.23+0.44)^2+0.2^2)^(1/2)))</f>
        <v>8302.5368104564768</v>
      </c>
    </row>
    <row r="124" spans="1:20" ht="30" x14ac:dyDescent="0.25">
      <c r="A124" s="1" t="s">
        <v>56</v>
      </c>
      <c r="B124" s="1">
        <f>(3*311.1^2*(0.11/B122)*3)/(2*3.14*10*((0.125+(0.11/B122))^2+(0.23+0.44)^2+0.2^2))</f>
        <v>2803.9927921442272</v>
      </c>
      <c r="C124" s="1">
        <f t="shared" ref="C124:K124" si="58">(3*311.1^2*(0.11/C122)*3)/(2*3.14*10*((0.125+(0.11/C122))^2+(0.23+0.44)^2+0.2^2))</f>
        <v>3082.1623282770447</v>
      </c>
      <c r="D124" s="1">
        <f t="shared" si="58"/>
        <v>3419.0244776422765</v>
      </c>
      <c r="E124" s="1">
        <f t="shared" si="58"/>
        <v>3833.9244998033132</v>
      </c>
      <c r="F124" s="1">
        <f t="shared" si="58"/>
        <v>4354.4589319993274</v>
      </c>
      <c r="G124" s="1">
        <f t="shared" si="58"/>
        <v>5019.4434445876641</v>
      </c>
      <c r="H124" s="1">
        <f t="shared" si="58"/>
        <v>5878.111334664346</v>
      </c>
      <c r="I124" s="1">
        <f t="shared" si="58"/>
        <v>6960.7043087666125</v>
      </c>
      <c r="J124" s="1">
        <f t="shared" si="58"/>
        <v>8076.6659327465004</v>
      </c>
      <c r="K124" s="1">
        <f t="shared" si="58"/>
        <v>7668.7781155073599</v>
      </c>
      <c r="L124" s="1">
        <v>0</v>
      </c>
      <c r="M124" s="1">
        <f>(3*311.1^2*(0.11/0.2658)*3)/(2*3.14*50*((0.125+(0.11/0.2658))^2+(0.23+0.44)^2+0.2^2))</f>
        <v>1473.2335175256064</v>
      </c>
      <c r="O124" s="1" t="s">
        <v>29</v>
      </c>
      <c r="P124" s="1">
        <f>0.11/((0.125^2+(0.23+0.11)^2+0.2^2)^(1/2))</f>
        <v>0.26583312565128503</v>
      </c>
    </row>
    <row r="125" spans="1:20" ht="30" x14ac:dyDescent="0.25">
      <c r="A125" s="1" t="s">
        <v>57</v>
      </c>
      <c r="B125" s="1">
        <f>(311.1)/((0.125+(0.11/B122))^2+(0.23+0.44)^2+0.2^2)^(1/2)</f>
        <v>421.74570746398882</v>
      </c>
      <c r="C125" s="1">
        <f t="shared" ref="C125:K125" si="59">(311.1)/((0.125+(0.11/C122))^2+(0.23+0.44)^2+0.2^2)^(1/2)</f>
        <v>419.47997483442458</v>
      </c>
      <c r="D125" s="1">
        <f t="shared" si="59"/>
        <v>416.54154455486122</v>
      </c>
      <c r="E125" s="1">
        <f t="shared" si="59"/>
        <v>412.60360928536079</v>
      </c>
      <c r="F125" s="1">
        <f t="shared" si="59"/>
        <v>407.10360599964451</v>
      </c>
      <c r="G125" s="1">
        <f t="shared" si="59"/>
        <v>399.0019419208619</v>
      </c>
      <c r="H125" s="1">
        <f t="shared" si="59"/>
        <v>386.19898143232069</v>
      </c>
      <c r="I125" s="1">
        <f t="shared" si="59"/>
        <v>363.95647033699595</v>
      </c>
      <c r="J125" s="1">
        <f t="shared" si="59"/>
        <v>320.1056077554104</v>
      </c>
      <c r="K125" s="1">
        <f t="shared" si="59"/>
        <v>220.55926747721821</v>
      </c>
      <c r="L125" s="1">
        <v>0</v>
      </c>
      <c r="M125" s="1">
        <f>(311.1)/((0.125+(0.11/0.2658))^2+(0.23+0.44)^2+0.2^2)^(1/2)</f>
        <v>352.41997050252149</v>
      </c>
    </row>
    <row r="128" spans="1:20" ht="60" x14ac:dyDescent="0.25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18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15</v>
      </c>
      <c r="P128" s="1" t="s">
        <v>16</v>
      </c>
      <c r="Q128" s="1" t="s">
        <v>19</v>
      </c>
      <c r="R128" s="2" t="s">
        <v>20</v>
      </c>
      <c r="S128" s="1" t="s">
        <v>21</v>
      </c>
      <c r="T128" s="1" t="s">
        <v>63</v>
      </c>
    </row>
    <row r="129" spans="1:20" ht="45" x14ac:dyDescent="0.25">
      <c r="B129" s="1">
        <v>30</v>
      </c>
      <c r="C129" s="1">
        <v>970</v>
      </c>
      <c r="D129" s="1">
        <v>2.8</v>
      </c>
      <c r="E129" s="1" t="s">
        <v>13</v>
      </c>
      <c r="F129" s="1">
        <v>70.5</v>
      </c>
      <c r="G129" s="1">
        <v>42</v>
      </c>
      <c r="H129" s="1">
        <v>0.125</v>
      </c>
      <c r="I129" s="1">
        <v>0.23</v>
      </c>
      <c r="J129" s="1">
        <v>259</v>
      </c>
      <c r="K129" s="1">
        <v>72</v>
      </c>
      <c r="L129" s="1">
        <v>5.5E-2</v>
      </c>
      <c r="M129" s="1">
        <v>0.22500000000000001</v>
      </c>
      <c r="N129" s="1">
        <v>1.4</v>
      </c>
      <c r="O129" s="1">
        <v>0.11</v>
      </c>
      <c r="P129" s="1">
        <v>0.44</v>
      </c>
      <c r="Q129" s="1">
        <v>220</v>
      </c>
      <c r="R129" s="1">
        <v>104.7</v>
      </c>
      <c r="S129" s="1">
        <v>3</v>
      </c>
      <c r="T129" s="1">
        <v>8.7999999999999995E-2</v>
      </c>
    </row>
    <row r="130" spans="1:20" x14ac:dyDescent="0.25">
      <c r="E130" s="1" t="s">
        <v>14</v>
      </c>
    </row>
    <row r="131" spans="1:20" ht="60" x14ac:dyDescent="0.25">
      <c r="A131" s="1" t="s">
        <v>39</v>
      </c>
    </row>
    <row r="132" spans="1:20" x14ac:dyDescent="0.25">
      <c r="A132" s="1" t="s">
        <v>17</v>
      </c>
      <c r="B132" s="1">
        <v>1</v>
      </c>
      <c r="C132" s="1">
        <v>0.9</v>
      </c>
      <c r="D132" s="1">
        <v>0.8</v>
      </c>
      <c r="E132" s="1">
        <v>0.7</v>
      </c>
      <c r="F132" s="1">
        <v>0.6</v>
      </c>
      <c r="G132" s="1">
        <v>0.5</v>
      </c>
      <c r="H132" s="1">
        <v>0.4</v>
      </c>
      <c r="I132" s="1">
        <v>0.3</v>
      </c>
      <c r="J132" s="1">
        <v>0.2</v>
      </c>
      <c r="K132" s="1">
        <v>0.1</v>
      </c>
      <c r="L132" s="1">
        <v>0</v>
      </c>
      <c r="M132" s="1" t="s">
        <v>41</v>
      </c>
      <c r="O132" s="1" t="s">
        <v>22</v>
      </c>
      <c r="P132" s="1">
        <f>(3*220^2*0.11*3)/(2*3.14*50*((0.125+0.11)^2+(0.23+0.44)^2))</f>
        <v>302.70017577912159</v>
      </c>
    </row>
    <row r="133" spans="1:20" ht="30" x14ac:dyDescent="0.25">
      <c r="A133" s="2" t="s">
        <v>26</v>
      </c>
      <c r="B133" s="1">
        <v>0</v>
      </c>
      <c r="C133" s="1">
        <v>10.5</v>
      </c>
      <c r="D133" s="1">
        <v>21</v>
      </c>
      <c r="E133" s="1">
        <v>31</v>
      </c>
      <c r="F133" s="1">
        <v>42</v>
      </c>
      <c r="G133" s="1">
        <v>52</v>
      </c>
      <c r="H133" s="1">
        <v>63</v>
      </c>
      <c r="I133" s="1">
        <v>73</v>
      </c>
      <c r="J133" s="1">
        <v>84</v>
      </c>
      <c r="K133" s="1">
        <v>94</v>
      </c>
      <c r="L133" s="1">
        <v>104.7</v>
      </c>
      <c r="M133" s="1">
        <f>I133</f>
        <v>73</v>
      </c>
      <c r="O133" s="1" t="s">
        <v>23</v>
      </c>
      <c r="P133" s="1">
        <f>(3*220^2*3)/(4*3.14*50*(0.125+(0.125^2+(0.23+0.44)^2)^(1/2)))</f>
        <v>859.98557274326845</v>
      </c>
    </row>
    <row r="134" spans="1:20" ht="30" x14ac:dyDescent="0.25">
      <c r="A134" s="1" t="s">
        <v>37</v>
      </c>
      <c r="B134" s="1">
        <f>(3*220^2*(0.11/B132)*3)/(2*3.14*50*((0.125+(0.11/B132))^2+(0.23+0.44)^2))</f>
        <v>302.70017577912159</v>
      </c>
      <c r="C134" s="1">
        <f t="shared" ref="C134:K134" si="60">(3*220^2*(0.11/C132)*3)/(2*3.14*50*((0.125+(0.11/C132))^2+(0.23+0.44)^2))</f>
        <v>332.44682568165825</v>
      </c>
      <c r="D134" s="1">
        <f t="shared" si="60"/>
        <v>368.37795535166305</v>
      </c>
      <c r="E134" s="1">
        <f t="shared" si="60"/>
        <v>412.48114686414891</v>
      </c>
      <c r="F134" s="1">
        <f t="shared" si="60"/>
        <v>467.54686828196952</v>
      </c>
      <c r="G134" s="1">
        <f t="shared" si="60"/>
        <v>537.39041639177594</v>
      </c>
      <c r="H134" s="1">
        <f t="shared" si="60"/>
        <v>626.53443141176558</v>
      </c>
      <c r="I134" s="1">
        <f t="shared" si="60"/>
        <v>736.51292221574965</v>
      </c>
      <c r="J134" s="1">
        <f t="shared" si="60"/>
        <v>843.52962115281309</v>
      </c>
      <c r="K134" s="1">
        <f t="shared" si="60"/>
        <v>782.74823926161332</v>
      </c>
      <c r="L134" s="1">
        <v>0</v>
      </c>
      <c r="M134" s="1">
        <f>I134</f>
        <v>736.51292221574965</v>
      </c>
      <c r="O134" s="1" t="s">
        <v>29</v>
      </c>
      <c r="P134" s="1">
        <f>0.11/((0.125^2+(0.23+0.11)^2)^(1/2))</f>
        <v>0.30365776727525928</v>
      </c>
    </row>
    <row r="135" spans="1:20" ht="30" x14ac:dyDescent="0.25">
      <c r="A135" s="1" t="s">
        <v>38</v>
      </c>
      <c r="B135" s="1">
        <f>(220)/((0.125+(0.11/B132))^2+(0.23+0.44)^2)^(1/2)</f>
        <v>309.8514717409692</v>
      </c>
      <c r="C135" s="1">
        <f t="shared" ref="C135:K135" si="61">(220)/((0.125+(0.11/C132))^2+(0.23+0.44)^2)^(1/2)</f>
        <v>308.05593244208802</v>
      </c>
      <c r="D135" s="1">
        <f t="shared" si="61"/>
        <v>305.73069020573405</v>
      </c>
      <c r="E135" s="1">
        <f t="shared" si="61"/>
        <v>302.62046784099539</v>
      </c>
      <c r="F135" s="1">
        <f t="shared" si="61"/>
        <v>298.28775677649014</v>
      </c>
      <c r="G135" s="1">
        <f t="shared" si="61"/>
        <v>291.92896495432211</v>
      </c>
      <c r="H135" s="1">
        <f t="shared" si="61"/>
        <v>281.93545465448307</v>
      </c>
      <c r="I135" s="1">
        <f t="shared" si="61"/>
        <v>264.72687902345427</v>
      </c>
      <c r="J135" s="1">
        <f t="shared" si="61"/>
        <v>231.31957912215117</v>
      </c>
      <c r="K135" s="1">
        <f t="shared" si="61"/>
        <v>157.56446400116496</v>
      </c>
      <c r="L135" s="1">
        <v>0</v>
      </c>
      <c r="M135" s="1">
        <f>I135</f>
        <v>264.72687902345427</v>
      </c>
    </row>
    <row r="137" spans="1:20" ht="45" x14ac:dyDescent="0.25">
      <c r="A137" s="1" t="s">
        <v>64</v>
      </c>
    </row>
    <row r="138" spans="1:20" x14ac:dyDescent="0.25">
      <c r="A138" s="1" t="s">
        <v>17</v>
      </c>
      <c r="B138" s="1">
        <v>1</v>
      </c>
      <c r="C138" s="1">
        <v>0.9</v>
      </c>
      <c r="D138" s="1">
        <v>0.8</v>
      </c>
      <c r="E138" s="1">
        <v>0.7</v>
      </c>
      <c r="F138" s="1">
        <v>0.6</v>
      </c>
      <c r="G138" s="1">
        <v>0.5</v>
      </c>
      <c r="H138" s="1">
        <v>0.4</v>
      </c>
      <c r="I138" s="1">
        <v>0.3</v>
      </c>
      <c r="J138" s="1">
        <v>0.2</v>
      </c>
      <c r="K138" s="1">
        <v>0.1</v>
      </c>
      <c r="L138" s="1">
        <v>0</v>
      </c>
      <c r="M138" s="1" t="s">
        <v>45</v>
      </c>
      <c r="O138" s="1" t="s">
        <v>22</v>
      </c>
      <c r="P138" s="1">
        <f>(3*3.52^2*0.11*3)/(2*3.14*40*((0.125+0.11)^2+(0.23+0.44)^2+0.8^2))</f>
        <v>4.2680294859991592E-2</v>
      </c>
    </row>
    <row r="139" spans="1:20" ht="30" x14ac:dyDescent="0.25">
      <c r="A139" s="2" t="s">
        <v>26</v>
      </c>
      <c r="B139" s="1">
        <v>0</v>
      </c>
      <c r="C139" s="1">
        <v>8.4</v>
      </c>
      <c r="D139" s="1">
        <v>17</v>
      </c>
      <c r="E139" s="1">
        <v>25</v>
      </c>
      <c r="F139" s="1">
        <v>34</v>
      </c>
      <c r="G139" s="1">
        <v>42</v>
      </c>
      <c r="H139" s="1">
        <v>50</v>
      </c>
      <c r="I139" s="1">
        <v>59</v>
      </c>
      <c r="J139" s="1">
        <v>67</v>
      </c>
      <c r="K139" s="1">
        <v>76</v>
      </c>
      <c r="L139" s="1">
        <v>84</v>
      </c>
      <c r="M139" s="1">
        <f>84-0.125*84</f>
        <v>73.5</v>
      </c>
      <c r="O139" s="1" t="s">
        <v>23</v>
      </c>
      <c r="P139" s="1">
        <f>(3*3.52^2*3)/(4*3.14*40*(0.125+(0.125^2+(0.23+0.44)^2+0.8^2)^(1/2)))</f>
        <v>0.1887488162984555</v>
      </c>
    </row>
    <row r="140" spans="1:20" ht="30" x14ac:dyDescent="0.25">
      <c r="A140" s="1" t="s">
        <v>50</v>
      </c>
      <c r="B140" s="1">
        <f>(3*3.52^2*(0.11/B138)*3)/(2*3.14*40*((0.125+(0.11/B138))^2+(0.23+0.44)^2+0.8^2))</f>
        <v>4.2680294859991592E-2</v>
      </c>
      <c r="C140" s="1">
        <f t="shared" ref="C140:K140" si="62">(3*3.52^2*(0.11/C138)*3)/(2*3.14*40*((0.125+(0.11/C138))^2+(0.23+0.44)^2+0.8^2))</f>
        <v>4.7179510073527074E-2</v>
      </c>
      <c r="D140" s="1">
        <f t="shared" si="62"/>
        <v>5.2719952449608774E-2</v>
      </c>
      <c r="E140" s="1">
        <f t="shared" si="62"/>
        <v>5.9699737715843033E-2</v>
      </c>
      <c r="F140" s="1">
        <f t="shared" si="62"/>
        <v>6.8739938892033933E-2</v>
      </c>
      <c r="G140" s="1">
        <f t="shared" si="62"/>
        <v>8.0852026999503918E-2</v>
      </c>
      <c r="H140" s="1">
        <f t="shared" si="62"/>
        <v>9.7749204012907126E-2</v>
      </c>
      <c r="I140" s="1">
        <f t="shared" si="62"/>
        <v>0.12232643708006292</v>
      </c>
      <c r="J140" s="1">
        <f t="shared" si="62"/>
        <v>0.15807964376325367</v>
      </c>
      <c r="K140" s="1">
        <f t="shared" si="62"/>
        <v>0.1885735505804651</v>
      </c>
      <c r="L140" s="1">
        <f>0</f>
        <v>0</v>
      </c>
      <c r="M140" s="1">
        <f>(3*3.52^2*(0.11/0.125)*3)/(2*3.14*50*((0.125+(0.11/0.125))^2+(0.23+0.44)^2+0.8^2))</f>
        <v>0.1488963117228117</v>
      </c>
      <c r="O140" s="1" t="s">
        <v>29</v>
      </c>
      <c r="P140" s="1">
        <f>0.11/((0.125^2+(0.23+0.11)^2+0.8^2)^(1/2))</f>
        <v>0.12525703742240871</v>
      </c>
    </row>
    <row r="141" spans="1:20" ht="30" x14ac:dyDescent="0.25">
      <c r="A141" s="1" t="s">
        <v>51</v>
      </c>
      <c r="B141" s="1">
        <f>(3.52)/((0.125+(0.11/B138))^2+(0.23+0.44)^2+0.8^2)^(1/2)</f>
        <v>3.2908336220646279</v>
      </c>
      <c r="C141" s="1">
        <f t="shared" ref="C141:K141" si="63">(3.52)/((0.125+(0.11/C138))^2+(0.23+0.44)^2+0.8^2)^(1/2)</f>
        <v>3.2823900563835275</v>
      </c>
      <c r="D141" s="1">
        <f t="shared" si="63"/>
        <v>3.2713327287969909</v>
      </c>
      <c r="E141" s="1">
        <f t="shared" si="63"/>
        <v>3.2563228130177193</v>
      </c>
      <c r="F141" s="1">
        <f t="shared" si="63"/>
        <v>3.2349860802172468</v>
      </c>
      <c r="G141" s="1">
        <f t="shared" si="63"/>
        <v>3.2027473356633487</v>
      </c>
      <c r="H141" s="1">
        <f t="shared" si="63"/>
        <v>3.1497699161147508</v>
      </c>
      <c r="I141" s="1">
        <f t="shared" si="63"/>
        <v>3.0514974463373843</v>
      </c>
      <c r="J141" s="1">
        <f t="shared" si="63"/>
        <v>2.8323387385631547</v>
      </c>
      <c r="K141" s="1">
        <f t="shared" si="63"/>
        <v>2.1874221696009903</v>
      </c>
      <c r="L141" s="1">
        <v>0</v>
      </c>
      <c r="M141" s="1">
        <f>(3.52)/((0.125+(0.11/0.125))^2+(0.23+0.44)^2+0.8^2)^(1/2)</f>
        <v>2.4296527238902752</v>
      </c>
    </row>
    <row r="143" spans="1:20" ht="45" x14ac:dyDescent="0.25">
      <c r="A143" s="1" t="s">
        <v>65</v>
      </c>
    </row>
    <row r="144" spans="1:20" x14ac:dyDescent="0.25">
      <c r="A144" s="1" t="s">
        <v>17</v>
      </c>
      <c r="B144" s="1">
        <v>1</v>
      </c>
      <c r="C144" s="1">
        <v>0.9</v>
      </c>
      <c r="D144" s="1">
        <v>0.8</v>
      </c>
      <c r="E144" s="1">
        <v>0.7</v>
      </c>
      <c r="F144" s="1">
        <v>0.6</v>
      </c>
      <c r="G144" s="1">
        <v>0.5</v>
      </c>
      <c r="H144" s="1">
        <v>0.4</v>
      </c>
      <c r="I144" s="1">
        <v>0.3</v>
      </c>
      <c r="J144" s="1">
        <v>0.2</v>
      </c>
      <c r="K144" s="1">
        <v>0.1</v>
      </c>
      <c r="L144" s="1">
        <v>0</v>
      </c>
      <c r="M144" s="1" t="s">
        <v>46</v>
      </c>
      <c r="O144" s="1" t="s">
        <v>22</v>
      </c>
      <c r="P144" s="1">
        <f>(3*2.64^2*0.11*3)/(2*3.14*30*((0.125+0.11)^2+(0.23+0.44)^2+0.6^2))</f>
        <v>4.238240331840408E-2</v>
      </c>
    </row>
    <row r="145" spans="1:16" ht="30" x14ac:dyDescent="0.25">
      <c r="A145" s="2" t="s">
        <v>26</v>
      </c>
      <c r="B145" s="1">
        <f t="shared" ref="B145" si="64">63-63*B144</f>
        <v>0</v>
      </c>
      <c r="C145" s="1">
        <f t="shared" ref="C145" si="65">63-63*C144</f>
        <v>6.2999999999999972</v>
      </c>
      <c r="D145" s="1">
        <f t="shared" ref="D145" si="66">63-63*D144</f>
        <v>12.599999999999994</v>
      </c>
      <c r="E145" s="1">
        <f t="shared" ref="E145" si="67">63-63*E144</f>
        <v>18.900000000000006</v>
      </c>
      <c r="F145" s="1">
        <f t="shared" ref="F145" si="68">63-63*F144</f>
        <v>25.200000000000003</v>
      </c>
      <c r="G145" s="1">
        <f t="shared" ref="G145" si="69">63-63*G144</f>
        <v>31.5</v>
      </c>
      <c r="H145" s="1">
        <f t="shared" ref="H145" si="70">63-63*H144</f>
        <v>37.799999999999997</v>
      </c>
      <c r="I145" s="1">
        <f t="shared" ref="I145" si="71">63-63*I144</f>
        <v>44.1</v>
      </c>
      <c r="J145" s="1">
        <f t="shared" ref="J145" si="72">63-63*J144</f>
        <v>50.4</v>
      </c>
      <c r="K145" s="1">
        <f>63-63*K144</f>
        <v>56.7</v>
      </c>
      <c r="L145" s="1">
        <v>63</v>
      </c>
      <c r="M145" s="1">
        <f>63-0.1569*63</f>
        <v>53.115299999999998</v>
      </c>
      <c r="O145" s="1" t="s">
        <v>23</v>
      </c>
      <c r="P145" s="1">
        <f>(3*2.64^2*3)/(4*3.14*30*(0.125+(0.125^2+(0.23+0.44)^2+0.6^2)^(1/2)))</f>
        <v>0.16114803936825009</v>
      </c>
    </row>
    <row r="146" spans="1:16" ht="30" x14ac:dyDescent="0.25">
      <c r="A146" s="1" t="s">
        <v>52</v>
      </c>
      <c r="B146" s="1">
        <f>(3*2.64^2*(0.11/B144)*3)/(2*3.14*30*((0.125+(0.11/B144))^2+(0.23+0.44)^2+0.6^2))</f>
        <v>4.238240331840408E-2</v>
      </c>
      <c r="C146" s="1">
        <f t="shared" ref="C146:K146" si="73">(3*2.64^2*(0.11/C144)*3)/(2*3.14*30*((0.125+(0.11/C144))^2+(0.23+0.44)^2+0.6^2))</f>
        <v>4.6772543719983829E-2</v>
      </c>
      <c r="D146" s="1">
        <f t="shared" si="73"/>
        <v>5.2152303352129135E-2</v>
      </c>
      <c r="E146" s="1">
        <f t="shared" si="73"/>
        <v>5.8884966628199864E-2</v>
      </c>
      <c r="F146" s="1">
        <f t="shared" si="73"/>
        <v>6.7523842560157685E-2</v>
      </c>
      <c r="G146" s="1">
        <f t="shared" si="73"/>
        <v>7.8936755163436553E-2</v>
      </c>
      <c r="H146" s="1">
        <f t="shared" si="73"/>
        <v>9.449812743192261E-2</v>
      </c>
      <c r="I146" s="1">
        <f t="shared" si="73"/>
        <v>0.11619530263681289</v>
      </c>
      <c r="J146" s="1">
        <f t="shared" si="73"/>
        <v>0.14481206092214835</v>
      </c>
      <c r="K146" s="1">
        <f t="shared" si="73"/>
        <v>0.15857673879917267</v>
      </c>
      <c r="L146" s="1">
        <v>0</v>
      </c>
      <c r="M146" s="1">
        <f>(3*2.64^2*(0.11/0.1569)*3)/(2*3.14*50*((0.125+(0.11/0.125))^2+(0.23+0.44)^2+0.8^2))</f>
        <v>6.6725761109051623E-2</v>
      </c>
      <c r="O146" s="1" t="s">
        <v>29</v>
      </c>
      <c r="P146" s="1">
        <f>0.11/((0.125^2+(0.23+0.11)^2+0.6^2)^(1/2))</f>
        <v>0.15694679610937559</v>
      </c>
    </row>
    <row r="147" spans="1:16" ht="30" x14ac:dyDescent="0.25">
      <c r="A147" s="1" t="s">
        <v>53</v>
      </c>
      <c r="B147" s="1">
        <f>(2.64)/((0.125+(0.11/B144))^2+(0.23+0.44)^2+0.6^2)^(1/2)</f>
        <v>2.8399823561102457</v>
      </c>
      <c r="C147" s="1">
        <f t="shared" ref="C147:K147" si="74">(2.64)/((0.125+(0.11/C144))^2+(0.23+0.44)^2+0.6^2)^(1/2)</f>
        <v>2.8303464672022933</v>
      </c>
      <c r="D147" s="1">
        <f t="shared" si="74"/>
        <v>2.8177638460585102</v>
      </c>
      <c r="E147" s="1">
        <f t="shared" si="74"/>
        <v>2.8007483485753362</v>
      </c>
      <c r="F147" s="1">
        <f t="shared" si="74"/>
        <v>2.7766877955833711</v>
      </c>
      <c r="G147" s="1">
        <f t="shared" si="74"/>
        <v>2.7406115841076737</v>
      </c>
      <c r="H147" s="1">
        <f t="shared" si="74"/>
        <v>2.6820350488579963</v>
      </c>
      <c r="I147" s="1">
        <f t="shared" si="74"/>
        <v>2.5755961367475599</v>
      </c>
      <c r="J147" s="1">
        <f t="shared" si="74"/>
        <v>2.3476871179061263</v>
      </c>
      <c r="K147" s="1">
        <f t="shared" si="74"/>
        <v>1.7371710891289516</v>
      </c>
      <c r="L147" s="1">
        <v>0</v>
      </c>
      <c r="M147" s="1">
        <f>(2.64)/((0.125+(0.11/0.1569))^2+(0.23+0.44)^2+0.8^2)^(1/2)</f>
        <v>1.9836093969805852</v>
      </c>
    </row>
    <row r="149" spans="1:16" ht="45" x14ac:dyDescent="0.25">
      <c r="A149" s="1" t="s">
        <v>66</v>
      </c>
    </row>
    <row r="150" spans="1:16" x14ac:dyDescent="0.25">
      <c r="A150" s="1" t="s">
        <v>17</v>
      </c>
      <c r="B150" s="1">
        <v>1</v>
      </c>
      <c r="C150" s="1">
        <v>0.9</v>
      </c>
      <c r="D150" s="1">
        <v>0.8</v>
      </c>
      <c r="E150" s="1">
        <v>0.7</v>
      </c>
      <c r="F150" s="1">
        <v>0.6</v>
      </c>
      <c r="G150" s="1">
        <v>0.5</v>
      </c>
      <c r="H150" s="1">
        <v>0.4</v>
      </c>
      <c r="I150" s="1">
        <v>0.3</v>
      </c>
      <c r="J150" s="1">
        <v>0.2</v>
      </c>
      <c r="K150" s="1">
        <v>0.1</v>
      </c>
      <c r="L150" s="1">
        <v>0</v>
      </c>
      <c r="M150" s="1" t="s">
        <v>47</v>
      </c>
      <c r="O150" s="1" t="s">
        <v>22</v>
      </c>
      <c r="P150" s="1">
        <f>(3*1.76^2*0.11*3)/(2*3.14*20*((0.125+0.11)^2+(0.23+0.44)^2+0.4^2))</f>
        <v>3.676385647030897E-2</v>
      </c>
    </row>
    <row r="151" spans="1:16" ht="30" x14ac:dyDescent="0.25">
      <c r="A151" s="2" t="s">
        <v>26</v>
      </c>
      <c r="B151" s="1">
        <f t="shared" ref="B151" si="75">63-63*B150</f>
        <v>0</v>
      </c>
      <c r="C151" s="1">
        <f t="shared" ref="C151" si="76">42-42*C150</f>
        <v>4.1999999999999957</v>
      </c>
      <c r="D151" s="1">
        <f t="shared" ref="D151" si="77">42-42*D150</f>
        <v>8.3999999999999986</v>
      </c>
      <c r="E151" s="1">
        <f t="shared" ref="E151" si="78">42-42*E150</f>
        <v>12.600000000000001</v>
      </c>
      <c r="F151" s="1">
        <f t="shared" ref="F151" si="79">42-42*F150</f>
        <v>16.8</v>
      </c>
      <c r="G151" s="1">
        <f t="shared" ref="G151" si="80">42-42*G150</f>
        <v>21</v>
      </c>
      <c r="H151" s="1">
        <f t="shared" ref="H151" si="81">42-42*H150</f>
        <v>25.2</v>
      </c>
      <c r="I151" s="1">
        <f t="shared" ref="I151" si="82">42-42*I150</f>
        <v>29.4</v>
      </c>
      <c r="J151" s="1">
        <f t="shared" ref="J151" si="83">42-42*J150</f>
        <v>33.6</v>
      </c>
      <c r="K151" s="1">
        <f>42-42*K150</f>
        <v>37.799999999999997</v>
      </c>
      <c r="L151" s="1">
        <v>42</v>
      </c>
      <c r="M151" s="1">
        <f>42-0.2*42</f>
        <v>33.6</v>
      </c>
      <c r="O151" s="1" t="s">
        <v>23</v>
      </c>
      <c r="P151" s="1">
        <f>(3*1.76^2*3)/(4*3.14*20*(0.125+(0.125^2+(0.23+0.44)^2+0.4^2)^(1/2)))</f>
        <v>0.12125495215663605</v>
      </c>
    </row>
    <row r="152" spans="1:16" ht="30" x14ac:dyDescent="0.25">
      <c r="A152" s="1" t="s">
        <v>54</v>
      </c>
      <c r="B152" s="1">
        <f>(3*1.76^2*(0.11/B150)*3)/(2*3.14*20*((0.125+(0.11/B150))^2+(0.23+0.44)^2+0.4^2))</f>
        <v>3.676385647030897E-2</v>
      </c>
      <c r="C152" s="1">
        <f t="shared" ref="C152:K152" si="84">(3*1.76^2*(0.11/C150)*3)/(2*3.14*20*((0.125+(0.11/C150))^2+(0.23+0.44)^2+0.4^2))</f>
        <v>4.0489403164015648E-2</v>
      </c>
      <c r="D152" s="1">
        <f t="shared" si="84"/>
        <v>4.5027240782937496E-2</v>
      </c>
      <c r="E152" s="1">
        <f t="shared" si="84"/>
        <v>5.0660096155868008E-2</v>
      </c>
      <c r="F152" s="1">
        <f t="shared" si="84"/>
        <v>5.7805056670729743E-2</v>
      </c>
      <c r="G152" s="1">
        <f t="shared" si="84"/>
        <v>6.708327417891663E-2</v>
      </c>
      <c r="H152" s="1">
        <f t="shared" si="84"/>
        <v>7.9385473333151074E-2</v>
      </c>
      <c r="I152" s="1">
        <f t="shared" si="84"/>
        <v>9.5676619177193306E-2</v>
      </c>
      <c r="J152" s="1">
        <f t="shared" si="84"/>
        <v>0.11467929911624405</v>
      </c>
      <c r="K152" s="1">
        <f t="shared" si="84"/>
        <v>0.11574072920844242</v>
      </c>
      <c r="L152" s="1">
        <v>0</v>
      </c>
      <c r="M152" s="1">
        <f>J152</f>
        <v>0.11467929911624405</v>
      </c>
      <c r="O152" s="1" t="s">
        <v>29</v>
      </c>
      <c r="P152" s="1">
        <f>0.11/((0.125^2+(0.23+0.11)^2+0.4^2)^(1/2))</f>
        <v>0.20383481249226848</v>
      </c>
    </row>
    <row r="153" spans="1:16" ht="30" x14ac:dyDescent="0.25">
      <c r="A153" s="1" t="s">
        <v>55</v>
      </c>
      <c r="B153" s="1">
        <f>(1.76)/((0.125+(0.11/B150))^2+(0.23+0.44)^2+0.4^2)^(1/2)</f>
        <v>2.1596717793722675</v>
      </c>
      <c r="C153" s="1">
        <f t="shared" ref="C153:K153" si="85">(1.76)/((0.125+(0.11/C150))^2+(0.23+0.44)^2+0.4^2)^(1/2)</f>
        <v>2.1501520109899137</v>
      </c>
      <c r="D153" s="1">
        <f t="shared" si="85"/>
        <v>2.1377646103257422</v>
      </c>
      <c r="E153" s="1">
        <f t="shared" si="85"/>
        <v>2.1210907366625005</v>
      </c>
      <c r="F153" s="1">
        <f t="shared" si="85"/>
        <v>2.0976632190395357</v>
      </c>
      <c r="G153" s="1">
        <f t="shared" si="85"/>
        <v>2.0628580787261206</v>
      </c>
      <c r="H153" s="1">
        <f t="shared" si="85"/>
        <v>2.0071403297453854</v>
      </c>
      <c r="I153" s="1">
        <f t="shared" si="85"/>
        <v>1.908274118598736</v>
      </c>
      <c r="J153" s="1">
        <f t="shared" si="85"/>
        <v>1.7058260221897921</v>
      </c>
      <c r="K153" s="1">
        <f t="shared" si="85"/>
        <v>1.2117703714771775</v>
      </c>
      <c r="L153" s="1">
        <v>0</v>
      </c>
      <c r="M153" s="1">
        <f>J153</f>
        <v>1.7058260221897921</v>
      </c>
    </row>
    <row r="155" spans="1:16" ht="45" x14ac:dyDescent="0.25">
      <c r="A155" s="1" t="s">
        <v>67</v>
      </c>
    </row>
    <row r="156" spans="1:16" x14ac:dyDescent="0.25">
      <c r="A156" s="1" t="s">
        <v>17</v>
      </c>
      <c r="B156" s="1">
        <v>1</v>
      </c>
      <c r="C156" s="1">
        <v>0.9</v>
      </c>
      <c r="D156" s="1">
        <v>0.8</v>
      </c>
      <c r="E156" s="1">
        <v>0.7</v>
      </c>
      <c r="F156" s="1">
        <v>0.6</v>
      </c>
      <c r="G156" s="1">
        <v>0.5</v>
      </c>
      <c r="H156" s="1">
        <v>0.4</v>
      </c>
      <c r="I156" s="1">
        <v>0.3</v>
      </c>
      <c r="J156" s="1">
        <v>0.2</v>
      </c>
      <c r="K156" s="1">
        <v>0.1</v>
      </c>
      <c r="L156" s="1">
        <v>0</v>
      </c>
      <c r="M156" s="1" t="s">
        <v>49</v>
      </c>
      <c r="O156" s="1" t="s">
        <v>22</v>
      </c>
      <c r="P156" s="1">
        <f>(3*0.88^2*0.11*3)/(2*3.14*10*((0.125+0.11)^2+(0.23+0.44)^2+0.2^2))</f>
        <v>2.243583384180468E-2</v>
      </c>
    </row>
    <row r="157" spans="1:16" ht="30" x14ac:dyDescent="0.25">
      <c r="A157" s="2" t="s">
        <v>26</v>
      </c>
      <c r="B157" s="1">
        <f t="shared" ref="B157" si="86">21-21*B156</f>
        <v>0</v>
      </c>
      <c r="C157" s="1">
        <f t="shared" ref="C157" si="87">21-21*C156</f>
        <v>2.0999999999999979</v>
      </c>
      <c r="D157" s="1">
        <f t="shared" ref="D157" si="88">21-21*D156</f>
        <v>4.1999999999999993</v>
      </c>
      <c r="E157" s="1">
        <f t="shared" ref="E157" si="89">21-21*E156</f>
        <v>6.3000000000000007</v>
      </c>
      <c r="F157" s="1">
        <f t="shared" ref="F157" si="90">21-21*F156</f>
        <v>8.4</v>
      </c>
      <c r="G157" s="1">
        <f t="shared" ref="G157" si="91">21-21*G156</f>
        <v>10.5</v>
      </c>
      <c r="H157" s="1">
        <f t="shared" ref="H157" si="92">21-21*H156</f>
        <v>12.6</v>
      </c>
      <c r="I157" s="1">
        <f t="shared" ref="I157" si="93">21-21*I156</f>
        <v>14.7</v>
      </c>
      <c r="J157" s="1">
        <f t="shared" ref="J157" si="94">21-21*J156</f>
        <v>16.8</v>
      </c>
      <c r="K157" s="1">
        <f>21-21*K156</f>
        <v>18.899999999999999</v>
      </c>
      <c r="L157" s="1">
        <v>21</v>
      </c>
      <c r="M157" s="1">
        <f>42-0.2658*42</f>
        <v>30.836400000000001</v>
      </c>
      <c r="O157" s="1" t="s">
        <v>23</v>
      </c>
      <c r="P157" s="1">
        <f>(3*0.88^2*3)/(4*3.14*10*(0.125+(0.125^2+(0.23+0.44)^2+0.2^2)^(1/2)))</f>
        <v>6.6431817109780661E-2</v>
      </c>
    </row>
    <row r="158" spans="1:16" ht="30" x14ac:dyDescent="0.25">
      <c r="A158" s="1" t="s">
        <v>56</v>
      </c>
      <c r="B158" s="1">
        <f>(3*0.88^2*(0.11/B156)*3)/(2*3.14*10*((0.125+(0.11/B156))^2+(0.23+0.44)^2+0.2^2))</f>
        <v>2.243583384180468E-2</v>
      </c>
      <c r="C158" s="1">
        <f t="shared" ref="C158:K158" si="95">(3*0.88^2*(0.11/C156)*3)/(2*3.14*10*((0.125+(0.11/C156))^2+(0.23+0.44)^2+0.2^2))</f>
        <v>2.4661576186796687E-2</v>
      </c>
      <c r="D158" s="1">
        <f t="shared" si="95"/>
        <v>2.7356940893840762E-2</v>
      </c>
      <c r="E158" s="1">
        <f t="shared" si="95"/>
        <v>3.0676716887646987E-2</v>
      </c>
      <c r="F158" s="1">
        <f t="shared" si="95"/>
        <v>3.4841714765818141E-2</v>
      </c>
      <c r="G158" s="1">
        <f t="shared" si="95"/>
        <v>4.0162513761309283E-2</v>
      </c>
      <c r="H158" s="1">
        <f t="shared" si="95"/>
        <v>4.7033048579025932E-2</v>
      </c>
      <c r="I158" s="1">
        <f t="shared" si="95"/>
        <v>5.5695294842037821E-2</v>
      </c>
      <c r="J158" s="1">
        <f t="shared" si="95"/>
        <v>6.4624536614552142E-2</v>
      </c>
      <c r="K158" s="1">
        <f t="shared" si="95"/>
        <v>6.1360867991967799E-2</v>
      </c>
      <c r="L158" s="1">
        <v>0</v>
      </c>
      <c r="M158" s="1">
        <f>(3*0.88^2*(0.11/0.2658)*3)/(2*3.14*50*((0.125+(0.11/0.2658))^2+(0.23+0.44)^2+0.2^2))</f>
        <v>1.1787912758543856E-2</v>
      </c>
      <c r="O158" s="1" t="s">
        <v>29</v>
      </c>
      <c r="P158" s="1">
        <f>0.11/((0.125^2+(0.23+0.11)^2+0.2^2)^(1/2))</f>
        <v>0.26583312565128503</v>
      </c>
    </row>
    <row r="159" spans="1:16" ht="30" x14ac:dyDescent="0.25">
      <c r="A159" s="1" t="s">
        <v>57</v>
      </c>
      <c r="B159" s="1">
        <f>(0.88)/((0.125+(0.11/B156))^2+(0.23+0.44)^2+0.2^2)^(1/2)</f>
        <v>1.1929804647004505</v>
      </c>
      <c r="C159" s="1">
        <f t="shared" ref="C159:K159" si="96">(0.88)/((0.125+(0.11/C156))^2+(0.23+0.44)^2+0.2^2)^(1/2)</f>
        <v>1.1865714492262733</v>
      </c>
      <c r="D159" s="1">
        <f t="shared" si="96"/>
        <v>1.1782595924406232</v>
      </c>
      <c r="E159" s="1">
        <f t="shared" si="96"/>
        <v>1.1671204634237142</v>
      </c>
      <c r="F159" s="1">
        <f t="shared" si="96"/>
        <v>1.1515627556402672</v>
      </c>
      <c r="G159" s="1">
        <f t="shared" si="96"/>
        <v>1.1286458016404963</v>
      </c>
      <c r="H159" s="1">
        <f t="shared" si="96"/>
        <v>1.0924304199949926</v>
      </c>
      <c r="I159" s="1">
        <f t="shared" si="96"/>
        <v>1.0295136415832737</v>
      </c>
      <c r="J159" s="1">
        <f t="shared" si="96"/>
        <v>0.90547391457653847</v>
      </c>
      <c r="K159" s="1">
        <f t="shared" si="96"/>
        <v>0.62388992407570565</v>
      </c>
      <c r="L159" s="1">
        <v>0</v>
      </c>
      <c r="M159" s="1">
        <f>(0.88)/((0.125+(0.11/0.2658))^2+(0.23+0.44)^2+0.2^2)^(1/2)</f>
        <v>0.99688066230221439</v>
      </c>
    </row>
    <row r="161" spans="1:20" ht="60" x14ac:dyDescent="0.25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18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  <c r="M161" s="1" t="s">
        <v>11</v>
      </c>
      <c r="N161" s="1" t="s">
        <v>12</v>
      </c>
      <c r="O161" s="1" t="s">
        <v>15</v>
      </c>
      <c r="P161" s="1" t="s">
        <v>16</v>
      </c>
      <c r="Q161" s="1" t="s">
        <v>19</v>
      </c>
      <c r="R161" s="2" t="s">
        <v>20</v>
      </c>
      <c r="S161" s="1" t="s">
        <v>21</v>
      </c>
      <c r="T161" s="1" t="s">
        <v>68</v>
      </c>
    </row>
    <row r="162" spans="1:20" ht="45" x14ac:dyDescent="0.25">
      <c r="B162" s="1">
        <v>30</v>
      </c>
      <c r="C162" s="1">
        <v>970</v>
      </c>
      <c r="D162" s="1">
        <v>2.8</v>
      </c>
      <c r="E162" s="1" t="s">
        <v>13</v>
      </c>
      <c r="F162" s="1">
        <v>70.5</v>
      </c>
      <c r="G162" s="1">
        <v>42</v>
      </c>
      <c r="H162" s="1">
        <v>0.125</v>
      </c>
      <c r="I162" s="1">
        <v>0.23</v>
      </c>
      <c r="J162" s="1">
        <v>259</v>
      </c>
      <c r="K162" s="1">
        <v>72</v>
      </c>
      <c r="L162" s="1">
        <v>5.5E-2</v>
      </c>
      <c r="M162" s="1">
        <v>0.22500000000000001</v>
      </c>
      <c r="N162" s="1">
        <v>1.4</v>
      </c>
      <c r="O162" s="1">
        <v>0.11</v>
      </c>
      <c r="P162" s="1">
        <v>0.44</v>
      </c>
      <c r="Q162" s="1">
        <v>220</v>
      </c>
      <c r="R162" s="1">
        <v>104.7</v>
      </c>
      <c r="S162" s="1">
        <v>3</v>
      </c>
    </row>
    <row r="163" spans="1:20" x14ac:dyDescent="0.25">
      <c r="E163" s="1" t="s">
        <v>14</v>
      </c>
    </row>
    <row r="164" spans="1:20" ht="60" x14ac:dyDescent="0.25">
      <c r="A164" s="1" t="s">
        <v>39</v>
      </c>
    </row>
    <row r="165" spans="1:20" x14ac:dyDescent="0.25">
      <c r="A165" s="1" t="s">
        <v>17</v>
      </c>
      <c r="B165" s="1">
        <v>1</v>
      </c>
      <c r="C165" s="1">
        <v>0.9</v>
      </c>
      <c r="D165" s="1">
        <v>0.8</v>
      </c>
      <c r="E165" s="1">
        <v>0.7</v>
      </c>
      <c r="F165" s="1">
        <v>0.6</v>
      </c>
      <c r="G165" s="1">
        <v>0.5</v>
      </c>
      <c r="H165" s="1">
        <v>0.4</v>
      </c>
      <c r="I165" s="1">
        <v>0.3</v>
      </c>
      <c r="J165" s="1">
        <v>0.2</v>
      </c>
      <c r="K165" s="1">
        <v>0.1</v>
      </c>
      <c r="L165" s="1">
        <v>0</v>
      </c>
      <c r="M165" s="1" t="s">
        <v>41</v>
      </c>
      <c r="O165" s="1" t="s">
        <v>22</v>
      </c>
      <c r="P165" s="1">
        <f>(3*220^2*0.11*3)/(2*3.14*50*((0.125+0.11)^2+(0.23+0.44)^2))</f>
        <v>302.70017577912159</v>
      </c>
    </row>
    <row r="166" spans="1:20" ht="30" x14ac:dyDescent="0.25">
      <c r="A166" s="2" t="s">
        <v>26</v>
      </c>
      <c r="B166" s="1">
        <v>0</v>
      </c>
      <c r="C166" s="1">
        <v>10.5</v>
      </c>
      <c r="D166" s="1">
        <v>21</v>
      </c>
      <c r="E166" s="1">
        <v>31</v>
      </c>
      <c r="F166" s="1">
        <v>42</v>
      </c>
      <c r="G166" s="1">
        <v>52</v>
      </c>
      <c r="H166" s="1">
        <v>63</v>
      </c>
      <c r="I166" s="1">
        <v>73</v>
      </c>
      <c r="J166" s="1">
        <v>84</v>
      </c>
      <c r="K166" s="1">
        <v>94</v>
      </c>
      <c r="L166" s="1">
        <v>104.7</v>
      </c>
      <c r="M166" s="1">
        <f>I166</f>
        <v>73</v>
      </c>
      <c r="O166" s="1" t="s">
        <v>23</v>
      </c>
      <c r="P166" s="1">
        <f>(3*220^2*3)/(4*3.14*50*(0.125+(0.125^2+(0.23+0.44)^2)^(1/2)))</f>
        <v>859.98557274326845</v>
      </c>
    </row>
    <row r="167" spans="1:20" ht="30" x14ac:dyDescent="0.25">
      <c r="A167" s="1" t="s">
        <v>37</v>
      </c>
      <c r="B167" s="1">
        <f>(3*220^2*(0.11/B165)*3)/(2*3.14*50*((0.125+(0.11/B165))^2+(0.23+0.44)^2))</f>
        <v>302.70017577912159</v>
      </c>
      <c r="C167" s="1">
        <f t="shared" ref="C167:K167" si="97">(3*220^2*(0.11/C165)*3)/(2*3.14*50*((0.125+(0.11/C165))^2+(0.23+0.44)^2))</f>
        <v>332.44682568165825</v>
      </c>
      <c r="D167" s="1">
        <f t="shared" si="97"/>
        <v>368.37795535166305</v>
      </c>
      <c r="E167" s="1">
        <f t="shared" si="97"/>
        <v>412.48114686414891</v>
      </c>
      <c r="F167" s="1">
        <f t="shared" si="97"/>
        <v>467.54686828196952</v>
      </c>
      <c r="G167" s="1">
        <f t="shared" si="97"/>
        <v>537.39041639177594</v>
      </c>
      <c r="H167" s="1">
        <f t="shared" si="97"/>
        <v>626.53443141176558</v>
      </c>
      <c r="I167" s="1">
        <f t="shared" si="97"/>
        <v>736.51292221574965</v>
      </c>
      <c r="J167" s="1">
        <f t="shared" si="97"/>
        <v>843.52962115281309</v>
      </c>
      <c r="K167" s="1">
        <f t="shared" si="97"/>
        <v>782.74823926161332</v>
      </c>
      <c r="L167" s="1">
        <v>0</v>
      </c>
      <c r="M167" s="1">
        <f>I167</f>
        <v>736.51292221574965</v>
      </c>
      <c r="O167" s="1" t="s">
        <v>29</v>
      </c>
      <c r="P167" s="1">
        <f>0.11/((0.125^2+(0.23+0.11)^2)^(1/2))</f>
        <v>0.30365776727525928</v>
      </c>
    </row>
    <row r="168" spans="1:20" ht="30" x14ac:dyDescent="0.25">
      <c r="A168" s="1" t="s">
        <v>38</v>
      </c>
      <c r="B168" s="1">
        <f>(220)/((0.125+(0.11/B165))^2+(0.23+0.44)^2)^(1/2)</f>
        <v>309.8514717409692</v>
      </c>
      <c r="C168" s="1">
        <f t="shared" ref="C168:K168" si="98">(220)/((0.125+(0.11/C165))^2+(0.23+0.44)^2)^(1/2)</f>
        <v>308.05593244208802</v>
      </c>
      <c r="D168" s="1">
        <f t="shared" si="98"/>
        <v>305.73069020573405</v>
      </c>
      <c r="E168" s="1">
        <f t="shared" si="98"/>
        <v>302.62046784099539</v>
      </c>
      <c r="F168" s="1">
        <f t="shared" si="98"/>
        <v>298.28775677649014</v>
      </c>
      <c r="G168" s="1">
        <f t="shared" si="98"/>
        <v>291.92896495432211</v>
      </c>
      <c r="H168" s="1">
        <f t="shared" si="98"/>
        <v>281.93545465448307</v>
      </c>
      <c r="I168" s="1">
        <f t="shared" si="98"/>
        <v>264.72687902345427</v>
      </c>
      <c r="J168" s="1">
        <f t="shared" si="98"/>
        <v>231.31957912215117</v>
      </c>
      <c r="K168" s="1">
        <f t="shared" si="98"/>
        <v>157.56446400116496</v>
      </c>
      <c r="L168" s="1">
        <v>0</v>
      </c>
      <c r="M168" s="1">
        <f>I168</f>
        <v>264.72687902345427</v>
      </c>
    </row>
    <row r="170" spans="1:20" ht="30" x14ac:dyDescent="0.25">
      <c r="A170" s="1" t="s">
        <v>69</v>
      </c>
    </row>
    <row r="171" spans="1:20" x14ac:dyDescent="0.25">
      <c r="A171" s="1" t="s">
        <v>17</v>
      </c>
      <c r="B171" s="1">
        <v>1</v>
      </c>
      <c r="C171" s="1">
        <v>0.9</v>
      </c>
      <c r="D171" s="1">
        <v>0.8</v>
      </c>
      <c r="E171" s="1">
        <v>0.7</v>
      </c>
      <c r="F171" s="1">
        <v>0.6</v>
      </c>
      <c r="G171" s="1">
        <v>0.5</v>
      </c>
      <c r="H171" s="1">
        <v>0.4</v>
      </c>
      <c r="I171" s="1">
        <v>0.3</v>
      </c>
      <c r="J171" s="1">
        <v>0.2</v>
      </c>
      <c r="K171" s="1">
        <v>0.1</v>
      </c>
      <c r="L171" s="1">
        <v>0</v>
      </c>
      <c r="M171" s="1" t="s">
        <v>45</v>
      </c>
      <c r="O171" s="1" t="s">
        <v>22</v>
      </c>
      <c r="P171" s="1">
        <f>(3*220^2*0.11*3)/(2*3.14*40*((0.125+0.11)^2+(0.23+0.44)^2+0.8^2))</f>
        <v>166.71990179684215</v>
      </c>
    </row>
    <row r="172" spans="1:20" ht="30" x14ac:dyDescent="0.25">
      <c r="A172" s="2" t="s">
        <v>26</v>
      </c>
      <c r="B172" s="1">
        <v>0</v>
      </c>
      <c r="C172" s="1">
        <v>8.4</v>
      </c>
      <c r="D172" s="1">
        <v>17</v>
      </c>
      <c r="E172" s="1">
        <v>25</v>
      </c>
      <c r="F172" s="1">
        <v>34</v>
      </c>
      <c r="G172" s="1">
        <v>42</v>
      </c>
      <c r="H172" s="1">
        <v>50</v>
      </c>
      <c r="I172" s="1">
        <v>59</v>
      </c>
      <c r="J172" s="1">
        <v>67</v>
      </c>
      <c r="K172" s="1">
        <v>76</v>
      </c>
      <c r="L172" s="1">
        <v>84</v>
      </c>
      <c r="M172" s="1">
        <f>84-0.125*84</f>
        <v>73.5</v>
      </c>
      <c r="O172" s="1" t="s">
        <v>23</v>
      </c>
      <c r="P172" s="1">
        <f>(3*220^2*3)/(4*3.14*40*(0.125+(0.125^2+(0.23+0.44)^2+0.8^2)^(1/2)))</f>
        <v>737.30006366584178</v>
      </c>
    </row>
    <row r="173" spans="1:20" ht="30" x14ac:dyDescent="0.25">
      <c r="A173" s="1" t="s">
        <v>50</v>
      </c>
      <c r="B173" s="1">
        <f>(3*220^2*(0.11/B171)*3)/(2*3.14*40*((0.125+(0.11/B171))^2+(0.23+0.44)^2+0.8^2))</f>
        <v>166.71990179684215</v>
      </c>
      <c r="C173" s="1">
        <f t="shared" ref="C173:K173" si="99">(3*220^2*(0.11/C171)*3)/(2*3.14*40*((0.125+(0.11/C171))^2+(0.23+0.44)^2+0.8^2))</f>
        <v>184.29496122471514</v>
      </c>
      <c r="D173" s="1">
        <f t="shared" si="99"/>
        <v>205.93731425628425</v>
      </c>
      <c r="E173" s="1">
        <f t="shared" si="99"/>
        <v>233.20210045251184</v>
      </c>
      <c r="F173" s="1">
        <f t="shared" si="99"/>
        <v>268.51538629700758</v>
      </c>
      <c r="G173" s="1">
        <f t="shared" si="99"/>
        <v>315.82823046681216</v>
      </c>
      <c r="H173" s="1">
        <f t="shared" si="99"/>
        <v>381.8328281754184</v>
      </c>
      <c r="I173" s="1">
        <f t="shared" si="99"/>
        <v>477.83764484399592</v>
      </c>
      <c r="J173" s="1">
        <f t="shared" si="99"/>
        <v>617.49860845020964</v>
      </c>
      <c r="K173" s="1">
        <f t="shared" si="99"/>
        <v>736.61543195494176</v>
      </c>
      <c r="L173" s="1">
        <f>0</f>
        <v>0</v>
      </c>
      <c r="M173" s="1">
        <f>(3*220^2*(0.11/0.125)*3)/(2*3.14*50*((0.125+(0.11/0.125))^2+(0.23+0.44)^2+0.8^2))</f>
        <v>581.62621766723316</v>
      </c>
      <c r="O173" s="1" t="s">
        <v>29</v>
      </c>
      <c r="P173" s="1">
        <f>0.11/((0.125^2+(0.23+0.11)^2+0.8^2)^(1/2))</f>
        <v>0.12525703742240871</v>
      </c>
    </row>
    <row r="174" spans="1:20" ht="30" x14ac:dyDescent="0.25">
      <c r="A174" s="1" t="s">
        <v>51</v>
      </c>
      <c r="B174" s="1">
        <f>(220)/((0.125+(0.11/B171))^2+(0.23+0.44)^2+0.8^2)^(1/2)</f>
        <v>205.67710137903924</v>
      </c>
      <c r="C174" s="1">
        <f t="shared" ref="C174:K174" si="100">(220)/((0.125+(0.11/C171))^2+(0.23+0.44)^2+0.8^2)^(1/2)</f>
        <v>205.14937852397046</v>
      </c>
      <c r="D174" s="1">
        <f t="shared" si="100"/>
        <v>204.45829554981191</v>
      </c>
      <c r="E174" s="1">
        <f t="shared" si="100"/>
        <v>203.52017581360747</v>
      </c>
      <c r="F174" s="1">
        <f t="shared" si="100"/>
        <v>202.18663001357791</v>
      </c>
      <c r="G174" s="1">
        <f t="shared" si="100"/>
        <v>200.17170847895932</v>
      </c>
      <c r="H174" s="1">
        <f t="shared" si="100"/>
        <v>196.86061975717192</v>
      </c>
      <c r="I174" s="1">
        <f t="shared" si="100"/>
        <v>190.71859039608651</v>
      </c>
      <c r="J174" s="1">
        <f t="shared" si="100"/>
        <v>177.02117116019718</v>
      </c>
      <c r="K174" s="1">
        <f t="shared" si="100"/>
        <v>136.7138856000619</v>
      </c>
      <c r="L174" s="1">
        <v>0</v>
      </c>
      <c r="M174" s="1">
        <f>(220)/((0.125+(0.11/0.125))^2+(0.23+0.44)^2+0.8^2)^(1/2)</f>
        <v>151.85329524314221</v>
      </c>
    </row>
    <row r="176" spans="1:20" ht="30" x14ac:dyDescent="0.25">
      <c r="A176" s="1" t="s">
        <v>70</v>
      </c>
    </row>
    <row r="177" spans="1:16" x14ac:dyDescent="0.25">
      <c r="A177" s="1" t="s">
        <v>17</v>
      </c>
      <c r="B177" s="1">
        <v>1</v>
      </c>
      <c r="C177" s="1">
        <v>0.9</v>
      </c>
      <c r="D177" s="1">
        <v>0.8</v>
      </c>
      <c r="E177" s="1">
        <v>0.7</v>
      </c>
      <c r="F177" s="1">
        <v>0.6</v>
      </c>
      <c r="G177" s="1">
        <v>0.5</v>
      </c>
      <c r="H177" s="1">
        <v>0.4</v>
      </c>
      <c r="I177" s="1">
        <v>0.3</v>
      </c>
      <c r="J177" s="1">
        <v>0.2</v>
      </c>
      <c r="K177" s="1">
        <v>0.1</v>
      </c>
      <c r="L177" s="1">
        <v>0</v>
      </c>
      <c r="M177" s="1" t="s">
        <v>46</v>
      </c>
      <c r="O177" s="1" t="s">
        <v>22</v>
      </c>
      <c r="P177" s="1">
        <f>(3*220^2*0.11*3)/(2*3.14*30*((0.125+0.11)^2+(0.23+0.44)^2+0.6^2))</f>
        <v>294.32224526669495</v>
      </c>
    </row>
    <row r="178" spans="1:16" ht="30" x14ac:dyDescent="0.25">
      <c r="A178" s="2" t="s">
        <v>26</v>
      </c>
      <c r="B178" s="1">
        <f t="shared" ref="B178" si="101">63-63*B177</f>
        <v>0</v>
      </c>
      <c r="C178" s="1">
        <f t="shared" ref="C178" si="102">63-63*C177</f>
        <v>6.2999999999999972</v>
      </c>
      <c r="D178" s="1">
        <f t="shared" ref="D178" si="103">63-63*D177</f>
        <v>12.599999999999994</v>
      </c>
      <c r="E178" s="1">
        <f t="shared" ref="E178" si="104">63-63*E177</f>
        <v>18.900000000000006</v>
      </c>
      <c r="F178" s="1">
        <f t="shared" ref="F178" si="105">63-63*F177</f>
        <v>25.200000000000003</v>
      </c>
      <c r="G178" s="1">
        <f t="shared" ref="G178" si="106">63-63*G177</f>
        <v>31.5</v>
      </c>
      <c r="H178" s="1">
        <f t="shared" ref="H178" si="107">63-63*H177</f>
        <v>37.799999999999997</v>
      </c>
      <c r="I178" s="1">
        <f t="shared" ref="I178" si="108">63-63*I177</f>
        <v>44.1</v>
      </c>
      <c r="J178" s="1">
        <f t="shared" ref="J178" si="109">63-63*J177</f>
        <v>50.4</v>
      </c>
      <c r="K178" s="1">
        <f>63-63*K177</f>
        <v>56.7</v>
      </c>
      <c r="L178" s="1">
        <v>63</v>
      </c>
      <c r="M178" s="1">
        <f>63-0.1569*63</f>
        <v>53.115299999999998</v>
      </c>
      <c r="O178" s="1" t="s">
        <v>23</v>
      </c>
      <c r="P178" s="1">
        <f>(3*220^2*3)/(4*3.14*30*(0.125+(0.125^2+(0.23+0.44)^2+0.6^2)^(1/2)))</f>
        <v>1119.0836067239586</v>
      </c>
    </row>
    <row r="179" spans="1:16" ht="30" x14ac:dyDescent="0.25">
      <c r="A179" s="1" t="s">
        <v>52</v>
      </c>
      <c r="B179" s="1">
        <f>(3*220^2*(0.11/B177)*3)/(2*3.14*30*((0.125+(0.11/B177))^2+(0.23+0.44)^2+0.6^2))</f>
        <v>294.32224526669495</v>
      </c>
      <c r="C179" s="1">
        <f t="shared" ref="C179:K179" si="110">(3*220^2*(0.11/C177)*3)/(2*3.14*30*((0.125+(0.11/C177))^2+(0.23+0.44)^2+0.6^2))</f>
        <v>324.80933138877651</v>
      </c>
      <c r="D179" s="1">
        <f t="shared" si="110"/>
        <v>362.16877327867439</v>
      </c>
      <c r="E179" s="1">
        <f t="shared" si="110"/>
        <v>408.92337936249908</v>
      </c>
      <c r="F179" s="1">
        <f t="shared" si="110"/>
        <v>468.91557333442836</v>
      </c>
      <c r="G179" s="1">
        <f t="shared" si="110"/>
        <v>548.17191085719821</v>
      </c>
      <c r="H179" s="1">
        <f t="shared" si="110"/>
        <v>656.23699605501793</v>
      </c>
      <c r="I179" s="1">
        <f t="shared" si="110"/>
        <v>806.91182386675621</v>
      </c>
      <c r="J179" s="1">
        <f t="shared" si="110"/>
        <v>1005.6393119593632</v>
      </c>
      <c r="K179" s="1">
        <f t="shared" si="110"/>
        <v>1101.2273527720322</v>
      </c>
      <c r="L179" s="1">
        <v>0</v>
      </c>
      <c r="M179" s="1">
        <f>(3*220^2*(0.11/0.1569)*3)/(2*3.14*50*((0.125+(0.11/0.125))^2+(0.23+0.44)^2+0.8^2))</f>
        <v>463.37334103508061</v>
      </c>
      <c r="O179" s="1" t="s">
        <v>29</v>
      </c>
      <c r="P179" s="1">
        <f>0.11/((0.125^2+(0.23+0.11)^2+0.6^2)^(1/2))</f>
        <v>0.15694679610937559</v>
      </c>
    </row>
    <row r="180" spans="1:16" ht="30" x14ac:dyDescent="0.25">
      <c r="A180" s="1" t="s">
        <v>53</v>
      </c>
      <c r="B180" s="1">
        <f>(220)/((0.125+(0.11/B177))^2+(0.23+0.44)^2+0.6^2)^(1/2)</f>
        <v>236.66519634252049</v>
      </c>
      <c r="C180" s="1">
        <f t="shared" ref="C180:K180" si="111">(220)/((0.125+(0.11/C177))^2+(0.23+0.44)^2+0.6^2)^(1/2)</f>
        <v>235.86220560019112</v>
      </c>
      <c r="D180" s="1">
        <f t="shared" si="111"/>
        <v>234.81365383820918</v>
      </c>
      <c r="E180" s="1">
        <f t="shared" si="111"/>
        <v>233.39569571461135</v>
      </c>
      <c r="F180" s="1">
        <f t="shared" si="111"/>
        <v>231.39064963194758</v>
      </c>
      <c r="G180" s="1">
        <f t="shared" si="111"/>
        <v>228.38429867563949</v>
      </c>
      <c r="H180" s="1">
        <f t="shared" si="111"/>
        <v>223.50292073816635</v>
      </c>
      <c r="I180" s="1">
        <f t="shared" si="111"/>
        <v>214.63301139562998</v>
      </c>
      <c r="J180" s="1">
        <f t="shared" si="111"/>
        <v>195.64059315884387</v>
      </c>
      <c r="K180" s="1">
        <f t="shared" si="111"/>
        <v>144.76425742741262</v>
      </c>
      <c r="L180" s="1">
        <v>0</v>
      </c>
      <c r="M180" s="1">
        <f>(220)/((0.125+(0.11/0.1569))^2+(0.23+0.44)^2+0.8^2)^(1/2)</f>
        <v>165.30078308171542</v>
      </c>
    </row>
    <row r="182" spans="1:16" ht="30" x14ac:dyDescent="0.25">
      <c r="A182" s="1" t="s">
        <v>71</v>
      </c>
    </row>
    <row r="183" spans="1:16" x14ac:dyDescent="0.25">
      <c r="A183" s="1" t="s">
        <v>17</v>
      </c>
      <c r="B183" s="1">
        <v>1</v>
      </c>
      <c r="C183" s="1">
        <v>0.9</v>
      </c>
      <c r="D183" s="1">
        <v>0.8</v>
      </c>
      <c r="E183" s="1">
        <v>0.7</v>
      </c>
      <c r="F183" s="1">
        <v>0.6</v>
      </c>
      <c r="G183" s="1">
        <v>0.5</v>
      </c>
      <c r="H183" s="1">
        <v>0.4</v>
      </c>
      <c r="I183" s="1">
        <v>0.3</v>
      </c>
      <c r="J183" s="1">
        <v>0.2</v>
      </c>
      <c r="K183" s="1">
        <v>0.1</v>
      </c>
      <c r="L183" s="1">
        <v>0</v>
      </c>
      <c r="M183" s="1" t="s">
        <v>47</v>
      </c>
      <c r="O183" s="1" t="s">
        <v>22</v>
      </c>
      <c r="P183" s="1">
        <f>(3*220^2*0.11*3)/(2*3.14*20*((0.125+0.11)^2+(0.23+0.44)^2+0.4^2))</f>
        <v>574.43525734857758</v>
      </c>
    </row>
    <row r="184" spans="1:16" ht="30" x14ac:dyDescent="0.25">
      <c r="A184" s="2" t="s">
        <v>26</v>
      </c>
      <c r="B184" s="1">
        <f t="shared" ref="B184" si="112">63-63*B183</f>
        <v>0</v>
      </c>
      <c r="C184" s="1">
        <f t="shared" ref="C184" si="113">42-42*C183</f>
        <v>4.1999999999999957</v>
      </c>
      <c r="D184" s="1">
        <f t="shared" ref="D184" si="114">42-42*D183</f>
        <v>8.3999999999999986</v>
      </c>
      <c r="E184" s="1">
        <f t="shared" ref="E184" si="115">42-42*E183</f>
        <v>12.600000000000001</v>
      </c>
      <c r="F184" s="1">
        <f t="shared" ref="F184" si="116">42-42*F183</f>
        <v>16.8</v>
      </c>
      <c r="G184" s="1">
        <f t="shared" ref="G184" si="117">42-42*G183</f>
        <v>21</v>
      </c>
      <c r="H184" s="1">
        <f t="shared" ref="H184" si="118">42-42*H183</f>
        <v>25.2</v>
      </c>
      <c r="I184" s="1">
        <f t="shared" ref="I184" si="119">42-42*I183</f>
        <v>29.4</v>
      </c>
      <c r="J184" s="1">
        <f t="shared" ref="J184" si="120">42-42*J183</f>
        <v>33.6</v>
      </c>
      <c r="K184" s="1">
        <f>42-42*K183</f>
        <v>37.799999999999997</v>
      </c>
      <c r="L184" s="1">
        <v>42</v>
      </c>
      <c r="M184" s="1">
        <f>42-0.2*42</f>
        <v>33.6</v>
      </c>
      <c r="O184" s="1" t="s">
        <v>23</v>
      </c>
      <c r="P184" s="1">
        <f>(3*220^2*3)/(4*3.14*20*(0.125+(0.125^2+(0.23+0.44)^2+0.4^2)^(1/2)))</f>
        <v>1894.6086274474383</v>
      </c>
    </row>
    <row r="185" spans="1:16" ht="30" x14ac:dyDescent="0.25">
      <c r="A185" s="1" t="s">
        <v>54</v>
      </c>
      <c r="B185" s="1">
        <f>(3*220^2*(0.11/B183)*3)/(2*3.14*20*((0.125+(0.11/B183))^2+(0.23+0.44)^2+0.4^2))</f>
        <v>574.43525734857758</v>
      </c>
      <c r="C185" s="1">
        <f t="shared" ref="C185:K185" si="121">(3*220^2*(0.11/C183)*3)/(2*3.14*20*((0.125+(0.11/C183))^2+(0.23+0.44)^2+0.4^2))</f>
        <v>632.64692443774459</v>
      </c>
      <c r="D185" s="1">
        <f t="shared" si="121"/>
        <v>703.55063723339833</v>
      </c>
      <c r="E185" s="1">
        <f t="shared" si="121"/>
        <v>791.5640024354376</v>
      </c>
      <c r="F185" s="1">
        <f t="shared" si="121"/>
        <v>903.20401048015231</v>
      </c>
      <c r="G185" s="1">
        <f t="shared" si="121"/>
        <v>1048.1761590455724</v>
      </c>
      <c r="H185" s="1">
        <f t="shared" si="121"/>
        <v>1240.3980208304854</v>
      </c>
      <c r="I185" s="1">
        <f t="shared" si="121"/>
        <v>1494.9471746436457</v>
      </c>
      <c r="J185" s="1">
        <f t="shared" si="121"/>
        <v>1791.8640486913132</v>
      </c>
      <c r="K185" s="1">
        <f t="shared" si="121"/>
        <v>1808.4488938819127</v>
      </c>
      <c r="L185" s="1">
        <v>0</v>
      </c>
      <c r="M185" s="1">
        <f>J185</f>
        <v>1791.8640486913132</v>
      </c>
      <c r="O185" s="1" t="s">
        <v>29</v>
      </c>
      <c r="P185" s="1">
        <f>0.11/((0.125^2+(0.23+0.11)^2+0.4^2)^(1/2))</f>
        <v>0.20383481249226848</v>
      </c>
    </row>
    <row r="186" spans="1:16" ht="30" x14ac:dyDescent="0.25">
      <c r="A186" s="1" t="s">
        <v>55</v>
      </c>
      <c r="B186" s="1">
        <f>(220)/((0.125+(0.11/B183))^2+(0.23+0.44)^2+0.4^2)^(1/2)</f>
        <v>269.95897242153342</v>
      </c>
      <c r="C186" s="1">
        <f t="shared" ref="C186:K186" si="122">(220)/((0.125+(0.11/C183))^2+(0.23+0.44)^2+0.4^2)^(1/2)</f>
        <v>268.76900137373923</v>
      </c>
      <c r="D186" s="1">
        <f t="shared" si="122"/>
        <v>267.22057629071776</v>
      </c>
      <c r="E186" s="1">
        <f t="shared" si="122"/>
        <v>265.13634208281258</v>
      </c>
      <c r="F186" s="1">
        <f t="shared" si="122"/>
        <v>262.20790237994197</v>
      </c>
      <c r="G186" s="1">
        <f t="shared" si="122"/>
        <v>257.85725984076504</v>
      </c>
      <c r="H186" s="1">
        <f t="shared" si="122"/>
        <v>250.89254121817319</v>
      </c>
      <c r="I186" s="1">
        <f t="shared" si="122"/>
        <v>238.53426482484198</v>
      </c>
      <c r="J186" s="1">
        <f t="shared" si="122"/>
        <v>213.22825277372402</v>
      </c>
      <c r="K186" s="1">
        <f t="shared" si="122"/>
        <v>151.47129643464717</v>
      </c>
      <c r="L186" s="1">
        <v>0</v>
      </c>
      <c r="M186" s="1">
        <f>J186</f>
        <v>213.22825277372402</v>
      </c>
    </row>
    <row r="188" spans="1:16" ht="30" x14ac:dyDescent="0.25">
      <c r="A188" s="1" t="s">
        <v>72</v>
      </c>
    </row>
    <row r="189" spans="1:16" x14ac:dyDescent="0.25">
      <c r="A189" s="1" t="s">
        <v>17</v>
      </c>
      <c r="B189" s="1">
        <v>1</v>
      </c>
      <c r="C189" s="1">
        <v>0.9</v>
      </c>
      <c r="D189" s="1">
        <v>0.8</v>
      </c>
      <c r="E189" s="1">
        <v>0.7</v>
      </c>
      <c r="F189" s="1">
        <v>0.6</v>
      </c>
      <c r="G189" s="1">
        <v>0.5</v>
      </c>
      <c r="H189" s="1">
        <v>0.4</v>
      </c>
      <c r="I189" s="1">
        <v>0.3</v>
      </c>
      <c r="J189" s="1">
        <v>0.2</v>
      </c>
      <c r="K189" s="1">
        <v>0.1</v>
      </c>
      <c r="L189" s="1">
        <v>0</v>
      </c>
      <c r="M189" s="1" t="s">
        <v>49</v>
      </c>
      <c r="O189" s="1" t="s">
        <v>22</v>
      </c>
      <c r="P189" s="1">
        <f>(3*220^2*0.11*3)/(2*3.14*10*((0.125+0.11)^2+(0.23+0.44)^2+0.2^2))</f>
        <v>1402.2396151127925</v>
      </c>
    </row>
    <row r="190" spans="1:16" ht="30" x14ac:dyDescent="0.25">
      <c r="A190" s="2" t="s">
        <v>26</v>
      </c>
      <c r="B190" s="1">
        <f t="shared" ref="B190" si="123">21-21*B189</f>
        <v>0</v>
      </c>
      <c r="C190" s="1">
        <f t="shared" ref="C190" si="124">21-21*C189</f>
        <v>2.0999999999999979</v>
      </c>
      <c r="D190" s="1">
        <f t="shared" ref="D190" si="125">21-21*D189</f>
        <v>4.1999999999999993</v>
      </c>
      <c r="E190" s="1">
        <f t="shared" ref="E190" si="126">21-21*E189</f>
        <v>6.3000000000000007</v>
      </c>
      <c r="F190" s="1">
        <f t="shared" ref="F190" si="127">21-21*F189</f>
        <v>8.4</v>
      </c>
      <c r="G190" s="1">
        <f t="shared" ref="G190" si="128">21-21*G189</f>
        <v>10.5</v>
      </c>
      <c r="H190" s="1">
        <f t="shared" ref="H190" si="129">21-21*H189</f>
        <v>12.6</v>
      </c>
      <c r="I190" s="1">
        <f t="shared" ref="I190" si="130">21-21*I189</f>
        <v>14.7</v>
      </c>
      <c r="J190" s="1">
        <f t="shared" ref="J190" si="131">21-21*J189</f>
        <v>16.8</v>
      </c>
      <c r="K190" s="1">
        <f>21-21*K189</f>
        <v>18.899999999999999</v>
      </c>
      <c r="L190" s="1">
        <v>21</v>
      </c>
      <c r="M190" s="1">
        <f>42-0.2658*42</f>
        <v>30.836400000000001</v>
      </c>
      <c r="O190" s="1" t="s">
        <v>23</v>
      </c>
      <c r="P190" s="1">
        <f>(3*220^2*3)/(4*3.14*10*(0.125+(0.125^2+(0.23+0.44)^2+0.2^2)^(1/2)))</f>
        <v>4151.9885693612914</v>
      </c>
    </row>
    <row r="191" spans="1:16" ht="30" x14ac:dyDescent="0.25">
      <c r="A191" s="1" t="s">
        <v>56</v>
      </c>
      <c r="B191" s="1">
        <f>(3*220^2*(0.11/B189)*3)/(2*3.14*10*((0.125+(0.11/B189))^2+(0.23+0.44)^2+0.2^2))</f>
        <v>1402.2396151127925</v>
      </c>
      <c r="C191" s="1">
        <f t="shared" ref="C191:K191" si="132">(3*220^2*(0.11/C189)*3)/(2*3.14*10*((0.125+(0.11/C189))^2+(0.23+0.44)^2+0.2^2))</f>
        <v>1541.3485116747929</v>
      </c>
      <c r="D191" s="1">
        <f t="shared" si="132"/>
        <v>1709.8088058650476</v>
      </c>
      <c r="E191" s="1">
        <f t="shared" si="132"/>
        <v>1917.2948054779367</v>
      </c>
      <c r="F191" s="1">
        <f t="shared" si="132"/>
        <v>2177.6071728636343</v>
      </c>
      <c r="G191" s="1">
        <f t="shared" si="132"/>
        <v>2510.1571100818301</v>
      </c>
      <c r="H191" s="1">
        <f t="shared" si="132"/>
        <v>2939.5655361891204</v>
      </c>
      <c r="I191" s="1">
        <f t="shared" si="132"/>
        <v>3480.9559276273644</v>
      </c>
      <c r="J191" s="1">
        <f t="shared" si="132"/>
        <v>4039.0335384095083</v>
      </c>
      <c r="K191" s="1">
        <f t="shared" si="132"/>
        <v>3835.0542494979873</v>
      </c>
      <c r="L191" s="1">
        <v>0</v>
      </c>
      <c r="M191" s="1">
        <f>(3*220^2*(0.11/0.2658)*3)/(2*3.14*50*((0.125+(0.11/0.2658))^2+(0.23+0.44)^2+0.2^2))</f>
        <v>736.74454740899102</v>
      </c>
      <c r="O191" s="1" t="s">
        <v>29</v>
      </c>
      <c r="P191" s="1">
        <f>0.11/((0.125^2+(0.23+0.11)^2+0.2^2)^(1/2))</f>
        <v>0.26583312565128503</v>
      </c>
    </row>
    <row r="192" spans="1:16" ht="30" x14ac:dyDescent="0.25">
      <c r="A192" s="1" t="s">
        <v>57</v>
      </c>
      <c r="B192" s="1">
        <f>(220)/((0.125+(0.11/B189))^2+(0.23+0.44)^2+0.2^2)^(1/2)</f>
        <v>298.24511617511263</v>
      </c>
      <c r="C192" s="1">
        <f t="shared" ref="C192:K192" si="133">(220)/((0.125+(0.11/C189))^2+(0.23+0.44)^2+0.2^2)^(1/2)</f>
        <v>296.6428623065683</v>
      </c>
      <c r="D192" s="1">
        <f t="shared" si="133"/>
        <v>294.56489811015581</v>
      </c>
      <c r="E192" s="1">
        <f t="shared" si="133"/>
        <v>291.78011585592856</v>
      </c>
      <c r="F192" s="1">
        <f t="shared" si="133"/>
        <v>287.89068891006679</v>
      </c>
      <c r="G192" s="1">
        <f t="shared" si="133"/>
        <v>282.16145041012408</v>
      </c>
      <c r="H192" s="1">
        <f t="shared" si="133"/>
        <v>273.10760499874817</v>
      </c>
      <c r="I192" s="1">
        <f t="shared" si="133"/>
        <v>257.37841039581843</v>
      </c>
      <c r="J192" s="1">
        <f t="shared" si="133"/>
        <v>226.36847864413463</v>
      </c>
      <c r="K192" s="1">
        <f t="shared" si="133"/>
        <v>155.9724810189264</v>
      </c>
      <c r="L192" s="1">
        <v>0</v>
      </c>
      <c r="M192" s="1">
        <f>(220)/((0.125+(0.11/0.2658))^2+(0.23+0.44)^2+0.2^2)^(1/2)</f>
        <v>249.22016557555358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2021-11-29T19:27:46Z</dcterms:modified>
</cp:coreProperties>
</file>