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xr:revisionPtr revIDLastSave="0" documentId="13_ncr:1_{282AD22A-18D3-4007-9789-B0157CA002B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90" i="3" l="1"/>
  <c r="T49" i="3"/>
  <c r="I2" i="2"/>
  <c r="Q136" i="3" l="1"/>
  <c r="C136" i="3"/>
  <c r="K146" i="3"/>
  <c r="K143" i="3" s="1"/>
  <c r="J146" i="3"/>
  <c r="J145" i="3" s="1"/>
  <c r="I146" i="3"/>
  <c r="I145" i="3" s="1"/>
  <c r="H146" i="3"/>
  <c r="H144" i="3" s="1"/>
  <c r="G146" i="3"/>
  <c r="G144" i="3" s="1"/>
  <c r="F137" i="3"/>
  <c r="M136" i="3"/>
  <c r="Q140" i="3" s="1"/>
  <c r="K136" i="3"/>
  <c r="J136" i="3"/>
  <c r="I136" i="3"/>
  <c r="H136" i="3"/>
  <c r="G136" i="3"/>
  <c r="K100" i="3"/>
  <c r="K97" i="3" s="1"/>
  <c r="J100" i="3"/>
  <c r="J94" i="3" s="1"/>
  <c r="I100" i="3"/>
  <c r="I99" i="3" s="1"/>
  <c r="H100" i="3"/>
  <c r="H95" i="3" s="1"/>
  <c r="G100" i="3"/>
  <c r="G97" i="3" s="1"/>
  <c r="J97" i="3"/>
  <c r="I97" i="3"/>
  <c r="J96" i="3"/>
  <c r="J91" i="3"/>
  <c r="I91" i="3"/>
  <c r="F91" i="3"/>
  <c r="F92" i="3" s="1"/>
  <c r="M90" i="3"/>
  <c r="K90" i="3"/>
  <c r="J90" i="3"/>
  <c r="I90" i="3"/>
  <c r="H90" i="3"/>
  <c r="G90" i="3"/>
  <c r="K59" i="3"/>
  <c r="K53" i="3" s="1"/>
  <c r="I59" i="3"/>
  <c r="I53" i="3" s="1"/>
  <c r="J59" i="3"/>
  <c r="J58" i="3" s="1"/>
  <c r="H59" i="3"/>
  <c r="H58" i="3" s="1"/>
  <c r="G59" i="3"/>
  <c r="G50" i="3" s="1"/>
  <c r="C5" i="2"/>
  <c r="C6" i="2"/>
  <c r="C7" i="2"/>
  <c r="C8" i="2"/>
  <c r="P2" i="2"/>
  <c r="F3" i="2"/>
  <c r="F4" i="2"/>
  <c r="F5" i="2"/>
  <c r="F2" i="1"/>
  <c r="J57" i="3"/>
  <c r="H57" i="3"/>
  <c r="K56" i="3"/>
  <c r="H56" i="3"/>
  <c r="G56" i="3"/>
  <c r="K55" i="3"/>
  <c r="J55" i="3"/>
  <c r="J53" i="3"/>
  <c r="H53" i="3"/>
  <c r="K52" i="3"/>
  <c r="H52" i="3"/>
  <c r="G52" i="3"/>
  <c r="K51" i="3"/>
  <c r="J51" i="3"/>
  <c r="M49" i="3"/>
  <c r="K49" i="3"/>
  <c r="J49" i="3"/>
  <c r="I49" i="3"/>
  <c r="H49" i="3"/>
  <c r="G49" i="3"/>
  <c r="W9" i="3"/>
  <c r="T9" i="3"/>
  <c r="U9" i="3"/>
  <c r="V9" i="3"/>
  <c r="T10" i="3"/>
  <c r="V11" i="3"/>
  <c r="W11" i="3"/>
  <c r="T12" i="3"/>
  <c r="U12" i="3"/>
  <c r="V12" i="3"/>
  <c r="W12" i="3"/>
  <c r="T13" i="3"/>
  <c r="U13" i="3"/>
  <c r="V13" i="3"/>
  <c r="W13" i="3"/>
  <c r="T14" i="3"/>
  <c r="V15" i="3"/>
  <c r="W15" i="3"/>
  <c r="T8" i="3"/>
  <c r="U8" i="3"/>
  <c r="V8" i="3"/>
  <c r="W8" i="3"/>
  <c r="T7" i="3"/>
  <c r="U7" i="3"/>
  <c r="V7" i="3"/>
  <c r="W7" i="3"/>
  <c r="T6" i="3"/>
  <c r="U6" i="3"/>
  <c r="V6" i="3"/>
  <c r="W6" i="3"/>
  <c r="W16" i="3"/>
  <c r="W10" i="3" s="1"/>
  <c r="V16" i="3"/>
  <c r="V10" i="3" s="1"/>
  <c r="U16" i="3"/>
  <c r="U11" i="3" s="1"/>
  <c r="T16" i="3"/>
  <c r="T11" i="3" s="1"/>
  <c r="Y6" i="3"/>
  <c r="F50" i="3"/>
  <c r="F51" i="3" s="1"/>
  <c r="S6" i="3"/>
  <c r="R7" i="3"/>
  <c r="R8" i="3"/>
  <c r="R9" i="3" s="1"/>
  <c r="S16" i="3"/>
  <c r="S8" i="3" s="1"/>
  <c r="E12" i="3"/>
  <c r="E6" i="3" s="1"/>
  <c r="E11" i="3"/>
  <c r="D3" i="3"/>
  <c r="D4" i="3" s="1"/>
  <c r="D5" i="3" s="1"/>
  <c r="D6" i="3" s="1"/>
  <c r="D7" i="3" s="1"/>
  <c r="D8" i="3" s="1"/>
  <c r="D9" i="3" s="1"/>
  <c r="D10" i="3" s="1"/>
  <c r="D11" i="3" s="1"/>
  <c r="G2" i="3"/>
  <c r="F2" i="3" s="1"/>
  <c r="E2" i="3"/>
  <c r="Q2" i="1"/>
  <c r="M3" i="2"/>
  <c r="M4" i="2"/>
  <c r="O12" i="2"/>
  <c r="O11" i="2" s="1"/>
  <c r="N3" i="2"/>
  <c r="N4" i="2" s="1"/>
  <c r="Q2" i="2"/>
  <c r="O2" i="2"/>
  <c r="C2" i="2"/>
  <c r="E12" i="2"/>
  <c r="E3" i="2" s="1"/>
  <c r="E12" i="1"/>
  <c r="E5" i="1" s="1"/>
  <c r="E11" i="2"/>
  <c r="E10" i="2"/>
  <c r="E9" i="2"/>
  <c r="E8" i="2"/>
  <c r="D3" i="2"/>
  <c r="D4" i="2" s="1"/>
  <c r="D5" i="2" s="1"/>
  <c r="D6" i="2" s="1"/>
  <c r="D7" i="2" s="1"/>
  <c r="D8" i="2" s="1"/>
  <c r="D9" i="2" s="1"/>
  <c r="D10" i="2" s="1"/>
  <c r="D11" i="2" s="1"/>
  <c r="G2" i="2"/>
  <c r="P4" i="2" s="1"/>
  <c r="E2" i="2"/>
  <c r="G2" i="1"/>
  <c r="O2" i="1" s="1"/>
  <c r="E2" i="1"/>
  <c r="E6" i="1"/>
  <c r="E7" i="1"/>
  <c r="E8" i="1"/>
  <c r="E9" i="1"/>
  <c r="D3" i="1"/>
  <c r="D4" i="1" s="1"/>
  <c r="N4" i="1" l="1"/>
  <c r="M3" i="1"/>
  <c r="M4" i="1"/>
  <c r="N3" i="1"/>
  <c r="M2" i="1"/>
  <c r="N2" i="1"/>
  <c r="E137" i="3"/>
  <c r="E136" i="3"/>
  <c r="D5" i="1"/>
  <c r="C4" i="1"/>
  <c r="J140" i="3"/>
  <c r="I92" i="3"/>
  <c r="E3" i="1"/>
  <c r="C2" i="3"/>
  <c r="J93" i="3"/>
  <c r="F4" i="1"/>
  <c r="K98" i="3"/>
  <c r="K57" i="3"/>
  <c r="J95" i="3"/>
  <c r="H138" i="3"/>
  <c r="Q139" i="3"/>
  <c r="E49" i="3"/>
  <c r="E4" i="2"/>
  <c r="C2" i="1"/>
  <c r="E7" i="3"/>
  <c r="T15" i="3"/>
  <c r="K50" i="3"/>
  <c r="K54" i="3"/>
  <c r="K58" i="3"/>
  <c r="F9" i="2"/>
  <c r="P3" i="2"/>
  <c r="AC6" i="3"/>
  <c r="I95" i="3"/>
  <c r="J99" i="3"/>
  <c r="E5" i="2"/>
  <c r="E8" i="3"/>
  <c r="W14" i="3"/>
  <c r="G51" i="3"/>
  <c r="G55" i="3"/>
  <c r="I58" i="3"/>
  <c r="F8" i="2"/>
  <c r="C11" i="2"/>
  <c r="E11" i="1"/>
  <c r="E6" i="2"/>
  <c r="E9" i="3"/>
  <c r="V14" i="3"/>
  <c r="H51" i="3"/>
  <c r="H55" i="3"/>
  <c r="F7" i="2"/>
  <c r="C10" i="2"/>
  <c r="H96" i="3"/>
  <c r="J138" i="3"/>
  <c r="Q138" i="3"/>
  <c r="H142" i="3"/>
  <c r="I93" i="3"/>
  <c r="I57" i="3"/>
  <c r="J98" i="3"/>
  <c r="E3" i="3"/>
  <c r="H94" i="3"/>
  <c r="E4" i="3"/>
  <c r="H99" i="3"/>
  <c r="M2" i="2"/>
  <c r="E5" i="3"/>
  <c r="E10" i="1"/>
  <c r="E7" i="2"/>
  <c r="E10" i="3"/>
  <c r="U14" i="3"/>
  <c r="U10" i="3"/>
  <c r="I51" i="3"/>
  <c r="I55" i="3"/>
  <c r="F2" i="2"/>
  <c r="F6" i="2"/>
  <c r="C9" i="2"/>
  <c r="H91" i="3"/>
  <c r="I96" i="3"/>
  <c r="J139" i="3"/>
  <c r="Q137" i="3"/>
  <c r="C4" i="2"/>
  <c r="J92" i="3"/>
  <c r="G98" i="3"/>
  <c r="K142" i="3"/>
  <c r="E4" i="1"/>
  <c r="C3" i="1"/>
  <c r="G53" i="3"/>
  <c r="G57" i="3"/>
  <c r="C3" i="2"/>
  <c r="H93" i="3"/>
  <c r="H98" i="3"/>
  <c r="H143" i="3"/>
  <c r="E51" i="3"/>
  <c r="K144" i="3"/>
  <c r="E50" i="3"/>
  <c r="H145" i="3"/>
  <c r="G143" i="3"/>
  <c r="H140" i="3"/>
  <c r="H97" i="3"/>
  <c r="H92" i="3"/>
  <c r="G142" i="3"/>
  <c r="I98" i="3"/>
  <c r="F3" i="1"/>
  <c r="I94" i="3"/>
  <c r="G54" i="3"/>
  <c r="G58" i="3"/>
  <c r="F11" i="2"/>
  <c r="P5" i="2"/>
  <c r="U15" i="3"/>
  <c r="H50" i="3"/>
  <c r="H54" i="3"/>
  <c r="F10" i="2"/>
  <c r="J141" i="3"/>
  <c r="J142" i="3"/>
  <c r="J144" i="3"/>
  <c r="J137" i="3"/>
  <c r="J143" i="3"/>
  <c r="H137" i="3"/>
  <c r="H139" i="3"/>
  <c r="H141" i="3"/>
  <c r="I142" i="3"/>
  <c r="G137" i="3"/>
  <c r="K137" i="3"/>
  <c r="G138" i="3"/>
  <c r="K138" i="3"/>
  <c r="G139" i="3"/>
  <c r="K139" i="3"/>
  <c r="G140" i="3"/>
  <c r="K140" i="3"/>
  <c r="G141" i="3"/>
  <c r="K141" i="3"/>
  <c r="I143" i="3"/>
  <c r="G145" i="3"/>
  <c r="K145" i="3"/>
  <c r="F138" i="3"/>
  <c r="E138" i="3" s="1"/>
  <c r="I144" i="3"/>
  <c r="I137" i="3"/>
  <c r="I138" i="3"/>
  <c r="I139" i="3"/>
  <c r="I140" i="3"/>
  <c r="I141" i="3"/>
  <c r="F93" i="3"/>
  <c r="G91" i="3"/>
  <c r="K91" i="3"/>
  <c r="G92" i="3"/>
  <c r="K92" i="3"/>
  <c r="G93" i="3"/>
  <c r="K93" i="3"/>
  <c r="G94" i="3"/>
  <c r="K94" i="3"/>
  <c r="G95" i="3"/>
  <c r="K95" i="3"/>
  <c r="G99" i="3"/>
  <c r="K99" i="3"/>
  <c r="G96" i="3"/>
  <c r="K96" i="3"/>
  <c r="I50" i="3"/>
  <c r="I52" i="3"/>
  <c r="I54" i="3"/>
  <c r="I56" i="3"/>
  <c r="J50" i="3"/>
  <c r="J52" i="3"/>
  <c r="J54" i="3"/>
  <c r="J56" i="3"/>
  <c r="F52" i="3"/>
  <c r="E52" i="3" s="1"/>
  <c r="R10" i="3"/>
  <c r="S15" i="3"/>
  <c r="S11" i="3"/>
  <c r="S7" i="3"/>
  <c r="S14" i="3"/>
  <c r="S10" i="3"/>
  <c r="S13" i="3"/>
  <c r="S9" i="3"/>
  <c r="S12" i="3"/>
  <c r="C3" i="3"/>
  <c r="C4" i="3"/>
  <c r="C5" i="3"/>
  <c r="C6" i="3"/>
  <c r="C7" i="3"/>
  <c r="C8" i="3"/>
  <c r="C9" i="3"/>
  <c r="C10" i="3"/>
  <c r="C11" i="3"/>
  <c r="F3" i="3"/>
  <c r="F4" i="3"/>
  <c r="F5" i="3"/>
  <c r="F6" i="3"/>
  <c r="F7" i="3"/>
  <c r="F8" i="3"/>
  <c r="F9" i="3"/>
  <c r="F10" i="3"/>
  <c r="F11" i="3"/>
  <c r="N5" i="2"/>
  <c r="M5" i="2" s="1"/>
  <c r="O3" i="2"/>
  <c r="O4" i="2"/>
  <c r="O5" i="2"/>
  <c r="O6" i="2"/>
  <c r="O7" i="2"/>
  <c r="O8" i="2"/>
  <c r="O9" i="2"/>
  <c r="O10" i="2"/>
  <c r="Q92" i="3" l="1"/>
  <c r="Q93" i="3"/>
  <c r="D6" i="1"/>
  <c r="C5" i="1"/>
  <c r="F5" i="1"/>
  <c r="M5" i="1"/>
  <c r="D136" i="3"/>
  <c r="D137" i="3"/>
  <c r="D138" i="3"/>
  <c r="D139" i="3"/>
  <c r="B138" i="3"/>
  <c r="B136" i="3"/>
  <c r="B137" i="3"/>
  <c r="AD8" i="3"/>
  <c r="AD7" i="3"/>
  <c r="AD9" i="3"/>
  <c r="AD10" i="3"/>
  <c r="AD6" i="3"/>
  <c r="Q91" i="3"/>
  <c r="B91" i="3" s="1"/>
  <c r="Q90" i="3"/>
  <c r="Q94" i="3"/>
  <c r="Q51" i="3"/>
  <c r="Q53" i="3"/>
  <c r="Q50" i="3"/>
  <c r="Q52" i="3"/>
  <c r="Q49" i="3"/>
  <c r="A49" i="3" s="1"/>
  <c r="N5" i="1"/>
  <c r="A136" i="3"/>
  <c r="A137" i="3"/>
  <c r="A138" i="3"/>
  <c r="C137" i="3"/>
  <c r="C138" i="3"/>
  <c r="F139" i="3"/>
  <c r="E139" i="3" s="1"/>
  <c r="F94" i="3"/>
  <c r="F53" i="3"/>
  <c r="E53" i="3" s="1"/>
  <c r="R11" i="3"/>
  <c r="N6" i="2"/>
  <c r="Q7" i="3" l="1"/>
  <c r="Q8" i="3"/>
  <c r="Q9" i="3"/>
  <c r="Q10" i="3"/>
  <c r="Q11" i="3"/>
  <c r="Q6" i="3"/>
  <c r="B92" i="3"/>
  <c r="B93" i="3"/>
  <c r="B94" i="3"/>
  <c r="B95" i="3"/>
  <c r="B90" i="3"/>
  <c r="N7" i="3"/>
  <c r="N8" i="3"/>
  <c r="N9" i="3"/>
  <c r="N10" i="3"/>
  <c r="N11" i="3"/>
  <c r="N6" i="3"/>
  <c r="P11" i="3"/>
  <c r="P12" i="3"/>
  <c r="P6" i="3"/>
  <c r="P7" i="3"/>
  <c r="P8" i="3"/>
  <c r="P9" i="3"/>
  <c r="P10" i="3"/>
  <c r="A52" i="3"/>
  <c r="A53" i="3"/>
  <c r="A54" i="3"/>
  <c r="A50" i="3"/>
  <c r="A51" i="3"/>
  <c r="M6" i="3"/>
  <c r="M7" i="3"/>
  <c r="M8" i="3"/>
  <c r="M9" i="3"/>
  <c r="M10" i="3"/>
  <c r="M11" i="3"/>
  <c r="B50" i="3"/>
  <c r="B51" i="3"/>
  <c r="B52" i="3"/>
  <c r="B53" i="3"/>
  <c r="B49" i="3"/>
  <c r="D7" i="1"/>
  <c r="F6" i="1"/>
  <c r="C6" i="1"/>
  <c r="M6" i="1"/>
  <c r="N6" i="1"/>
  <c r="A139" i="3"/>
  <c r="D50" i="3"/>
  <c r="D51" i="3"/>
  <c r="D52" i="3"/>
  <c r="D53" i="3"/>
  <c r="D49" i="3"/>
  <c r="C139" i="3"/>
  <c r="C49" i="3"/>
  <c r="C50" i="3"/>
  <c r="C51" i="3"/>
  <c r="C52" i="3"/>
  <c r="C53" i="3"/>
  <c r="C54" i="3"/>
  <c r="E91" i="3"/>
  <c r="E92" i="3"/>
  <c r="E93" i="3"/>
  <c r="E94" i="3"/>
  <c r="E90" i="3"/>
  <c r="B139" i="3"/>
  <c r="D93" i="3"/>
  <c r="D94" i="3"/>
  <c r="D95" i="3"/>
  <c r="D90" i="3"/>
  <c r="D91" i="3"/>
  <c r="D92" i="3"/>
  <c r="O7" i="3"/>
  <c r="O8" i="3"/>
  <c r="O9" i="3"/>
  <c r="O10" i="3"/>
  <c r="O11" i="3"/>
  <c r="O12" i="3"/>
  <c r="O6" i="3"/>
  <c r="P6" i="2"/>
  <c r="M6" i="2"/>
  <c r="A90" i="3"/>
  <c r="A91" i="3"/>
  <c r="A92" i="3"/>
  <c r="A93" i="3"/>
  <c r="A94" i="3"/>
  <c r="C90" i="3"/>
  <c r="C91" i="3"/>
  <c r="C92" i="3"/>
  <c r="C93" i="3"/>
  <c r="C94" i="3"/>
  <c r="F140" i="3"/>
  <c r="F95" i="3"/>
  <c r="A95" i="3" s="1"/>
  <c r="F54" i="3"/>
  <c r="E54" i="3" s="1"/>
  <c r="R12" i="3"/>
  <c r="Q12" i="3" s="1"/>
  <c r="N7" i="2"/>
  <c r="M12" i="3" l="1"/>
  <c r="N12" i="3"/>
  <c r="P7" i="2"/>
  <c r="M7" i="2"/>
  <c r="D8" i="1"/>
  <c r="C7" i="1"/>
  <c r="M7" i="1"/>
  <c r="F7" i="1"/>
  <c r="N7" i="1"/>
  <c r="E95" i="3"/>
  <c r="C95" i="3"/>
  <c r="E140" i="3"/>
  <c r="B140" i="3"/>
  <c r="C140" i="3"/>
  <c r="D140" i="3"/>
  <c r="A140" i="3"/>
  <c r="D54" i="3"/>
  <c r="B54" i="3"/>
  <c r="F141" i="3"/>
  <c r="F96" i="3"/>
  <c r="F55" i="3"/>
  <c r="R13" i="3"/>
  <c r="N8" i="2"/>
  <c r="E55" i="3" l="1"/>
  <c r="C55" i="3"/>
  <c r="B55" i="3"/>
  <c r="D55" i="3"/>
  <c r="A55" i="3"/>
  <c r="C96" i="3"/>
  <c r="B96" i="3"/>
  <c r="D96" i="3"/>
  <c r="E96" i="3"/>
  <c r="A96" i="3"/>
  <c r="E141" i="3"/>
  <c r="C141" i="3"/>
  <c r="D141" i="3"/>
  <c r="B141" i="3"/>
  <c r="A141" i="3"/>
  <c r="P8" i="2"/>
  <c r="M8" i="2"/>
  <c r="D9" i="1"/>
  <c r="F8" i="1"/>
  <c r="C8" i="1"/>
  <c r="N8" i="1"/>
  <c r="M8" i="1"/>
  <c r="P13" i="3"/>
  <c r="M13" i="3"/>
  <c r="Q13" i="3"/>
  <c r="N13" i="3"/>
  <c r="O13" i="3"/>
  <c r="F142" i="3"/>
  <c r="F97" i="3"/>
  <c r="F56" i="3"/>
  <c r="R14" i="3"/>
  <c r="N9" i="2"/>
  <c r="P14" i="3" l="1"/>
  <c r="M14" i="3"/>
  <c r="Q14" i="3"/>
  <c r="O14" i="3"/>
  <c r="N14" i="3"/>
  <c r="B97" i="3"/>
  <c r="D97" i="3"/>
  <c r="C97" i="3"/>
  <c r="A97" i="3"/>
  <c r="E97" i="3"/>
  <c r="E56" i="3"/>
  <c r="B56" i="3"/>
  <c r="D56" i="3"/>
  <c r="C56" i="3"/>
  <c r="A56" i="3"/>
  <c r="P9" i="2"/>
  <c r="M9" i="2"/>
  <c r="E142" i="3"/>
  <c r="C142" i="3"/>
  <c r="D142" i="3"/>
  <c r="B142" i="3"/>
  <c r="A142" i="3"/>
  <c r="D10" i="1"/>
  <c r="F9" i="1"/>
  <c r="M9" i="1"/>
  <c r="N9" i="1"/>
  <c r="C9" i="1"/>
  <c r="F143" i="3"/>
  <c r="F98" i="3"/>
  <c r="F57" i="3"/>
  <c r="R15" i="3"/>
  <c r="N10" i="2"/>
  <c r="P15" i="3" l="1"/>
  <c r="M15" i="3"/>
  <c r="Q15" i="3"/>
  <c r="O15" i="3"/>
  <c r="N15" i="3"/>
  <c r="E57" i="3"/>
  <c r="C57" i="3"/>
  <c r="D57" i="3"/>
  <c r="B57" i="3"/>
  <c r="A57" i="3"/>
  <c r="E143" i="3"/>
  <c r="A143" i="3"/>
  <c r="D143" i="3"/>
  <c r="B143" i="3"/>
  <c r="C143" i="3"/>
  <c r="P10" i="2"/>
  <c r="M10" i="2"/>
  <c r="B98" i="3"/>
  <c r="D98" i="3"/>
  <c r="E98" i="3"/>
  <c r="A98" i="3"/>
  <c r="C98" i="3"/>
  <c r="D11" i="1"/>
  <c r="F10" i="1"/>
  <c r="N10" i="1"/>
  <c r="C10" i="1"/>
  <c r="M10" i="1"/>
  <c r="F144" i="3"/>
  <c r="F99" i="3"/>
  <c r="F58" i="3"/>
  <c r="N11" i="2"/>
  <c r="E58" i="3" l="1"/>
  <c r="C58" i="3"/>
  <c r="B58" i="3"/>
  <c r="D58" i="3"/>
  <c r="A58" i="3"/>
  <c r="E144" i="3"/>
  <c r="A144" i="3"/>
  <c r="B144" i="3"/>
  <c r="D144" i="3"/>
  <c r="C144" i="3"/>
  <c r="F11" i="1"/>
  <c r="M11" i="1"/>
  <c r="C11" i="1"/>
  <c r="N11" i="1"/>
  <c r="P11" i="2"/>
  <c r="M11" i="2"/>
  <c r="E99" i="3"/>
  <c r="B99" i="3"/>
  <c r="D99" i="3"/>
  <c r="A99" i="3"/>
  <c r="C99" i="3"/>
  <c r="F145" i="3"/>
  <c r="E145" i="3" l="1"/>
  <c r="A145" i="3"/>
  <c r="D145" i="3"/>
  <c r="B145" i="3"/>
  <c r="C145" i="3"/>
</calcChain>
</file>

<file path=xl/sharedStrings.xml><?xml version="1.0" encoding="utf-8"?>
<sst xmlns="http://schemas.openxmlformats.org/spreadsheetml/2006/main" count="103" uniqueCount="28">
  <si>
    <t>Mп</t>
  </si>
  <si>
    <t>Mk</t>
  </si>
  <si>
    <t>M</t>
  </si>
  <si>
    <t>S</t>
  </si>
  <si>
    <t>I' 2</t>
  </si>
  <si>
    <t>w</t>
  </si>
  <si>
    <t>Uсфн</t>
  </si>
  <si>
    <t>U1</t>
  </si>
  <si>
    <t>K</t>
  </si>
  <si>
    <t>K^2</t>
  </si>
  <si>
    <t>rдоб</t>
  </si>
  <si>
    <t>Задание 3.1</t>
  </si>
  <si>
    <t>Закон регулирования</t>
  </si>
  <si>
    <r>
      <rPr>
        <sz val="14"/>
        <color theme="1"/>
        <rFont val="Times New Roman"/>
        <family val="1"/>
        <charset val="204"/>
      </rPr>
      <t>f</t>
    </r>
    <r>
      <rPr>
        <sz val="12"/>
        <color theme="1"/>
        <rFont val="Times New Roman"/>
        <family val="1"/>
        <charset val="204"/>
      </rPr>
      <t>1</t>
    </r>
  </si>
  <si>
    <t>M(f1=50 Гц)</t>
  </si>
  <si>
    <t>M(f1=40 Гц)</t>
  </si>
  <si>
    <t>M(f1=30 Гц)</t>
  </si>
  <si>
    <t>M(f1=20 Гц)</t>
  </si>
  <si>
    <t>M(f1=10 Гц)</t>
  </si>
  <si>
    <t>Задание 3.2</t>
  </si>
  <si>
    <t>w(f1=50 Гц)</t>
  </si>
  <si>
    <t>w(f1=10 Гц)</t>
  </si>
  <si>
    <t>w(f1=20 Гц)</t>
  </si>
  <si>
    <t>w(f1=30 Гц)</t>
  </si>
  <si>
    <t>w(f1=40 Гц)</t>
  </si>
  <si>
    <t>U при частотах f1</t>
  </si>
  <si>
    <t>Задание 3.3</t>
  </si>
  <si>
    <t>Задание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</si>
</sst>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71741032370985E-2"/>
          <c:y val="0.17950911174862838"/>
          <c:w val="0.68504615048119011"/>
          <c:h val="0.70858437268984809"/>
        </c:manualLayout>
      </c:layout>
      <c:scatterChart>
        <c:scatterStyle val="smoothMarker"/>
        <c:varyColors val="0"/>
        <c:ser>
          <c:idx val="0"/>
          <c:order val="0"/>
          <c:tx>
            <c:v>w=f(M)</c:v>
          </c:tx>
          <c:marker>
            <c:symbol val="none"/>
          </c:marker>
          <c:xVal>
            <c:numRef>
              <c:f>'Задание 1'!$C$2:$C$12</c:f>
              <c:numCache>
                <c:formatCode>General</c:formatCode>
                <c:ptCount val="11"/>
                <c:pt idx="0">
                  <c:v>190.73059623376108</c:v>
                </c:pt>
                <c:pt idx="1">
                  <c:v>205.2844938397181</c:v>
                </c:pt>
                <c:pt idx="2">
                  <c:v>221.76135590175957</c:v>
                </c:pt>
                <c:pt idx="3">
                  <c:v>240.30515315179844</c:v>
                </c:pt>
                <c:pt idx="4">
                  <c:v>260.80110184320085</c:v>
                </c:pt>
                <c:pt idx="5">
                  <c:v>282.42139273090584</c:v>
                </c:pt>
                <c:pt idx="6">
                  <c:v>302.4885792472935</c:v>
                </c:pt>
                <c:pt idx="7">
                  <c:v>313.64896387586793</c:v>
                </c:pt>
                <c:pt idx="8">
                  <c:v>297.28188780050795</c:v>
                </c:pt>
                <c:pt idx="9">
                  <c:v>212.22389851919203</c:v>
                </c:pt>
                <c:pt idx="10">
                  <c:v>0</c:v>
                </c:pt>
              </c:numCache>
            </c:numRef>
          </c:xVal>
          <c:yVal>
            <c:numRef>
              <c:f>'Задание 1'!$E$2:$E$12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A-474B-9C34-72FE070405ED}"/>
            </c:ext>
          </c:extLst>
        </c:ser>
        <c:ser>
          <c:idx val="1"/>
          <c:order val="1"/>
          <c:tx>
            <c:v>w=f(I' 2)</c:v>
          </c:tx>
          <c:marker>
            <c:symbol val="none"/>
          </c:marker>
          <c:xVal>
            <c:numRef>
              <c:f>'Задание 1'!$F$2:$F$12</c:f>
              <c:numCache>
                <c:formatCode>General</c:formatCode>
                <c:ptCount val="11"/>
                <c:pt idx="0">
                  <c:v>117.15173782782807</c:v>
                </c:pt>
                <c:pt idx="1">
                  <c:v>115.30227594953904</c:v>
                </c:pt>
                <c:pt idx="2">
                  <c:v>112.98648025624077</c:v>
                </c:pt>
                <c:pt idx="3">
                  <c:v>110.01935996071175</c:v>
                </c:pt>
                <c:pt idx="4">
                  <c:v>106.11307214278298</c:v>
                </c:pt>
                <c:pt idx="5">
                  <c:v>100.80274284948641</c:v>
                </c:pt>
                <c:pt idx="6">
                  <c:v>93.308893373395037</c:v>
                </c:pt>
                <c:pt idx="7">
                  <c:v>82.28508234019715</c:v>
                </c:pt>
                <c:pt idx="8">
                  <c:v>65.409039988837037</c:v>
                </c:pt>
                <c:pt idx="9">
                  <c:v>39.078303022549875</c:v>
                </c:pt>
                <c:pt idx="10">
                  <c:v>0</c:v>
                </c:pt>
              </c:numCache>
            </c:numRef>
          </c:xVal>
          <c:yVal>
            <c:numRef>
              <c:f>'Задание 1'!$E$2:$E$12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A-474B-9C34-72FE0704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1568"/>
        <c:axId val="94383104"/>
      </c:scatterChart>
      <c:valAx>
        <c:axId val="94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83104"/>
        <c:crosses val="autoZero"/>
        <c:crossBetween val="midCat"/>
      </c:valAx>
      <c:valAx>
        <c:axId val="943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8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0507436570429"/>
          <c:y val="0.14514382130805079"/>
          <c:w val="0.62389348206474216"/>
          <c:h val="0.73614681885694533"/>
        </c:manualLayout>
      </c:layout>
      <c:scatterChart>
        <c:scatterStyle val="smoothMarker"/>
        <c:varyColors val="0"/>
        <c:ser>
          <c:idx val="0"/>
          <c:order val="0"/>
          <c:tx>
            <c:v>w=f(M)иск</c:v>
          </c:tx>
          <c:marker>
            <c:symbol val="none"/>
          </c:marker>
          <c:xVal>
            <c:numRef>
              <c:f>'Задание 1'!$M$2:$M$12</c:f>
              <c:numCache>
                <c:formatCode>General</c:formatCode>
                <c:ptCount val="11"/>
                <c:pt idx="0">
                  <c:v>122.0675815896071</c:v>
                </c:pt>
                <c:pt idx="1">
                  <c:v>131.38207605741957</c:v>
                </c:pt>
                <c:pt idx="2">
                  <c:v>141.92726777712613</c:v>
                </c:pt>
                <c:pt idx="3">
                  <c:v>153.795298017151</c:v>
                </c:pt>
                <c:pt idx="4">
                  <c:v>166.91270517964858</c:v>
                </c:pt>
                <c:pt idx="5">
                  <c:v>180.74969134777976</c:v>
                </c:pt>
                <c:pt idx="6">
                  <c:v>193.59269071826785</c:v>
                </c:pt>
                <c:pt idx="7">
                  <c:v>200.73533688055548</c:v>
                </c:pt>
                <c:pt idx="8">
                  <c:v>190.26040819232509</c:v>
                </c:pt>
                <c:pt idx="9">
                  <c:v>135.8232950522829</c:v>
                </c:pt>
                <c:pt idx="10">
                  <c:v>0</c:v>
                </c:pt>
              </c:numCache>
            </c:numRef>
          </c:xVal>
          <c:yVal>
            <c:numRef>
              <c:f>'Задание 1'!$E$2:$E$12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B-4868-8045-9493A1D7C3F5}"/>
            </c:ext>
          </c:extLst>
        </c:ser>
        <c:ser>
          <c:idx val="1"/>
          <c:order val="1"/>
          <c:tx>
            <c:v>w=f(I'2)иск</c:v>
          </c:tx>
          <c:marker>
            <c:symbol val="none"/>
          </c:marker>
          <c:xVal>
            <c:numRef>
              <c:f>'Задание 1'!$N$2:$N$12</c:f>
              <c:numCache>
                <c:formatCode>General</c:formatCode>
                <c:ptCount val="11"/>
                <c:pt idx="0">
                  <c:v>93.72139026226246</c:v>
                </c:pt>
                <c:pt idx="1">
                  <c:v>92.241820759631224</c:v>
                </c:pt>
                <c:pt idx="2">
                  <c:v>90.389184204992617</c:v>
                </c:pt>
                <c:pt idx="3">
                  <c:v>88.015487968569403</c:v>
                </c:pt>
                <c:pt idx="4">
                  <c:v>84.8904577142264</c:v>
                </c:pt>
                <c:pt idx="5">
                  <c:v>80.64219427958912</c:v>
                </c:pt>
                <c:pt idx="6">
                  <c:v>74.647114698716024</c:v>
                </c:pt>
                <c:pt idx="7">
                  <c:v>65.828065872157723</c:v>
                </c:pt>
                <c:pt idx="8">
                  <c:v>52.327231991069631</c:v>
                </c:pt>
                <c:pt idx="9">
                  <c:v>31.262642418039899</c:v>
                </c:pt>
                <c:pt idx="10">
                  <c:v>0</c:v>
                </c:pt>
              </c:numCache>
            </c:numRef>
          </c:xVal>
          <c:yVal>
            <c:numRef>
              <c:f>'Задание 1'!$E$2:$E$12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B-4868-8045-9493A1D7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55584"/>
        <c:axId val="95557120"/>
      </c:scatterChart>
      <c:valAx>
        <c:axId val="955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57120"/>
        <c:crosses val="autoZero"/>
        <c:crossBetween val="midCat"/>
      </c:valAx>
      <c:valAx>
        <c:axId val="955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5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71741032370985E-2"/>
          <c:y val="0.16053079957184124"/>
          <c:w val="0.66354615048119003"/>
          <c:h val="0.7184976319300872"/>
        </c:manualLayout>
      </c:layout>
      <c:scatterChart>
        <c:scatterStyle val="smoothMarker"/>
        <c:varyColors val="0"/>
        <c:ser>
          <c:idx val="0"/>
          <c:order val="0"/>
          <c:tx>
            <c:v>w=f(M)</c:v>
          </c:tx>
          <c:marker>
            <c:symbol val="none"/>
          </c:marker>
          <c:xVal>
            <c:numRef>
              <c:f>'Задание 2'!$M$2:$M$12</c:f>
              <c:numCache>
                <c:formatCode>General</c:formatCode>
                <c:ptCount val="11"/>
                <c:pt idx="0">
                  <c:v>190.73059623376108</c:v>
                </c:pt>
                <c:pt idx="1">
                  <c:v>205.2844938397181</c:v>
                </c:pt>
                <c:pt idx="2">
                  <c:v>221.76135590175957</c:v>
                </c:pt>
                <c:pt idx="3">
                  <c:v>240.30515315179844</c:v>
                </c:pt>
                <c:pt idx="4">
                  <c:v>260.80110184320085</c:v>
                </c:pt>
                <c:pt idx="5">
                  <c:v>282.42139273090584</c:v>
                </c:pt>
                <c:pt idx="6">
                  <c:v>302.4885792472935</c:v>
                </c:pt>
                <c:pt idx="7">
                  <c:v>313.64896387586793</c:v>
                </c:pt>
                <c:pt idx="8">
                  <c:v>297.28188780050795</c:v>
                </c:pt>
                <c:pt idx="9">
                  <c:v>212.22389851919203</c:v>
                </c:pt>
                <c:pt idx="10">
                  <c:v>0</c:v>
                </c:pt>
              </c:numCache>
            </c:numRef>
          </c:xVal>
          <c:yVal>
            <c:numRef>
              <c:f>'Задание 2'!$O$2:$O$12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0-4E1B-B49D-D72B9EEE4E28}"/>
            </c:ext>
          </c:extLst>
        </c:ser>
        <c:ser>
          <c:idx val="1"/>
          <c:order val="1"/>
          <c:tx>
            <c:v>w=f(I'2)</c:v>
          </c:tx>
          <c:marker>
            <c:symbol val="none"/>
          </c:marker>
          <c:xVal>
            <c:numRef>
              <c:f>'Задание 2'!$P$2:$P$12</c:f>
              <c:numCache>
                <c:formatCode>General</c:formatCode>
                <c:ptCount val="11"/>
                <c:pt idx="0">
                  <c:v>117.15173782782807</c:v>
                </c:pt>
                <c:pt idx="1">
                  <c:v>115.30227594953904</c:v>
                </c:pt>
                <c:pt idx="2">
                  <c:v>112.98648025624077</c:v>
                </c:pt>
                <c:pt idx="3">
                  <c:v>110.01935996071175</c:v>
                </c:pt>
                <c:pt idx="4">
                  <c:v>106.11307214278298</c:v>
                </c:pt>
                <c:pt idx="5">
                  <c:v>100.80274284948641</c:v>
                </c:pt>
                <c:pt idx="6">
                  <c:v>93.308893373395037</c:v>
                </c:pt>
                <c:pt idx="7">
                  <c:v>82.28508234019715</c:v>
                </c:pt>
                <c:pt idx="8">
                  <c:v>65.409039988837037</c:v>
                </c:pt>
                <c:pt idx="9">
                  <c:v>39.078303022549875</c:v>
                </c:pt>
                <c:pt idx="10">
                  <c:v>0</c:v>
                </c:pt>
              </c:numCache>
            </c:numRef>
          </c:xVal>
          <c:yVal>
            <c:numRef>
              <c:f>'Задание 2'!$O$2:$O$12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0-4E1B-B49D-D72B9EEE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8416"/>
        <c:axId val="96878976"/>
      </c:scatterChart>
      <c:valAx>
        <c:axId val="978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78976"/>
        <c:crosses val="autoZero"/>
        <c:crossBetween val="midCat"/>
      </c:valAx>
      <c:valAx>
        <c:axId val="96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88407699037621E-2"/>
          <c:y val="0.15481175022613705"/>
          <c:w val="0.6776294838145237"/>
          <c:h val="0.72284977089728208"/>
        </c:manualLayout>
      </c:layout>
      <c:scatterChart>
        <c:scatterStyle val="smoothMarker"/>
        <c:varyColors val="0"/>
        <c:ser>
          <c:idx val="0"/>
          <c:order val="0"/>
          <c:tx>
            <c:v>w=f(M)</c:v>
          </c:tx>
          <c:marker>
            <c:symbol val="none"/>
          </c:marker>
          <c:xVal>
            <c:numRef>
              <c:f>'Задание 2'!$C$2:$C$12</c:f>
              <c:numCache>
                <c:formatCode>General</c:formatCode>
                <c:ptCount val="11"/>
                <c:pt idx="0">
                  <c:v>348.89178061824924</c:v>
                </c:pt>
                <c:pt idx="1">
                  <c:v>375.51433279889</c:v>
                </c:pt>
                <c:pt idx="2">
                  <c:v>405.65444590786041</c:v>
                </c:pt>
                <c:pt idx="3">
                  <c:v>439.57547677414277</c:v>
                </c:pt>
                <c:pt idx="4">
                  <c:v>477.06745853064876</c:v>
                </c:pt>
                <c:pt idx="5">
                  <c:v>516.61613050172025</c:v>
                </c:pt>
                <c:pt idx="6">
                  <c:v>553.32380391097331</c:v>
                </c:pt>
                <c:pt idx="7">
                  <c:v>573.7388109540783</c:v>
                </c:pt>
                <c:pt idx="8">
                  <c:v>543.79952261646929</c:v>
                </c:pt>
                <c:pt idx="9">
                  <c:v>388.20816012843369</c:v>
                </c:pt>
                <c:pt idx="10">
                  <c:v>0</c:v>
                </c:pt>
              </c:numCache>
            </c:numRef>
          </c:xVal>
          <c:yVal>
            <c:numRef>
              <c:f>'Задание 2'!$E$2:$E$12</c:f>
              <c:numCache>
                <c:formatCode>General</c:formatCode>
                <c:ptCount val="11"/>
                <c:pt idx="0">
                  <c:v>0</c:v>
                </c:pt>
                <c:pt idx="1">
                  <c:v>5.2333333333333343</c:v>
                </c:pt>
                <c:pt idx="2">
                  <c:v>10.466666666666669</c:v>
                </c:pt>
                <c:pt idx="3">
                  <c:v>15.7</c:v>
                </c:pt>
                <c:pt idx="4">
                  <c:v>20.933333333333337</c:v>
                </c:pt>
                <c:pt idx="5">
                  <c:v>26.166666666666668</c:v>
                </c:pt>
                <c:pt idx="6">
                  <c:v>31.4</c:v>
                </c:pt>
                <c:pt idx="7">
                  <c:v>36.633333333333333</c:v>
                </c:pt>
                <c:pt idx="8">
                  <c:v>41.866666666666674</c:v>
                </c:pt>
                <c:pt idx="9">
                  <c:v>47.1</c:v>
                </c:pt>
                <c:pt idx="10">
                  <c:v>52.333333333333336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7-49F9-BCE8-1125B0108D6B}"/>
            </c:ext>
          </c:extLst>
        </c:ser>
        <c:ser>
          <c:idx val="1"/>
          <c:order val="1"/>
          <c:tx>
            <c:v>w=f(I'2)</c:v>
          </c:tx>
          <c:marker>
            <c:symbol val="none"/>
          </c:marker>
          <c:xVal>
            <c:numRef>
              <c:f>'Задание 2'!$F$2:$F$12</c:f>
              <c:numCache>
                <c:formatCode>General</c:formatCode>
                <c:ptCount val="11"/>
                <c:pt idx="0">
                  <c:v>98.445025797752535</c:v>
                </c:pt>
                <c:pt idx="1">
                  <c:v>95.658608808330499</c:v>
                </c:pt>
                <c:pt idx="2">
                  <c:v>92.260975942904423</c:v>
                </c:pt>
                <c:pt idx="3">
                  <c:v>88.060163652751413</c:v>
                </c:pt>
                <c:pt idx="4">
                  <c:v>82.790062340918524</c:v>
                </c:pt>
                <c:pt idx="5">
                  <c:v>76.081508931318623</c:v>
                </c:pt>
                <c:pt idx="6">
                  <c:v>67.429387559520137</c:v>
                </c:pt>
                <c:pt idx="7">
                  <c:v>56.171929905170948</c:v>
                </c:pt>
                <c:pt idx="8">
                  <c:v>41.531691673424909</c:v>
                </c:pt>
                <c:pt idx="9">
                  <c:v>22.828023607581486</c:v>
                </c:pt>
                <c:pt idx="10">
                  <c:v>0</c:v>
                </c:pt>
              </c:numCache>
            </c:numRef>
          </c:xVal>
          <c:yVal>
            <c:numRef>
              <c:f>'Задание 2'!$E$2:$E$12</c:f>
              <c:numCache>
                <c:formatCode>General</c:formatCode>
                <c:ptCount val="11"/>
                <c:pt idx="0">
                  <c:v>0</c:v>
                </c:pt>
                <c:pt idx="1">
                  <c:v>5.2333333333333343</c:v>
                </c:pt>
                <c:pt idx="2">
                  <c:v>10.466666666666669</c:v>
                </c:pt>
                <c:pt idx="3">
                  <c:v>15.7</c:v>
                </c:pt>
                <c:pt idx="4">
                  <c:v>20.933333333333337</c:v>
                </c:pt>
                <c:pt idx="5">
                  <c:v>26.166666666666668</c:v>
                </c:pt>
                <c:pt idx="6">
                  <c:v>31.4</c:v>
                </c:pt>
                <c:pt idx="7">
                  <c:v>36.633333333333333</c:v>
                </c:pt>
                <c:pt idx="8">
                  <c:v>41.866666666666674</c:v>
                </c:pt>
                <c:pt idx="9">
                  <c:v>47.1</c:v>
                </c:pt>
                <c:pt idx="10">
                  <c:v>52.333333333333336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7-49F9-BCE8-1125B010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11168"/>
        <c:axId val="97912704"/>
      </c:scatterChart>
      <c:valAx>
        <c:axId val="979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12704"/>
        <c:crosses val="autoZero"/>
        <c:crossBetween val="midCat"/>
      </c:valAx>
      <c:valAx>
        <c:axId val="979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1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71741032370985E-2"/>
          <c:y val="0.17879636257589027"/>
          <c:w val="0.66354615048119003"/>
          <c:h val="0.71184045176171162"/>
        </c:manualLayout>
      </c:layout>
      <c:scatterChart>
        <c:scatterStyle val="smoothMarker"/>
        <c:varyColors val="0"/>
        <c:ser>
          <c:idx val="0"/>
          <c:order val="0"/>
          <c:tx>
            <c:v>w=f(M)</c:v>
          </c:tx>
          <c:marker>
            <c:symbol val="none"/>
          </c:marker>
          <c:xVal>
            <c:numRef>
              <c:f>'Задание 3'!$C$2:$C$12</c:f>
              <c:numCache>
                <c:formatCode>General</c:formatCode>
                <c:ptCount val="11"/>
                <c:pt idx="0">
                  <c:v>190.73059623376108</c:v>
                </c:pt>
                <c:pt idx="1">
                  <c:v>205.2844938397181</c:v>
                </c:pt>
                <c:pt idx="2">
                  <c:v>221.76135590175957</c:v>
                </c:pt>
                <c:pt idx="3">
                  <c:v>240.30515315179844</c:v>
                </c:pt>
                <c:pt idx="4">
                  <c:v>260.80110184320085</c:v>
                </c:pt>
                <c:pt idx="5">
                  <c:v>282.42139273090584</c:v>
                </c:pt>
                <c:pt idx="6">
                  <c:v>302.4885792472935</c:v>
                </c:pt>
                <c:pt idx="7">
                  <c:v>313.64896387586793</c:v>
                </c:pt>
                <c:pt idx="8">
                  <c:v>297.28188780050795</c:v>
                </c:pt>
                <c:pt idx="9">
                  <c:v>212.22389851919203</c:v>
                </c:pt>
                <c:pt idx="10">
                  <c:v>0</c:v>
                </c:pt>
              </c:numCache>
            </c:numRef>
          </c:xVal>
          <c:yVal>
            <c:numRef>
              <c:f>'Задание 3'!$E$2:$E$12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B-4E4B-A307-39D279A8F1FB}"/>
            </c:ext>
          </c:extLst>
        </c:ser>
        <c:ser>
          <c:idx val="1"/>
          <c:order val="1"/>
          <c:tx>
            <c:v>w=f(I'2)</c:v>
          </c:tx>
          <c:marker>
            <c:symbol val="none"/>
          </c:marker>
          <c:xVal>
            <c:numRef>
              <c:f>'Задание 3'!$F$2:$F$12</c:f>
              <c:numCache>
                <c:formatCode>General</c:formatCode>
                <c:ptCount val="11"/>
                <c:pt idx="0">
                  <c:v>119.19858542160017</c:v>
                </c:pt>
                <c:pt idx="1">
                  <c:v>117.36055306752931</c:v>
                </c:pt>
                <c:pt idx="2">
                  <c:v>115.04882201918353</c:v>
                </c:pt>
                <c:pt idx="3">
                  <c:v>112.07243228733407</c:v>
                </c:pt>
                <c:pt idx="4">
                  <c:v>108.13310045737387</c:v>
                </c:pt>
                <c:pt idx="5">
                  <c:v>102.74752733604609</c:v>
                </c:pt>
                <c:pt idx="6">
                  <c:v>95.104001452740164</c:v>
                </c:pt>
                <c:pt idx="7">
                  <c:v>83.803278300004848</c:v>
                </c:pt>
                <c:pt idx="8">
                  <c:v>66.457733582044355</c:v>
                </c:pt>
                <c:pt idx="9">
                  <c:v>39.483316362215326</c:v>
                </c:pt>
                <c:pt idx="10">
                  <c:v>0</c:v>
                </c:pt>
              </c:numCache>
            </c:numRef>
          </c:xVal>
          <c:yVal>
            <c:numRef>
              <c:f>'Задание 3'!$E$2:$E$12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B-4E4B-A307-39D279A8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9856"/>
        <c:axId val="99033472"/>
      </c:scatterChart>
      <c:valAx>
        <c:axId val="979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33472"/>
        <c:crosses val="autoZero"/>
        <c:crossBetween val="midCat"/>
      </c:valAx>
      <c:valAx>
        <c:axId val="990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71741032370985E-2"/>
          <c:y val="0.17287064999228038"/>
          <c:w val="0.61186570428696418"/>
          <c:h val="0.72522859348463831"/>
        </c:manualLayout>
      </c:layout>
      <c:scatterChart>
        <c:scatterStyle val="smoothMarker"/>
        <c:varyColors val="0"/>
        <c:ser>
          <c:idx val="0"/>
          <c:order val="0"/>
          <c:tx>
            <c:v>w=f(M)50Гц</c:v>
          </c:tx>
          <c:marker>
            <c:symbol val="none"/>
          </c:marker>
          <c:xVal>
            <c:numRef>
              <c:f>'Задание 3'!$M$6:$M$16</c:f>
              <c:numCache>
                <c:formatCode>General</c:formatCode>
                <c:ptCount val="11"/>
                <c:pt idx="0">
                  <c:v>190.82778379872096</c:v>
                </c:pt>
                <c:pt idx="1">
                  <c:v>205.38909740345807</c:v>
                </c:pt>
                <c:pt idx="2">
                  <c:v>221.87435531877958</c:v>
                </c:pt>
                <c:pt idx="3">
                  <c:v>240.4276016374809</c:v>
                </c:pt>
                <c:pt idx="4">
                  <c:v>260.93399412439481</c:v>
                </c:pt>
                <c:pt idx="5">
                  <c:v>282.56530172083239</c:v>
                </c:pt>
                <c:pt idx="6">
                  <c:v>302.64271355519014</c:v>
                </c:pt>
                <c:pt idx="7">
                  <c:v>313.8087850039575</c:v>
                </c:pt>
                <c:pt idx="8">
                  <c:v>297.43336901722154</c:v>
                </c:pt>
                <c:pt idx="9">
                  <c:v>212.33203808531647</c:v>
                </c:pt>
                <c:pt idx="10">
                  <c:v>0</c:v>
                </c:pt>
              </c:numCache>
            </c:numRef>
          </c:xVal>
          <c:yVal>
            <c:numRef>
              <c:f>'Задание 3'!$S$6:$S$16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C-4A82-80F2-934046E5B32A}"/>
            </c:ext>
          </c:extLst>
        </c:ser>
        <c:ser>
          <c:idx val="1"/>
          <c:order val="1"/>
          <c:tx>
            <c:v>w=f(M)40Гц</c:v>
          </c:tx>
          <c:marker>
            <c:symbol val="none"/>
          </c:marker>
          <c:xVal>
            <c:numRef>
              <c:f>'Задание 3'!$N$6:$N$16</c:f>
              <c:numCache>
                <c:formatCode>General</c:formatCode>
                <c:ptCount val="11"/>
                <c:pt idx="0">
                  <c:v>204.13032468317911</c:v>
                </c:pt>
                <c:pt idx="1">
                  <c:v>217.41069985449994</c:v>
                </c:pt>
                <c:pt idx="2">
                  <c:v>231.88098939070653</c:v>
                </c:pt>
                <c:pt idx="3">
                  <c:v>247.34316739256829</c:v>
                </c:pt>
                <c:pt idx="4">
                  <c:v>263.18996671417642</c:v>
                </c:pt>
                <c:pt idx="5">
                  <c:v>277.93470607900451</c:v>
                </c:pt>
                <c:pt idx="6">
                  <c:v>288.21336236975333</c:v>
                </c:pt>
                <c:pt idx="7">
                  <c:v>286.71006035520668</c:v>
                </c:pt>
                <c:pt idx="8">
                  <c:v>258.24402719370511</c:v>
                </c:pt>
                <c:pt idx="9">
                  <c:v>174.76870133948628</c:v>
                </c:pt>
                <c:pt idx="10">
                  <c:v>0</c:v>
                </c:pt>
              </c:numCache>
            </c:numRef>
          </c:xVal>
          <c:yVal>
            <c:numRef>
              <c:f>'Задание 3'!$T$6:$T$16</c:f>
              <c:numCache>
                <c:formatCode>General</c:formatCode>
                <c:ptCount val="11"/>
                <c:pt idx="0">
                  <c:v>0</c:v>
                </c:pt>
                <c:pt idx="1">
                  <c:v>8.3733333333333331</c:v>
                </c:pt>
                <c:pt idx="2">
                  <c:v>16.746666666666666</c:v>
                </c:pt>
                <c:pt idx="3">
                  <c:v>25.12</c:v>
                </c:pt>
                <c:pt idx="4">
                  <c:v>33.493333333333332</c:v>
                </c:pt>
                <c:pt idx="5">
                  <c:v>41.866666666666667</c:v>
                </c:pt>
                <c:pt idx="6">
                  <c:v>50.24</c:v>
                </c:pt>
                <c:pt idx="7">
                  <c:v>58.61333333333333</c:v>
                </c:pt>
                <c:pt idx="8">
                  <c:v>66.986666666666665</c:v>
                </c:pt>
                <c:pt idx="9">
                  <c:v>75.36</c:v>
                </c:pt>
                <c:pt idx="10">
                  <c:v>83.733333333333334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C-4A82-80F2-934046E5B32A}"/>
            </c:ext>
          </c:extLst>
        </c:ser>
        <c:ser>
          <c:idx val="2"/>
          <c:order val="2"/>
          <c:tx>
            <c:v>w=f(M)30Гц</c:v>
          </c:tx>
          <c:marker>
            <c:symbol val="none"/>
          </c:marker>
          <c:xVal>
            <c:numRef>
              <c:f>'Задание 3'!$O$6:$O$16</c:f>
              <c:numCache>
                <c:formatCode>General</c:formatCode>
                <c:ptCount val="11"/>
                <c:pt idx="0">
                  <c:v>207.51073821128966</c:v>
                </c:pt>
                <c:pt idx="1">
                  <c:v>217.80258665612973</c:v>
                </c:pt>
                <c:pt idx="2">
                  <c:v>228.31684402682936</c:v>
                </c:pt>
                <c:pt idx="3">
                  <c:v>238.56679296223737</c:v>
                </c:pt>
                <c:pt idx="4">
                  <c:v>247.62276353196927</c:v>
                </c:pt>
                <c:pt idx="5">
                  <c:v>253.7480995107984</c:v>
                </c:pt>
                <c:pt idx="6">
                  <c:v>253.73604305648905</c:v>
                </c:pt>
                <c:pt idx="7">
                  <c:v>241.74240118472144</c:v>
                </c:pt>
                <c:pt idx="8">
                  <c:v>207.44625141563773</c:v>
                </c:pt>
                <c:pt idx="9">
                  <c:v>134.08678713396233</c:v>
                </c:pt>
                <c:pt idx="10">
                  <c:v>0</c:v>
                </c:pt>
              </c:numCache>
            </c:numRef>
          </c:xVal>
          <c:yVal>
            <c:numRef>
              <c:f>'Задание 3'!$U$6:$U$16</c:f>
              <c:numCache>
                <c:formatCode>General</c:formatCode>
                <c:ptCount val="11"/>
                <c:pt idx="0">
                  <c:v>0</c:v>
                </c:pt>
                <c:pt idx="1">
                  <c:v>6.2800000000000011</c:v>
                </c:pt>
                <c:pt idx="2">
                  <c:v>12.560000000000002</c:v>
                </c:pt>
                <c:pt idx="3">
                  <c:v>18.84</c:v>
                </c:pt>
                <c:pt idx="4">
                  <c:v>25.120000000000005</c:v>
                </c:pt>
                <c:pt idx="5">
                  <c:v>31.400000000000002</c:v>
                </c:pt>
                <c:pt idx="6">
                  <c:v>37.68</c:v>
                </c:pt>
                <c:pt idx="7">
                  <c:v>43.96</c:v>
                </c:pt>
                <c:pt idx="8">
                  <c:v>50.240000000000009</c:v>
                </c:pt>
                <c:pt idx="9">
                  <c:v>56.52</c:v>
                </c:pt>
                <c:pt idx="10">
                  <c:v>62.800000000000004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CC-4A82-80F2-934046E5B32A}"/>
            </c:ext>
          </c:extLst>
        </c:ser>
        <c:ser>
          <c:idx val="3"/>
          <c:order val="3"/>
          <c:tx>
            <c:v>w=f(M)20Гц</c:v>
          </c:tx>
          <c:marker>
            <c:symbol val="none"/>
          </c:marker>
          <c:xVal>
            <c:numRef>
              <c:f>'Задание 3'!$P$6:$P$16</c:f>
              <c:numCache>
                <c:formatCode>General</c:formatCode>
                <c:ptCount val="11"/>
                <c:pt idx="0">
                  <c:v>185.40989825821285</c:v>
                </c:pt>
                <c:pt idx="1">
                  <c:v>191.00763180393434</c:v>
                </c:pt>
                <c:pt idx="2">
                  <c:v>196.01123057814641</c:v>
                </c:pt>
                <c:pt idx="3">
                  <c:v>199.88059416289045</c:v>
                </c:pt>
                <c:pt idx="4">
                  <c:v>201.75325029698399</c:v>
                </c:pt>
                <c:pt idx="5">
                  <c:v>200.24705736693932</c:v>
                </c:pt>
                <c:pt idx="6">
                  <c:v>193.13890656773842</c:v>
                </c:pt>
                <c:pt idx="7">
                  <c:v>176.85260644343572</c:v>
                </c:pt>
                <c:pt idx="8">
                  <c:v>145.69249798435587</c:v>
                </c:pt>
                <c:pt idx="9">
                  <c:v>90.882025147228319</c:v>
                </c:pt>
                <c:pt idx="10">
                  <c:v>0</c:v>
                </c:pt>
              </c:numCache>
            </c:numRef>
          </c:xVal>
          <c:yVal>
            <c:numRef>
              <c:f>'Задание 3'!$V$6:$V$16</c:f>
              <c:numCache>
                <c:formatCode>General</c:formatCode>
                <c:ptCount val="11"/>
                <c:pt idx="0">
                  <c:v>0</c:v>
                </c:pt>
                <c:pt idx="1">
                  <c:v>4.1866666666666665</c:v>
                </c:pt>
                <c:pt idx="2">
                  <c:v>8.3733333333333331</c:v>
                </c:pt>
                <c:pt idx="3">
                  <c:v>12.56</c:v>
                </c:pt>
                <c:pt idx="4">
                  <c:v>16.746666666666666</c:v>
                </c:pt>
                <c:pt idx="5">
                  <c:v>20.933333333333334</c:v>
                </c:pt>
                <c:pt idx="6">
                  <c:v>25.12</c:v>
                </c:pt>
                <c:pt idx="7">
                  <c:v>29.306666666666665</c:v>
                </c:pt>
                <c:pt idx="8">
                  <c:v>33.493333333333332</c:v>
                </c:pt>
                <c:pt idx="9">
                  <c:v>37.68</c:v>
                </c:pt>
                <c:pt idx="10">
                  <c:v>41.866666666666667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CC-4A82-80F2-934046E5B32A}"/>
            </c:ext>
          </c:extLst>
        </c:ser>
        <c:ser>
          <c:idx val="4"/>
          <c:order val="4"/>
          <c:tx>
            <c:v>w=f(M)10Гц</c:v>
          </c:tx>
          <c:marker>
            <c:symbol val="none"/>
          </c:marker>
          <c:xVal>
            <c:numRef>
              <c:f>'Задание 3'!$Q$6:$Q$16</c:f>
              <c:numCache>
                <c:formatCode>General</c:formatCode>
                <c:ptCount val="11"/>
                <c:pt idx="0">
                  <c:v>116.48485397062375</c:v>
                </c:pt>
                <c:pt idx="1">
                  <c:v>117.80099520105291</c:v>
                </c:pt>
                <c:pt idx="2">
                  <c:v>118.45795002978417</c:v>
                </c:pt>
                <c:pt idx="3">
                  <c:v>118.14044964339932</c:v>
                </c:pt>
                <c:pt idx="4">
                  <c:v>116.38954291418688</c:v>
                </c:pt>
                <c:pt idx="5">
                  <c:v>112.528841889147</c:v>
                </c:pt>
                <c:pt idx="6">
                  <c:v>105.54758105025762</c:v>
                </c:pt>
                <c:pt idx="7">
                  <c:v>93.912399082230962</c:v>
                </c:pt>
                <c:pt idx="8">
                  <c:v>75.260842325261422</c:v>
                </c:pt>
                <c:pt idx="9">
                  <c:v>45.900317841063881</c:v>
                </c:pt>
                <c:pt idx="10">
                  <c:v>0</c:v>
                </c:pt>
              </c:numCache>
            </c:numRef>
          </c:xVal>
          <c:yVal>
            <c:numRef>
              <c:f>'Задание 3'!$W$6:$W$16</c:f>
              <c:numCache>
                <c:formatCode>General</c:formatCode>
                <c:ptCount val="11"/>
                <c:pt idx="0">
                  <c:v>0</c:v>
                </c:pt>
                <c:pt idx="1">
                  <c:v>2.0933333333333333</c:v>
                </c:pt>
                <c:pt idx="2">
                  <c:v>4.1866666666666665</c:v>
                </c:pt>
                <c:pt idx="3">
                  <c:v>6.28</c:v>
                </c:pt>
                <c:pt idx="4">
                  <c:v>8.3733333333333331</c:v>
                </c:pt>
                <c:pt idx="5">
                  <c:v>10.466666666666667</c:v>
                </c:pt>
                <c:pt idx="6">
                  <c:v>12.56</c:v>
                </c:pt>
                <c:pt idx="7">
                  <c:v>14.653333333333332</c:v>
                </c:pt>
                <c:pt idx="8">
                  <c:v>16.746666666666666</c:v>
                </c:pt>
                <c:pt idx="9">
                  <c:v>18.84</c:v>
                </c:pt>
                <c:pt idx="10">
                  <c:v>20.933333333333334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CC-4A82-80F2-934046E5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2640"/>
        <c:axId val="99082624"/>
      </c:scatterChart>
      <c:valAx>
        <c:axId val="990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82624"/>
        <c:crosses val="autoZero"/>
        <c:crossBetween val="midCat"/>
      </c:valAx>
      <c:valAx>
        <c:axId val="990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7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88407699037621E-2"/>
          <c:y val="0.1948807062247192"/>
          <c:w val="0.61187270341207356"/>
          <c:h val="0.6902444356259182"/>
        </c:manualLayout>
      </c:layout>
      <c:scatterChart>
        <c:scatterStyle val="smoothMarker"/>
        <c:varyColors val="0"/>
        <c:ser>
          <c:idx val="0"/>
          <c:order val="0"/>
          <c:tx>
            <c:v>w=f(M)50Гц</c:v>
          </c:tx>
          <c:marker>
            <c:symbol val="none"/>
          </c:marker>
          <c:xVal>
            <c:numRef>
              <c:f>'Задание 3'!$A$49:$A$59</c:f>
              <c:numCache>
                <c:formatCode>General</c:formatCode>
                <c:ptCount val="11"/>
                <c:pt idx="0">
                  <c:v>215114.64625844845</c:v>
                </c:pt>
                <c:pt idx="1">
                  <c:v>216675.88981518868</c:v>
                </c:pt>
                <c:pt idx="2">
                  <c:v>216951.82685342699</c:v>
                </c:pt>
                <c:pt idx="3">
                  <c:v>215381.99418295611</c:v>
                </c:pt>
                <c:pt idx="4">
                  <c:v>211161.70051761973</c:v>
                </c:pt>
                <c:pt idx="5">
                  <c:v>203119.18175599439</c:v>
                </c:pt>
                <c:pt idx="6">
                  <c:v>189520.16214654589</c:v>
                </c:pt>
                <c:pt idx="7">
                  <c:v>167749.80907044307</c:v>
                </c:pt>
                <c:pt idx="8">
                  <c:v>133782.69980421307</c:v>
                </c:pt>
                <c:pt idx="9">
                  <c:v>81277.987603868125</c:v>
                </c:pt>
                <c:pt idx="10">
                  <c:v>0</c:v>
                </c:pt>
              </c:numCache>
            </c:numRef>
          </c:xVal>
          <c:yVal>
            <c:numRef>
              <c:f>'Задание 3'!$G$49:$G$59</c:f>
              <c:numCache>
                <c:formatCode>General</c:formatCode>
                <c:ptCount val="11"/>
                <c:pt idx="0">
                  <c:v>0</c:v>
                </c:pt>
                <c:pt idx="1">
                  <c:v>1.4802101952838398</c:v>
                </c:pt>
                <c:pt idx="2">
                  <c:v>2.9604203905676796</c:v>
                </c:pt>
                <c:pt idx="3">
                  <c:v>4.4406305858515189</c:v>
                </c:pt>
                <c:pt idx="4">
                  <c:v>5.9208407811353592</c:v>
                </c:pt>
                <c:pt idx="5">
                  <c:v>7.4010509764191985</c:v>
                </c:pt>
                <c:pt idx="6">
                  <c:v>8.8812611717030379</c:v>
                </c:pt>
                <c:pt idx="7">
                  <c:v>10.361471366986878</c:v>
                </c:pt>
                <c:pt idx="8">
                  <c:v>11.841681562270718</c:v>
                </c:pt>
                <c:pt idx="9">
                  <c:v>13.321891757554557</c:v>
                </c:pt>
                <c:pt idx="10">
                  <c:v>14.802101952838397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C-41C8-A19A-A9BB3BF17D15}"/>
            </c:ext>
          </c:extLst>
        </c:ser>
        <c:ser>
          <c:idx val="1"/>
          <c:order val="1"/>
          <c:tx>
            <c:v>w=f(M)40Гц</c:v>
          </c:tx>
          <c:marker>
            <c:symbol val="none"/>
          </c:marker>
          <c:xVal>
            <c:numRef>
              <c:f>'Задание 3'!$B$49:$B$59</c:f>
              <c:numCache>
                <c:formatCode>General</c:formatCode>
                <c:ptCount val="11"/>
                <c:pt idx="0">
                  <c:v>155310.78766688291</c:v>
                </c:pt>
                <c:pt idx="1">
                  <c:v>156306.31776997918</c:v>
                </c:pt>
                <c:pt idx="2">
                  <c:v>156364.98760998243</c:v>
                </c:pt>
                <c:pt idx="3">
                  <c:v>155085.70104911763</c:v>
                </c:pt>
                <c:pt idx="4">
                  <c:v>151894.10902282342</c:v>
                </c:pt>
                <c:pt idx="5">
                  <c:v>145955.76327926226</c:v>
                </c:pt>
                <c:pt idx="6">
                  <c:v>136037.80857755759</c:v>
                </c:pt>
                <c:pt idx="7">
                  <c:v>120283.34319981972</c:v>
                </c:pt>
                <c:pt idx="8">
                  <c:v>95833.580424462969</c:v>
                </c:pt>
                <c:pt idx="9">
                  <c:v>58177.428172615786</c:v>
                </c:pt>
                <c:pt idx="10">
                  <c:v>0</c:v>
                </c:pt>
              </c:numCache>
            </c:numRef>
          </c:xVal>
          <c:yVal>
            <c:numRef>
              <c:f>'Задание 3'!$H$49:$H$59</c:f>
              <c:numCache>
                <c:formatCode>General</c:formatCode>
                <c:ptCount val="11"/>
                <c:pt idx="0">
                  <c:v>0</c:v>
                </c:pt>
                <c:pt idx="1">
                  <c:v>1.3239402470571617</c:v>
                </c:pt>
                <c:pt idx="2">
                  <c:v>2.6478804941143235</c:v>
                </c:pt>
                <c:pt idx="3">
                  <c:v>3.9718207411714852</c:v>
                </c:pt>
                <c:pt idx="4">
                  <c:v>5.2957609882286469</c:v>
                </c:pt>
                <c:pt idx="5">
                  <c:v>6.6197012352858087</c:v>
                </c:pt>
                <c:pt idx="6">
                  <c:v>7.9436414823429704</c:v>
                </c:pt>
                <c:pt idx="7">
                  <c:v>9.2675817294001313</c:v>
                </c:pt>
                <c:pt idx="8">
                  <c:v>10.591521976457294</c:v>
                </c:pt>
                <c:pt idx="9">
                  <c:v>11.915462223514456</c:v>
                </c:pt>
                <c:pt idx="10">
                  <c:v>13.239402470571617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C-41C8-A19A-A9BB3BF17D15}"/>
            </c:ext>
          </c:extLst>
        </c:ser>
        <c:ser>
          <c:idx val="2"/>
          <c:order val="2"/>
          <c:tx>
            <c:v>w=f(M)30Гц</c:v>
          </c:tx>
          <c:marker>
            <c:symbol val="none"/>
          </c:marker>
          <c:xVal>
            <c:numRef>
              <c:f>'Задание 3'!$C$49:$C$59</c:f>
              <c:numCache>
                <c:formatCode>General</c:formatCode>
                <c:ptCount val="11"/>
                <c:pt idx="0">
                  <c:v>101794.76815501165</c:v>
                </c:pt>
                <c:pt idx="1">
                  <c:v>102359.54191981607</c:v>
                </c:pt>
                <c:pt idx="2">
                  <c:v>102304.68406973162</c:v>
                </c:pt>
                <c:pt idx="3">
                  <c:v>101369.72595134641</c:v>
                </c:pt>
                <c:pt idx="4">
                  <c:v>99182.664864428603</c:v>
                </c:pt>
                <c:pt idx="5">
                  <c:v>95204.233782943425</c:v>
                </c:pt>
                <c:pt idx="6">
                  <c:v>88639.047473766448</c:v>
                </c:pt>
                <c:pt idx="7">
                  <c:v>78290.265437548049</c:v>
                </c:pt>
                <c:pt idx="8">
                  <c:v>62315.046582383278</c:v>
                </c:pt>
                <c:pt idx="9">
                  <c:v>37800.109612003653</c:v>
                </c:pt>
                <c:pt idx="10">
                  <c:v>0</c:v>
                </c:pt>
              </c:numCache>
            </c:numRef>
          </c:xVal>
          <c:yVal>
            <c:numRef>
              <c:f>'Задание 3'!$I$49:$I$59</c:f>
              <c:numCache>
                <c:formatCode>General</c:formatCode>
                <c:ptCount val="11"/>
                <c:pt idx="0">
                  <c:v>0</c:v>
                </c:pt>
                <c:pt idx="1">
                  <c:v>1.146565887044148</c:v>
                </c:pt>
                <c:pt idx="2">
                  <c:v>2.2931317740882959</c:v>
                </c:pt>
                <c:pt idx="3">
                  <c:v>3.4396976611324432</c:v>
                </c:pt>
                <c:pt idx="4">
                  <c:v>4.5862635481765919</c:v>
                </c:pt>
                <c:pt idx="5">
                  <c:v>5.7328294352207392</c:v>
                </c:pt>
                <c:pt idx="6">
                  <c:v>6.8793953222648865</c:v>
                </c:pt>
                <c:pt idx="7">
                  <c:v>8.0259612093090347</c:v>
                </c:pt>
                <c:pt idx="8">
                  <c:v>9.1725270963531838</c:v>
                </c:pt>
                <c:pt idx="9">
                  <c:v>10.319092983397331</c:v>
                </c:pt>
                <c:pt idx="10">
                  <c:v>11.465658870441478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2C-41C8-A19A-A9BB3BF17D15}"/>
            </c:ext>
          </c:extLst>
        </c:ser>
        <c:ser>
          <c:idx val="3"/>
          <c:order val="3"/>
          <c:tx>
            <c:v>w=f(M)20гц</c:v>
          </c:tx>
          <c:marker>
            <c:symbol val="none"/>
          </c:marker>
          <c:xVal>
            <c:numRef>
              <c:f>'Задание 3'!$D$49:$D$59</c:f>
              <c:numCache>
                <c:formatCode>General</c:formatCode>
                <c:ptCount val="11"/>
                <c:pt idx="0">
                  <c:v>55918.618453123941</c:v>
                </c:pt>
                <c:pt idx="1">
                  <c:v>56179.875613338794</c:v>
                </c:pt>
                <c:pt idx="2">
                  <c:v>56097.816883344</c:v>
                </c:pt>
                <c:pt idx="3">
                  <c:v>55530.739777807488</c:v>
                </c:pt>
                <c:pt idx="4">
                  <c:v>54276.784163323173</c:v>
                </c:pt>
                <c:pt idx="5">
                  <c:v>52043.961578392016</c:v>
                </c:pt>
                <c:pt idx="6">
                  <c:v>48402.312120509945</c:v>
                </c:pt>
                <c:pt idx="7">
                  <c:v>42705.43688927553</c:v>
                </c:pt>
                <c:pt idx="8">
                  <c:v>33957.826787432088</c:v>
                </c:pt>
                <c:pt idx="9">
                  <c:v>20582.724716318135</c:v>
                </c:pt>
                <c:pt idx="10">
                  <c:v>0</c:v>
                </c:pt>
              </c:numCache>
            </c:numRef>
          </c:xVal>
          <c:yVal>
            <c:numRef>
              <c:f>'Задание 3'!$J$49:$J$59</c:f>
              <c:numCache>
                <c:formatCode>General</c:formatCode>
                <c:ptCount val="11"/>
                <c:pt idx="0">
                  <c:v>0</c:v>
                </c:pt>
                <c:pt idx="1">
                  <c:v>0.93616712657991208</c:v>
                </c:pt>
                <c:pt idx="2">
                  <c:v>1.8723342531598242</c:v>
                </c:pt>
                <c:pt idx="3">
                  <c:v>2.8085013797397362</c:v>
                </c:pt>
                <c:pt idx="4">
                  <c:v>3.7446685063196483</c:v>
                </c:pt>
                <c:pt idx="5">
                  <c:v>4.6808356328995604</c:v>
                </c:pt>
                <c:pt idx="6">
                  <c:v>5.6170027594794725</c:v>
                </c:pt>
                <c:pt idx="7">
                  <c:v>6.5531698860593846</c:v>
                </c:pt>
                <c:pt idx="8">
                  <c:v>7.4893370126392966</c:v>
                </c:pt>
                <c:pt idx="9">
                  <c:v>8.4255041392192087</c:v>
                </c:pt>
                <c:pt idx="10">
                  <c:v>9.3616712657991208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2C-41C8-A19A-A9BB3BF17D15}"/>
            </c:ext>
          </c:extLst>
        </c:ser>
        <c:ser>
          <c:idx val="4"/>
          <c:order val="4"/>
          <c:tx>
            <c:v>w=f(M)10Гц</c:v>
          </c:tx>
          <c:marker>
            <c:symbol val="none"/>
          </c:marker>
          <c:xVal>
            <c:numRef>
              <c:f>'Задание 3'!$E$49:$E$59</c:f>
              <c:numCache>
                <c:formatCode>General</c:formatCode>
                <c:ptCount val="11"/>
                <c:pt idx="0">
                  <c:v>9976.6765923540188</c:v>
                </c:pt>
                <c:pt idx="1">
                  <c:v>10014.402084347399</c:v>
                </c:pt>
                <c:pt idx="2">
                  <c:v>9990.376765343457</c:v>
                </c:pt>
                <c:pt idx="3">
                  <c:v>9879.5741335827497</c:v>
                </c:pt>
                <c:pt idx="4">
                  <c:v>9646.4329911949753</c:v>
                </c:pt>
                <c:pt idx="5">
                  <c:v>9239.6230822614598</c:v>
                </c:pt>
                <c:pt idx="6">
                  <c:v>8583.6780575027024</c:v>
                </c:pt>
                <c:pt idx="7">
                  <c:v>7565.2344702235787</c:v>
                </c:pt>
                <c:pt idx="8">
                  <c:v>6009.6515636719714</c:v>
                </c:pt>
                <c:pt idx="9">
                  <c:v>3639.7756983392323</c:v>
                </c:pt>
                <c:pt idx="10">
                  <c:v>0</c:v>
                </c:pt>
              </c:numCache>
            </c:numRef>
          </c:xVal>
          <c:yVal>
            <c:numRef>
              <c:f>'Задание 3'!$K$49:$K$59</c:f>
              <c:numCache>
                <c:formatCode>General</c:formatCode>
                <c:ptCount val="11"/>
                <c:pt idx="0">
                  <c:v>0</c:v>
                </c:pt>
                <c:pt idx="1">
                  <c:v>0.66197012352858087</c:v>
                </c:pt>
                <c:pt idx="2">
                  <c:v>1.3239402470571617</c:v>
                </c:pt>
                <c:pt idx="3">
                  <c:v>1.9859103705857426</c:v>
                </c:pt>
                <c:pt idx="4">
                  <c:v>2.6478804941143235</c:v>
                </c:pt>
                <c:pt idx="5">
                  <c:v>3.3098506176429043</c:v>
                </c:pt>
                <c:pt idx="6">
                  <c:v>3.9718207411714852</c:v>
                </c:pt>
                <c:pt idx="7">
                  <c:v>4.6337908647000656</c:v>
                </c:pt>
                <c:pt idx="8">
                  <c:v>5.2957609882286469</c:v>
                </c:pt>
                <c:pt idx="9">
                  <c:v>5.9577311117572282</c:v>
                </c:pt>
                <c:pt idx="10">
                  <c:v>6.6197012352858087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2C-41C8-A19A-A9BB3BF1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4496"/>
        <c:axId val="100909056"/>
      </c:scatterChart>
      <c:valAx>
        <c:axId val="1008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09056"/>
        <c:crosses val="autoZero"/>
        <c:crossBetween val="midCat"/>
      </c:valAx>
      <c:valAx>
        <c:axId val="1009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7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05060568145828E-2"/>
          <c:y val="0.17057004238106599"/>
          <c:w val="0.75927788596317958"/>
          <c:h val="0.73569008419402149"/>
        </c:manualLayout>
      </c:layout>
      <c:scatterChart>
        <c:scatterStyle val="smoothMarker"/>
        <c:varyColors val="0"/>
        <c:ser>
          <c:idx val="0"/>
          <c:order val="0"/>
          <c:tx>
            <c:v>w=f(M)50Гц</c:v>
          </c:tx>
          <c:marker>
            <c:symbol val="none"/>
          </c:marker>
          <c:xVal>
            <c:numRef>
              <c:f>'Задание 3'!$A$90:$A$100</c:f>
              <c:numCache>
                <c:formatCode>General</c:formatCode>
                <c:ptCount val="11"/>
                <c:pt idx="0">
                  <c:v>3.4896883796903496E-7</c:v>
                </c:pt>
                <c:pt idx="1">
                  <c:v>3.8703408768852608E-7</c:v>
                </c:pt>
                <c:pt idx="2">
                  <c:v>4.3436210768983602E-7</c:v>
                </c:pt>
                <c:pt idx="3">
                  <c:v>4.9476935099478281E-7</c:v>
                </c:pt>
                <c:pt idx="4">
                  <c:v>5.744723392905666E-7</c:v>
                </c:pt>
                <c:pt idx="5">
                  <c:v>6.8428148836829547E-7</c:v>
                </c:pt>
                <c:pt idx="6">
                  <c:v>8.4463068112140623E-7</c:v>
                </c:pt>
                <c:pt idx="7">
                  <c:v>1.0984194221358769E-6</c:v>
                </c:pt>
                <c:pt idx="8">
                  <c:v>1.5455629053740617E-6</c:v>
                </c:pt>
                <c:pt idx="9">
                  <c:v>2.3211267080308498E-6</c:v>
                </c:pt>
                <c:pt idx="10">
                  <c:v>0</c:v>
                </c:pt>
              </c:numCache>
            </c:numRef>
          </c:xVal>
          <c:yVal>
            <c:numRef>
              <c:f>'Задание 3'!$G$90:$G$100</c:f>
              <c:numCache>
                <c:formatCode>General</c:formatCode>
                <c:ptCount val="11"/>
                <c:pt idx="0">
                  <c:v>0</c:v>
                </c:pt>
                <c:pt idx="1">
                  <c:v>523.33333333333337</c:v>
                </c:pt>
                <c:pt idx="2">
                  <c:v>1046.6666666666667</c:v>
                </c:pt>
                <c:pt idx="3">
                  <c:v>1569.9999999999998</c:v>
                </c:pt>
                <c:pt idx="4">
                  <c:v>2093.3333333333335</c:v>
                </c:pt>
                <c:pt idx="5">
                  <c:v>2616.6666666666665</c:v>
                </c:pt>
                <c:pt idx="6">
                  <c:v>3139.9999999999995</c:v>
                </c:pt>
                <c:pt idx="7">
                  <c:v>3663.333333333333</c:v>
                </c:pt>
                <c:pt idx="8">
                  <c:v>4186.666666666667</c:v>
                </c:pt>
                <c:pt idx="9">
                  <c:v>4710</c:v>
                </c:pt>
                <c:pt idx="10">
                  <c:v>5233.333333333333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4-4569-BEB3-61540AC5F41B}"/>
            </c:ext>
          </c:extLst>
        </c:ser>
        <c:ser>
          <c:idx val="1"/>
          <c:order val="1"/>
          <c:tx>
            <c:v>w=f(M)40Гц</c:v>
          </c:tx>
          <c:marker>
            <c:symbol val="none"/>
          </c:marker>
          <c:xVal>
            <c:numRef>
              <c:f>'Задание 3'!$B$90:$B$100</c:f>
              <c:numCache>
                <c:formatCode>General</c:formatCode>
                <c:ptCount val="11"/>
                <c:pt idx="0">
                  <c:v>2.1277575622251263E-6</c:v>
                </c:pt>
                <c:pt idx="1">
                  <c:v>2.3640685181997802E-6</c:v>
                </c:pt>
                <c:pt idx="2">
                  <c:v>2.6594186260596192E-6</c:v>
                </c:pt>
                <c:pt idx="3">
                  <c:v>3.0390866606261714E-6</c:v>
                </c:pt>
                <c:pt idx="4">
                  <c:v>3.5451810998943818E-6</c:v>
                </c:pt>
                <c:pt idx="5">
                  <c:v>4.2534361812053137E-6</c:v>
                </c:pt>
                <c:pt idx="6">
                  <c:v>5.3151243090822436E-6</c:v>
                </c:pt>
                <c:pt idx="7">
                  <c:v>7.0823874091749628E-6</c:v>
                </c:pt>
                <c:pt idx="8">
                  <c:v>1.0606149379239226E-5</c:v>
                </c:pt>
                <c:pt idx="9">
                  <c:v>2.1043314011415027E-5</c:v>
                </c:pt>
                <c:pt idx="10">
                  <c:v>0</c:v>
                </c:pt>
              </c:numCache>
            </c:numRef>
          </c:xVal>
          <c:yVal>
            <c:numRef>
              <c:f>'Задание 3'!$H$90:$H$100</c:f>
              <c:numCache>
                <c:formatCode>General</c:formatCode>
                <c:ptCount val="11"/>
                <c:pt idx="0">
                  <c:v>0</c:v>
                </c:pt>
                <c:pt idx="1">
                  <c:v>334.93333333333339</c:v>
                </c:pt>
                <c:pt idx="2">
                  <c:v>669.86666666666679</c:v>
                </c:pt>
                <c:pt idx="3">
                  <c:v>1004.8</c:v>
                </c:pt>
                <c:pt idx="4">
                  <c:v>1339.7333333333336</c:v>
                </c:pt>
                <c:pt idx="5">
                  <c:v>1674.6666666666667</c:v>
                </c:pt>
                <c:pt idx="6">
                  <c:v>2009.6</c:v>
                </c:pt>
                <c:pt idx="7">
                  <c:v>2344.5333333333333</c:v>
                </c:pt>
                <c:pt idx="8">
                  <c:v>2679.4666666666672</c:v>
                </c:pt>
                <c:pt idx="9">
                  <c:v>3014.4</c:v>
                </c:pt>
                <c:pt idx="10">
                  <c:v>3349.3333333333335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4-4569-BEB3-61540AC5F41B}"/>
            </c:ext>
          </c:extLst>
        </c:ser>
        <c:ser>
          <c:idx val="2"/>
          <c:order val="2"/>
          <c:tx>
            <c:v>w=f(M)30Гц</c:v>
          </c:tx>
          <c:marker>
            <c:symbol val="none"/>
          </c:marker>
          <c:xVal>
            <c:numRef>
              <c:f>'Задание 3'!$C$90:$C$100</c:f>
              <c:numCache>
                <c:formatCode>General</c:formatCode>
                <c:ptCount val="11"/>
                <c:pt idx="0">
                  <c:v>6.7187026820179486E-6</c:v>
                </c:pt>
                <c:pt idx="1">
                  <c:v>7.4641629158628435E-6</c:v>
                </c:pt>
                <c:pt idx="2">
                  <c:v>8.3956038609043717E-6</c:v>
                </c:pt>
                <c:pt idx="3">
                  <c:v>9.5924955673057592E-6</c:v>
                </c:pt>
                <c:pt idx="4">
                  <c:v>1.1187061521634593E-5</c:v>
                </c:pt>
                <c:pt idx="5">
                  <c:v>1.341669862753127E-5</c:v>
                </c:pt>
                <c:pt idx="6">
                  <c:v>1.6754259348186887E-5</c:v>
                </c:pt>
                <c:pt idx="7">
                  <c:v>2.2294905231515723E-5</c:v>
                </c:pt>
                <c:pt idx="8">
                  <c:v>3.3270224684326949E-5</c:v>
                </c:pt>
                <c:pt idx="9">
                  <c:v>6.4905468579669562E-5</c:v>
                </c:pt>
                <c:pt idx="10">
                  <c:v>0</c:v>
                </c:pt>
              </c:numCache>
            </c:numRef>
          </c:xVal>
          <c:yVal>
            <c:numRef>
              <c:f>'Задание 3'!$I$90:$I$100</c:f>
              <c:numCache>
                <c:formatCode>General</c:formatCode>
                <c:ptCount val="11"/>
                <c:pt idx="0">
                  <c:v>0</c:v>
                </c:pt>
                <c:pt idx="1">
                  <c:v>188.4</c:v>
                </c:pt>
                <c:pt idx="2">
                  <c:v>376.8</c:v>
                </c:pt>
                <c:pt idx="3">
                  <c:v>565.19999999999993</c:v>
                </c:pt>
                <c:pt idx="4">
                  <c:v>753.6</c:v>
                </c:pt>
                <c:pt idx="5">
                  <c:v>942</c:v>
                </c:pt>
                <c:pt idx="6">
                  <c:v>1130.3999999999999</c:v>
                </c:pt>
                <c:pt idx="7">
                  <c:v>1318.8</c:v>
                </c:pt>
                <c:pt idx="8">
                  <c:v>1507.2</c:v>
                </c:pt>
                <c:pt idx="9">
                  <c:v>1695.6000000000001</c:v>
                </c:pt>
                <c:pt idx="10">
                  <c:v>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4-4569-BEB3-61540AC5F41B}"/>
            </c:ext>
          </c:extLst>
        </c:ser>
        <c:ser>
          <c:idx val="3"/>
          <c:order val="3"/>
          <c:tx>
            <c:v>w=f(M)20Гц</c:v>
          </c:tx>
          <c:marker>
            <c:symbol val="none"/>
          </c:marker>
          <c:xVal>
            <c:numRef>
              <c:f>'Задание 3'!$D$90:$D$100</c:f>
              <c:numCache>
                <c:formatCode>General</c:formatCode>
                <c:ptCount val="11"/>
                <c:pt idx="0">
                  <c:v>3.3832189301630033E-5</c:v>
                </c:pt>
                <c:pt idx="1">
                  <c:v>3.7564401037452204E-5</c:v>
                </c:pt>
                <c:pt idx="2">
                  <c:v>4.2219978888026854E-5</c:v>
                </c:pt>
                <c:pt idx="3">
                  <c:v>4.8188745985310979E-5</c:v>
                </c:pt>
                <c:pt idx="4">
                  <c:v>5.6114790433755184E-5</c:v>
                </c:pt>
                <c:pt idx="5">
                  <c:v>6.7142573103252845E-5</c:v>
                </c:pt>
                <c:pt idx="6">
                  <c:v>8.3513780102609434E-5</c:v>
                </c:pt>
                <c:pt idx="7">
                  <c:v>1.1026434966789799E-4</c:v>
                </c:pt>
                <c:pt idx="8">
                  <c:v>1.6126993086023716E-4</c:v>
                </c:pt>
                <c:pt idx="9">
                  <c:v>2.8744210098846033E-4</c:v>
                </c:pt>
                <c:pt idx="10">
                  <c:v>0</c:v>
                </c:pt>
              </c:numCache>
            </c:numRef>
          </c:xVal>
          <c:yVal>
            <c:numRef>
              <c:f>'Задание 3'!$J$90:$J$100</c:f>
              <c:numCache>
                <c:formatCode>General</c:formatCode>
                <c:ptCount val="11"/>
                <c:pt idx="0">
                  <c:v>0</c:v>
                </c:pt>
                <c:pt idx="1">
                  <c:v>83.733333333333348</c:v>
                </c:pt>
                <c:pt idx="2">
                  <c:v>167.4666666666667</c:v>
                </c:pt>
                <c:pt idx="3">
                  <c:v>251.2</c:v>
                </c:pt>
                <c:pt idx="4">
                  <c:v>334.93333333333339</c:v>
                </c:pt>
                <c:pt idx="5">
                  <c:v>418.66666666666669</c:v>
                </c:pt>
                <c:pt idx="6">
                  <c:v>502.4</c:v>
                </c:pt>
                <c:pt idx="7">
                  <c:v>586.13333333333333</c:v>
                </c:pt>
                <c:pt idx="8">
                  <c:v>669.86666666666679</c:v>
                </c:pt>
                <c:pt idx="9">
                  <c:v>753.6</c:v>
                </c:pt>
                <c:pt idx="10">
                  <c:v>837.33333333333337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4-4569-BEB3-61540AC5F41B}"/>
            </c:ext>
          </c:extLst>
        </c:ser>
        <c:ser>
          <c:idx val="4"/>
          <c:order val="4"/>
          <c:tx>
            <c:v>w=f(M)10Гц</c:v>
          </c:tx>
          <c:marker>
            <c:symbol val="none"/>
          </c:marker>
          <c:xVal>
            <c:numRef>
              <c:f>'Задание 3'!$E$90:$E$100</c:f>
              <c:numCache>
                <c:formatCode>General</c:formatCode>
                <c:ptCount val="11"/>
                <c:pt idx="0">
                  <c:v>4.9228210245444979E-4</c:v>
                </c:pt>
                <c:pt idx="1">
                  <c:v>5.4133522473542959E-4</c:v>
                </c:pt>
                <c:pt idx="2">
                  <c:v>6.0080495253122819E-4</c:v>
                </c:pt>
                <c:pt idx="3">
                  <c:v>6.7416003514253172E-4</c:v>
                </c:pt>
                <c:pt idx="4">
                  <c:v>7.6637914559647474E-4</c:v>
                </c:pt>
                <c:pt idx="5">
                  <c:v>8.8453855458991873E-4</c:v>
                </c:pt>
                <c:pt idx="6">
                  <c:v>1.0378243769136528E-3</c:v>
                </c:pt>
                <c:pt idx="7">
                  <c:v>1.2327018740672848E-3</c:v>
                </c:pt>
                <c:pt idx="8">
                  <c:v>1.4377625633062853E-3</c:v>
                </c:pt>
                <c:pt idx="9">
                  <c:v>1.3767807164071974E-3</c:v>
                </c:pt>
                <c:pt idx="10">
                  <c:v>0</c:v>
                </c:pt>
              </c:numCache>
            </c:numRef>
          </c:xVal>
          <c:yVal>
            <c:numRef>
              <c:f>'Задание 3'!$K$90:$K$100</c:f>
              <c:numCache>
                <c:formatCode>General</c:formatCode>
                <c:ptCount val="11"/>
                <c:pt idx="0">
                  <c:v>0</c:v>
                </c:pt>
                <c:pt idx="1">
                  <c:v>20.933333333333337</c:v>
                </c:pt>
                <c:pt idx="2">
                  <c:v>41.866666666666674</c:v>
                </c:pt>
                <c:pt idx="3">
                  <c:v>62.8</c:v>
                </c:pt>
                <c:pt idx="4">
                  <c:v>83.733333333333348</c:v>
                </c:pt>
                <c:pt idx="5">
                  <c:v>104.66666666666667</c:v>
                </c:pt>
                <c:pt idx="6">
                  <c:v>125.6</c:v>
                </c:pt>
                <c:pt idx="7">
                  <c:v>146.53333333333333</c:v>
                </c:pt>
                <c:pt idx="8">
                  <c:v>167.4666666666667</c:v>
                </c:pt>
                <c:pt idx="9">
                  <c:v>188.4</c:v>
                </c:pt>
                <c:pt idx="10">
                  <c:v>209.33333333333334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4-4569-BEB3-61540AC5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2512"/>
        <c:axId val="99524608"/>
      </c:scatterChart>
      <c:valAx>
        <c:axId val="1009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24608"/>
        <c:crosses val="autoZero"/>
        <c:crossBetween val="midCat"/>
      </c:valAx>
      <c:valAx>
        <c:axId val="995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1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2033430031771E-2"/>
          <c:y val="0.26970545348498104"/>
          <c:w val="0.80365451029147672"/>
          <c:h val="0.62093136085262068"/>
        </c:manualLayout>
      </c:layout>
      <c:scatterChart>
        <c:scatterStyle val="smoothMarker"/>
        <c:varyColors val="0"/>
        <c:ser>
          <c:idx val="0"/>
          <c:order val="0"/>
          <c:tx>
            <c:v>w=f(M)50Гц</c:v>
          </c:tx>
          <c:marker>
            <c:symbol val="none"/>
          </c:marker>
          <c:xVal>
            <c:numRef>
              <c:f>'Задание 3'!$A$136:$A$146</c:f>
              <c:numCache>
                <c:formatCode>General</c:formatCode>
                <c:ptCount val="11"/>
                <c:pt idx="0">
                  <c:v>54.411805715363329</c:v>
                </c:pt>
                <c:pt idx="1">
                  <c:v>56.729271651073425</c:v>
                </c:pt>
                <c:pt idx="2">
                  <c:v>58.845618177405818</c:v>
                </c:pt>
                <c:pt idx="3">
                  <c:v>60.461179302434324</c:v>
                </c:pt>
                <c:pt idx="4">
                  <c:v>61.041120907100456</c:v>
                </c:pt>
                <c:pt idx="5">
                  <c:v>59.650981086059197</c:v>
                </c:pt>
                <c:pt idx="6">
                  <c:v>54.743222812418303</c:v>
                </c:pt>
                <c:pt idx="7">
                  <c:v>44.142952238961023</c:v>
                </c:pt>
                <c:pt idx="8">
                  <c:v>26.43743408375644</c:v>
                </c:pt>
                <c:pt idx="9">
                  <c:v>6.7366034327120889</c:v>
                </c:pt>
                <c:pt idx="10">
                  <c:v>0</c:v>
                </c:pt>
              </c:numCache>
            </c:numRef>
          </c:xVal>
          <c:yVal>
            <c:numRef>
              <c:f>'Задание 3'!$G$136:$G$146</c:f>
              <c:numCache>
                <c:formatCode>General</c:formatCode>
                <c:ptCount val="11"/>
                <c:pt idx="0">
                  <c:v>0</c:v>
                </c:pt>
                <c:pt idx="1">
                  <c:v>10.466666666666669</c:v>
                </c:pt>
                <c:pt idx="2">
                  <c:v>20.933333333333337</c:v>
                </c:pt>
                <c:pt idx="3">
                  <c:v>31.4</c:v>
                </c:pt>
                <c:pt idx="4">
                  <c:v>41.866666666666674</c:v>
                </c:pt>
                <c:pt idx="5">
                  <c:v>52.333333333333336</c:v>
                </c:pt>
                <c:pt idx="6">
                  <c:v>62.8</c:v>
                </c:pt>
                <c:pt idx="7">
                  <c:v>73.266666666666666</c:v>
                </c:pt>
                <c:pt idx="8">
                  <c:v>83.733333333333348</c:v>
                </c:pt>
                <c:pt idx="9">
                  <c:v>94.2</c:v>
                </c:pt>
                <c:pt idx="10">
                  <c:v>104.66666666666667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C69-9A07-B800497FA9DE}"/>
            </c:ext>
          </c:extLst>
        </c:ser>
        <c:ser>
          <c:idx val="1"/>
          <c:order val="1"/>
          <c:tx>
            <c:v>w=f(M)40Гц</c:v>
          </c:tx>
          <c:marker>
            <c:symbol val="none"/>
          </c:marker>
          <c:xVal>
            <c:numRef>
              <c:f>'Задание 3'!$B$136:$B$146</c:f>
              <c:numCache>
                <c:formatCode>General</c:formatCode>
                <c:ptCount val="11"/>
                <c:pt idx="0">
                  <c:v>190.82778379872096</c:v>
                </c:pt>
                <c:pt idx="1">
                  <c:v>205.38909740345807</c:v>
                </c:pt>
                <c:pt idx="2">
                  <c:v>221.87435531877958</c:v>
                </c:pt>
                <c:pt idx="3">
                  <c:v>240.4276016374809</c:v>
                </c:pt>
                <c:pt idx="4">
                  <c:v>260.93399412439487</c:v>
                </c:pt>
                <c:pt idx="5">
                  <c:v>282.56530172083245</c:v>
                </c:pt>
                <c:pt idx="6">
                  <c:v>302.6427135551902</c:v>
                </c:pt>
                <c:pt idx="7">
                  <c:v>313.80878500395755</c:v>
                </c:pt>
                <c:pt idx="8">
                  <c:v>297.43336901722159</c:v>
                </c:pt>
                <c:pt idx="9">
                  <c:v>212.33203808531647</c:v>
                </c:pt>
                <c:pt idx="10">
                  <c:v>0</c:v>
                </c:pt>
              </c:numCache>
            </c:numRef>
          </c:xVal>
          <c:yVal>
            <c:numRef>
              <c:f>'Задание 3'!$H$136:$H$146</c:f>
              <c:numCache>
                <c:formatCode>General</c:formatCode>
                <c:ptCount val="11"/>
                <c:pt idx="0">
                  <c:v>0</c:v>
                </c:pt>
                <c:pt idx="1">
                  <c:v>8.3733333333333331</c:v>
                </c:pt>
                <c:pt idx="2">
                  <c:v>16.746666666666666</c:v>
                </c:pt>
                <c:pt idx="3">
                  <c:v>25.12</c:v>
                </c:pt>
                <c:pt idx="4">
                  <c:v>33.493333333333332</c:v>
                </c:pt>
                <c:pt idx="5">
                  <c:v>41.866666666666667</c:v>
                </c:pt>
                <c:pt idx="6">
                  <c:v>50.24</c:v>
                </c:pt>
                <c:pt idx="7">
                  <c:v>58.61333333333333</c:v>
                </c:pt>
                <c:pt idx="8">
                  <c:v>66.986666666666665</c:v>
                </c:pt>
                <c:pt idx="9">
                  <c:v>75.36</c:v>
                </c:pt>
                <c:pt idx="10">
                  <c:v>83.733333333333334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C69-9A07-B800497FA9DE}"/>
            </c:ext>
          </c:extLst>
        </c:ser>
        <c:ser>
          <c:idx val="2"/>
          <c:order val="2"/>
          <c:tx>
            <c:v>w=f(M)30Гц</c:v>
          </c:tx>
          <c:marker>
            <c:symbol val="none"/>
          </c:marker>
          <c:xVal>
            <c:numRef>
              <c:f>'Задание 3'!$C$136:$C$146</c:f>
              <c:numCache>
                <c:formatCode>General</c:formatCode>
                <c:ptCount val="11"/>
                <c:pt idx="0">
                  <c:v>576.41871725358237</c:v>
                </c:pt>
                <c:pt idx="1">
                  <c:v>605.00718515591598</c:v>
                </c:pt>
                <c:pt idx="2">
                  <c:v>634.21345563008163</c:v>
                </c:pt>
                <c:pt idx="3">
                  <c:v>662.68553600621487</c:v>
                </c:pt>
                <c:pt idx="4">
                  <c:v>687.84100981102574</c:v>
                </c:pt>
                <c:pt idx="5">
                  <c:v>704.85583197443998</c:v>
                </c:pt>
                <c:pt idx="6">
                  <c:v>704.8223418235807</c:v>
                </c:pt>
                <c:pt idx="7">
                  <c:v>671.50666995755944</c:v>
                </c:pt>
                <c:pt idx="8">
                  <c:v>576.23958726566036</c:v>
                </c:pt>
                <c:pt idx="9">
                  <c:v>372.46329759433979</c:v>
                </c:pt>
                <c:pt idx="10">
                  <c:v>0</c:v>
                </c:pt>
              </c:numCache>
            </c:numRef>
          </c:xVal>
          <c:yVal>
            <c:numRef>
              <c:f>'Задание 3'!$I$136:$I$146</c:f>
              <c:numCache>
                <c:formatCode>General</c:formatCode>
                <c:ptCount val="11"/>
                <c:pt idx="0">
                  <c:v>0</c:v>
                </c:pt>
                <c:pt idx="1">
                  <c:v>6.2800000000000011</c:v>
                </c:pt>
                <c:pt idx="2">
                  <c:v>12.560000000000002</c:v>
                </c:pt>
                <c:pt idx="3">
                  <c:v>18.84</c:v>
                </c:pt>
                <c:pt idx="4">
                  <c:v>25.120000000000005</c:v>
                </c:pt>
                <c:pt idx="5">
                  <c:v>31.400000000000002</c:v>
                </c:pt>
                <c:pt idx="6">
                  <c:v>37.68</c:v>
                </c:pt>
                <c:pt idx="7">
                  <c:v>43.96</c:v>
                </c:pt>
                <c:pt idx="8">
                  <c:v>50.240000000000009</c:v>
                </c:pt>
                <c:pt idx="9">
                  <c:v>56.52</c:v>
                </c:pt>
                <c:pt idx="10">
                  <c:v>62.800000000000004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6-4C69-9A07-B800497FA9DE}"/>
            </c:ext>
          </c:extLst>
        </c:ser>
        <c:ser>
          <c:idx val="3"/>
          <c:order val="3"/>
          <c:tx>
            <c:v>w=f(M)20Гц</c:v>
          </c:tx>
          <c:marker>
            <c:symbol val="none"/>
          </c:marker>
          <c:xVal>
            <c:numRef>
              <c:f>'Задание 3'!$D$136:$D$146</c:f>
              <c:numCache>
                <c:formatCode>General</c:formatCode>
                <c:ptCount val="11"/>
                <c:pt idx="0">
                  <c:v>1158.8118641138303</c:v>
                </c:pt>
                <c:pt idx="1">
                  <c:v>1193.7976987745897</c:v>
                </c:pt>
                <c:pt idx="2">
                  <c:v>1225.0701911134151</c:v>
                </c:pt>
                <c:pt idx="3">
                  <c:v>1249.2537135180653</c:v>
                </c:pt>
                <c:pt idx="4">
                  <c:v>1260.95781435615</c:v>
                </c:pt>
                <c:pt idx="5">
                  <c:v>1251.5441085433706</c:v>
                </c:pt>
                <c:pt idx="6">
                  <c:v>1207.1181660483651</c:v>
                </c:pt>
                <c:pt idx="7">
                  <c:v>1105.3287902714733</c:v>
                </c:pt>
                <c:pt idx="8">
                  <c:v>910.57811240222406</c:v>
                </c:pt>
                <c:pt idx="9">
                  <c:v>568.01265717017691</c:v>
                </c:pt>
                <c:pt idx="10">
                  <c:v>0</c:v>
                </c:pt>
              </c:numCache>
            </c:numRef>
          </c:xVal>
          <c:yVal>
            <c:numRef>
              <c:f>'Задание 3'!$J$136:$J$146</c:f>
              <c:numCache>
                <c:formatCode>General</c:formatCode>
                <c:ptCount val="11"/>
                <c:pt idx="0">
                  <c:v>0</c:v>
                </c:pt>
                <c:pt idx="1">
                  <c:v>4.1866666666666665</c:v>
                </c:pt>
                <c:pt idx="2">
                  <c:v>8.3733333333333331</c:v>
                </c:pt>
                <c:pt idx="3">
                  <c:v>12.56</c:v>
                </c:pt>
                <c:pt idx="4">
                  <c:v>16.746666666666666</c:v>
                </c:pt>
                <c:pt idx="5">
                  <c:v>20.933333333333334</c:v>
                </c:pt>
                <c:pt idx="6">
                  <c:v>25.12</c:v>
                </c:pt>
                <c:pt idx="7">
                  <c:v>29.306666666666665</c:v>
                </c:pt>
                <c:pt idx="8">
                  <c:v>33.493333333333332</c:v>
                </c:pt>
                <c:pt idx="9">
                  <c:v>37.68</c:v>
                </c:pt>
                <c:pt idx="10">
                  <c:v>41.866666666666667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6-4C69-9A07-B800497FA9DE}"/>
            </c:ext>
          </c:extLst>
        </c:ser>
        <c:ser>
          <c:idx val="4"/>
          <c:order val="4"/>
          <c:tx>
            <c:v>w=f(M)10Гц</c:v>
          </c:tx>
          <c:marker>
            <c:symbol val="none"/>
          </c:marker>
          <c:xVal>
            <c:numRef>
              <c:f>'Задание 3'!$E$136:$E$146</c:f>
              <c:numCache>
                <c:formatCode>General</c:formatCode>
                <c:ptCount val="11"/>
                <c:pt idx="0">
                  <c:v>2912.1213492655938</c:v>
                </c:pt>
                <c:pt idx="1">
                  <c:v>2945.0248800263225</c:v>
                </c:pt>
                <c:pt idx="2">
                  <c:v>2961.4487507446047</c:v>
                </c:pt>
                <c:pt idx="3">
                  <c:v>2953.5112410849829</c:v>
                </c:pt>
                <c:pt idx="4">
                  <c:v>2909.7385728546715</c:v>
                </c:pt>
                <c:pt idx="5">
                  <c:v>2813.2210472286743</c:v>
                </c:pt>
                <c:pt idx="6">
                  <c:v>2638.6895262564403</c:v>
                </c:pt>
                <c:pt idx="7">
                  <c:v>2347.8099770557742</c:v>
                </c:pt>
                <c:pt idx="8">
                  <c:v>1881.5210581315353</c:v>
                </c:pt>
                <c:pt idx="9">
                  <c:v>1147.507946026597</c:v>
                </c:pt>
                <c:pt idx="10">
                  <c:v>0</c:v>
                </c:pt>
              </c:numCache>
            </c:numRef>
          </c:xVal>
          <c:yVal>
            <c:numRef>
              <c:f>'Задание 3'!$K$136:$K$146</c:f>
              <c:numCache>
                <c:formatCode>General</c:formatCode>
                <c:ptCount val="11"/>
                <c:pt idx="0">
                  <c:v>0</c:v>
                </c:pt>
                <c:pt idx="1">
                  <c:v>2.0933333333333333</c:v>
                </c:pt>
                <c:pt idx="2">
                  <c:v>4.1866666666666665</c:v>
                </c:pt>
                <c:pt idx="3">
                  <c:v>6.28</c:v>
                </c:pt>
                <c:pt idx="4">
                  <c:v>8.3733333333333331</c:v>
                </c:pt>
                <c:pt idx="5">
                  <c:v>10.466666666666667</c:v>
                </c:pt>
                <c:pt idx="6">
                  <c:v>12.56</c:v>
                </c:pt>
                <c:pt idx="7">
                  <c:v>14.653333333333332</c:v>
                </c:pt>
                <c:pt idx="8">
                  <c:v>16.746666666666666</c:v>
                </c:pt>
                <c:pt idx="9">
                  <c:v>18.84</c:v>
                </c:pt>
                <c:pt idx="10">
                  <c:v>20.933333333333334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26-4C69-9A07-B800497F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4480"/>
        <c:axId val="83842944"/>
      </c:scatterChart>
      <c:valAx>
        <c:axId val="838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42944"/>
        <c:crosses val="autoZero"/>
        <c:crossBetween val="midCat"/>
      </c:valAx>
      <c:valAx>
        <c:axId val="838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4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171449</xdr:rowOff>
    </xdr:from>
    <xdr:to>
      <xdr:col>7</xdr:col>
      <xdr:colOff>457200</xdr:colOff>
      <xdr:row>32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142874</xdr:rowOff>
    </xdr:from>
    <xdr:to>
      <xdr:col>16</xdr:col>
      <xdr:colOff>523875</xdr:colOff>
      <xdr:row>32</xdr:row>
      <xdr:rowOff>19049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400050</xdr:colOff>
      <xdr:row>2</xdr:row>
      <xdr:rowOff>47625</xdr:rowOff>
    </xdr:from>
    <xdr:to>
      <xdr:col>30</xdr:col>
      <xdr:colOff>126918</xdr:colOff>
      <xdr:row>18</xdr:row>
      <xdr:rowOff>134656</xdr:rowOff>
    </xdr:to>
    <xdr:pic>
      <xdr:nvPicPr>
        <xdr:cNvPr id="4" name="Рисунок 3" descr="Безымянный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763250" y="523875"/>
          <a:ext cx="7651668" cy="3230281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</cdr:x>
      <cdr:y>0.05305</cdr:y>
    </cdr:from>
    <cdr:to>
      <cdr:x>0.86667</cdr:x>
      <cdr:y>0.15565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200" y="190500"/>
          <a:ext cx="3505215" cy="368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 механическая характеристика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0.23417</cdr:x>
      <cdr:y>0.04113</cdr:y>
    </cdr:from>
    <cdr:to>
      <cdr:x>0.70609</cdr:x>
      <cdr:y>0.12485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66900" y="180975"/>
          <a:ext cx="3762375" cy="368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 механическая характеристика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0.08125</cdr:x>
      <cdr:y>0.11616</cdr:y>
    </cdr:from>
    <cdr:to>
      <cdr:x>0.90416</cdr:x>
      <cdr:y>0.21383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" y="438150"/>
          <a:ext cx="3762347" cy="368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 механическая характеристика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0.17292</cdr:x>
      <cdr:y>0.0646</cdr:y>
    </cdr:from>
    <cdr:to>
      <cdr:x>0.70417</cdr:x>
      <cdr:y>0.16021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0574" y="238126"/>
          <a:ext cx="242887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Естественная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характеристика</a:t>
          </a:r>
        </a:p>
        <a:p xmlns:a="http://schemas.openxmlformats.org/drawingml/2006/main">
          <a:endParaRPr lang="ru-RU" sz="14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0.12292</cdr:x>
      <cdr:y>0.03101</cdr:y>
    </cdr:from>
    <cdr:to>
      <cdr:x>0.65417</cdr:x>
      <cdr:y>0.12661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975" y="114300"/>
          <a:ext cx="242887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характеристика</a:t>
          </a:r>
        </a:p>
        <a:p xmlns:a="http://schemas.openxmlformats.org/drawingml/2006/main">
          <a:endParaRPr lang="ru-RU" sz="14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13</xdr:row>
      <xdr:rowOff>38100</xdr:rowOff>
    </xdr:from>
    <xdr:to>
      <xdr:col>16</xdr:col>
      <xdr:colOff>152400</xdr:colOff>
      <xdr:row>31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13</xdr:row>
      <xdr:rowOff>85725</xdr:rowOff>
    </xdr:from>
    <xdr:to>
      <xdr:col>8</xdr:col>
      <xdr:colOff>0</xdr:colOff>
      <xdr:row>31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0.02793</cdr:y>
    </cdr:from>
    <cdr:to>
      <cdr:x>0.67292</cdr:x>
      <cdr:y>0.13128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" y="95250"/>
          <a:ext cx="242887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Естественная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характеристика</a:t>
          </a:r>
        </a:p>
        <a:p xmlns:a="http://schemas.openxmlformats.org/drawingml/2006/main">
          <a:endParaRPr lang="ru-RU" sz="14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0.15833</cdr:x>
      <cdr:y>0.02542</cdr:y>
    </cdr:from>
    <cdr:to>
      <cdr:x>0.68958</cdr:x>
      <cdr:y>0.12994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3900" y="85725"/>
          <a:ext cx="242887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характеристика</a:t>
          </a:r>
        </a:p>
        <a:p xmlns:a="http://schemas.openxmlformats.org/drawingml/2006/main">
          <a:endParaRPr lang="ru-RU" sz="14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0</xdr:rowOff>
    </xdr:from>
    <xdr:to>
      <xdr:col>8</xdr:col>
      <xdr:colOff>47625</xdr:colOff>
      <xdr:row>32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17</xdr:row>
      <xdr:rowOff>142875</xdr:rowOff>
    </xdr:from>
    <xdr:to>
      <xdr:col>25</xdr:col>
      <xdr:colOff>276225</xdr:colOff>
      <xdr:row>40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60</xdr:row>
      <xdr:rowOff>180974</xdr:rowOff>
    </xdr:from>
    <xdr:to>
      <xdr:col>8</xdr:col>
      <xdr:colOff>285750</xdr:colOff>
      <xdr:row>79</xdr:row>
      <xdr:rowOff>152399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101</xdr:row>
      <xdr:rowOff>180975</xdr:rowOff>
    </xdr:from>
    <xdr:to>
      <xdr:col>11</xdr:col>
      <xdr:colOff>533400</xdr:colOff>
      <xdr:row>125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914400</xdr:colOff>
      <xdr:row>147</xdr:row>
      <xdr:rowOff>19050</xdr:rowOff>
    </xdr:from>
    <xdr:to>
      <xdr:col>13</xdr:col>
      <xdr:colOff>381000</xdr:colOff>
      <xdr:row>170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276225</xdr:colOff>
          <xdr:row>2</xdr:row>
          <xdr:rowOff>9525</xdr:rowOff>
        </xdr:from>
        <xdr:to>
          <xdr:col>11</xdr:col>
          <xdr:colOff>371475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43</xdr:row>
          <xdr:rowOff>57150</xdr:rowOff>
        </xdr:from>
        <xdr:to>
          <xdr:col>1</xdr:col>
          <xdr:colOff>381000</xdr:colOff>
          <xdr:row>45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84</xdr:row>
          <xdr:rowOff>47625</xdr:rowOff>
        </xdr:from>
        <xdr:to>
          <xdr:col>1</xdr:col>
          <xdr:colOff>390525</xdr:colOff>
          <xdr:row>86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130</xdr:row>
          <xdr:rowOff>161925</xdr:rowOff>
        </xdr:from>
        <xdr:to>
          <xdr:col>1</xdr:col>
          <xdr:colOff>828675</xdr:colOff>
          <xdr:row>132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0.21875</cdr:x>
      <cdr:y>0.06566</cdr:y>
    </cdr:from>
    <cdr:to>
      <cdr:x>0.75</cdr:x>
      <cdr:y>0.15909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0124" y="247650"/>
          <a:ext cx="242887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Естественная характеристика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0.11875</cdr:x>
      <cdr:y>0.06824</cdr:y>
    </cdr:from>
    <cdr:to>
      <cdr:x>0.88542</cdr:x>
      <cdr:y>0.15595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5" y="276225"/>
          <a:ext cx="3505200" cy="355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400">
              <a:latin typeface="Times New Roman" pitchFamily="18" charset="0"/>
              <a:cs typeface="Times New Roman" pitchFamily="18" charset="0"/>
            </a:rPr>
            <a:t>Искуственная механическая характеристика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w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workbookViewId="0">
      <selection activeCell="V25" sqref="V25"/>
    </sheetView>
  </sheetViews>
  <sheetFormatPr defaultRowHeight="15" x14ac:dyDescent="0.25"/>
  <sheetData>
    <row r="1" spans="1:38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/>
      <c r="I1" s="2"/>
      <c r="J1" s="2"/>
      <c r="K1" s="2" t="s">
        <v>0</v>
      </c>
      <c r="L1" s="2" t="s">
        <v>1</v>
      </c>
      <c r="M1" s="2" t="s">
        <v>2</v>
      </c>
      <c r="N1" s="2" t="s">
        <v>4</v>
      </c>
      <c r="O1" s="2" t="s">
        <v>7</v>
      </c>
      <c r="P1" s="2" t="s">
        <v>8</v>
      </c>
      <c r="Q1" s="2" t="s">
        <v>9</v>
      </c>
    </row>
    <row r="2" spans="1:38" ht="18.75" x14ac:dyDescent="0.3">
      <c r="A2" s="4">
        <v>190.73</v>
      </c>
      <c r="B2" s="4">
        <v>313.649</v>
      </c>
      <c r="C2" s="4">
        <f>(3*$G$2^2*(0.11*4.41/D2)/(104.72*((0.54+(0.11*4.41/D2))^2+(0.575+0.225*4.41)^2)))</f>
        <v>190.73059623376108</v>
      </c>
      <c r="D2" s="4">
        <v>1</v>
      </c>
      <c r="E2" s="4">
        <f>0</f>
        <v>0</v>
      </c>
      <c r="F2" s="4">
        <f>$G$2/SQRT((0.54+(0.11*4.41/D2))^2+(0.575+0.225*4.41)^2)</f>
        <v>117.15173782782807</v>
      </c>
      <c r="G2" s="4">
        <f>380/SQRT(3)</f>
        <v>219.39310229205779</v>
      </c>
      <c r="H2" s="4"/>
      <c r="I2" s="4"/>
      <c r="J2" s="4"/>
      <c r="K2" s="4">
        <v>122.068</v>
      </c>
      <c r="L2" s="4">
        <v>200.73</v>
      </c>
      <c r="M2" s="4">
        <f>(3*$O$2^2*(0.11*4.41/D2)/(104.72*((0.54+(0.11*4.41/D2))^2+(0.575+0.225*4.41)^2)))</f>
        <v>122.0675815896071</v>
      </c>
      <c r="N2" s="4">
        <f>$O$2/SQRT((0.54+(0.11*4.41/D2))^2+(0.575+0.225*4.41)^2)</f>
        <v>93.72139026226246</v>
      </c>
      <c r="O2" s="4">
        <f>0.8*G2</f>
        <v>175.51448183364624</v>
      </c>
      <c r="P2" s="4">
        <v>2.1</v>
      </c>
      <c r="Q2" s="5">
        <f>P2^2</f>
        <v>4.41</v>
      </c>
      <c r="R2" s="3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3"/>
      <c r="AE2" s="3"/>
      <c r="AF2" s="3"/>
      <c r="AG2" s="3"/>
      <c r="AH2" s="3"/>
      <c r="AI2" s="3"/>
      <c r="AJ2" s="3"/>
      <c r="AK2" s="3"/>
      <c r="AL2" s="3"/>
    </row>
    <row r="3" spans="1:38" ht="15.75" x14ac:dyDescent="0.25">
      <c r="A3" s="4"/>
      <c r="B3" s="4"/>
      <c r="C3" s="4">
        <f t="shared" ref="C3:C11" si="0">(3*$G$2^2*(0.11*4.41/D3)/(104.72*((0.54+(0.11*4.41/D3))^2+(0.575+0.225*4.41)^2)))</f>
        <v>205.2844938397181</v>
      </c>
      <c r="D3" s="4">
        <f>D2-0.1</f>
        <v>0.9</v>
      </c>
      <c r="E3" s="4">
        <f>E12*0.1</f>
        <v>10.466666666666669</v>
      </c>
      <c r="F3" s="4">
        <f t="shared" ref="F3:F11" si="1">$G$2/SQRT((0.54+(0.11*4.41/D3))^2+(0.575+0.225*4.41)^2)</f>
        <v>115.30227594953904</v>
      </c>
      <c r="G3" s="4"/>
      <c r="H3" s="4"/>
      <c r="I3" s="4"/>
      <c r="J3" s="4"/>
      <c r="K3" s="4"/>
      <c r="L3" s="4"/>
      <c r="M3" s="4">
        <f t="shared" ref="M3:M11" si="2">(3*$O$2^2*(0.11*4.41/D3)/(104.72*((0.54+(0.11*4.41/D3))^2+(0.575+0.225*4.41)^2)))</f>
        <v>131.38207605741957</v>
      </c>
      <c r="N3" s="4">
        <f t="shared" ref="N3:N11" si="3">$O$2/SQRT((0.54+(0.11*4.41/D3))^2+(0.575+0.225*4.41)^2)</f>
        <v>92.241820759631224</v>
      </c>
      <c r="O3" s="4"/>
      <c r="P3" s="4"/>
      <c r="Q3" s="4"/>
    </row>
    <row r="4" spans="1:38" ht="15.75" x14ac:dyDescent="0.25">
      <c r="A4" s="4"/>
      <c r="B4" s="4"/>
      <c r="C4" s="4">
        <f t="shared" si="0"/>
        <v>221.76135590175957</v>
      </c>
      <c r="D4" s="4">
        <f t="shared" ref="D4:D11" si="4">D3-0.1</f>
        <v>0.8</v>
      </c>
      <c r="E4" s="4">
        <f>E12*0.2</f>
        <v>20.933333333333337</v>
      </c>
      <c r="F4" s="4">
        <f t="shared" si="1"/>
        <v>112.98648025624077</v>
      </c>
      <c r="G4" s="4"/>
      <c r="H4" s="4"/>
      <c r="I4" s="4"/>
      <c r="J4" s="4"/>
      <c r="K4" s="4"/>
      <c r="L4" s="4"/>
      <c r="M4" s="4">
        <f t="shared" si="2"/>
        <v>141.92726777712613</v>
      </c>
      <c r="N4" s="4">
        <f t="shared" si="3"/>
        <v>90.389184204992617</v>
      </c>
      <c r="O4" s="4"/>
      <c r="P4" s="4"/>
      <c r="Q4" s="4"/>
    </row>
    <row r="5" spans="1:38" ht="15.75" x14ac:dyDescent="0.25">
      <c r="A5" s="4"/>
      <c r="B5" s="4"/>
      <c r="C5" s="4">
        <f t="shared" si="0"/>
        <v>240.30515315179844</v>
      </c>
      <c r="D5" s="4">
        <f t="shared" si="4"/>
        <v>0.70000000000000007</v>
      </c>
      <c r="E5" s="4">
        <f>E12*0.3</f>
        <v>31.4</v>
      </c>
      <c r="F5" s="4">
        <f t="shared" si="1"/>
        <v>110.01935996071175</v>
      </c>
      <c r="G5" s="4"/>
      <c r="H5" s="4"/>
      <c r="I5" s="4"/>
      <c r="J5" s="4"/>
      <c r="K5" s="4"/>
      <c r="L5" s="4"/>
      <c r="M5" s="4">
        <f t="shared" si="2"/>
        <v>153.795298017151</v>
      </c>
      <c r="N5" s="4">
        <f t="shared" si="3"/>
        <v>88.015487968569403</v>
      </c>
      <c r="O5" s="4"/>
      <c r="P5" s="4"/>
      <c r="Q5" s="4"/>
    </row>
    <row r="6" spans="1:38" ht="15.75" x14ac:dyDescent="0.25">
      <c r="A6" s="4"/>
      <c r="B6" s="4"/>
      <c r="C6" s="4">
        <f t="shared" si="0"/>
        <v>260.80110184320085</v>
      </c>
      <c r="D6" s="4">
        <f t="shared" si="4"/>
        <v>0.60000000000000009</v>
      </c>
      <c r="E6" s="4">
        <f>E12*0.4</f>
        <v>41.866666666666674</v>
      </c>
      <c r="F6" s="4">
        <f t="shared" si="1"/>
        <v>106.11307214278298</v>
      </c>
      <c r="G6" s="4"/>
      <c r="H6" s="4"/>
      <c r="I6" s="4"/>
      <c r="J6" s="4"/>
      <c r="K6" s="4"/>
      <c r="L6" s="4"/>
      <c r="M6" s="4">
        <f t="shared" si="2"/>
        <v>166.91270517964858</v>
      </c>
      <c r="N6" s="4">
        <f t="shared" si="3"/>
        <v>84.8904577142264</v>
      </c>
      <c r="O6" s="4"/>
      <c r="P6" s="4"/>
      <c r="Q6" s="4"/>
    </row>
    <row r="7" spans="1:38" ht="15.75" x14ac:dyDescent="0.25">
      <c r="A7" s="4"/>
      <c r="B7" s="4"/>
      <c r="C7" s="4">
        <f t="shared" si="0"/>
        <v>282.42139273090584</v>
      </c>
      <c r="D7" s="4">
        <f t="shared" si="4"/>
        <v>0.50000000000000011</v>
      </c>
      <c r="E7" s="4">
        <f>E12*0.5</f>
        <v>52.333333333333336</v>
      </c>
      <c r="F7" s="4">
        <f t="shared" si="1"/>
        <v>100.80274284948641</v>
      </c>
      <c r="G7" s="4"/>
      <c r="H7" s="4"/>
      <c r="I7" s="4"/>
      <c r="J7" s="4"/>
      <c r="K7" s="4"/>
      <c r="L7" s="4"/>
      <c r="M7" s="4">
        <f t="shared" si="2"/>
        <v>180.74969134777976</v>
      </c>
      <c r="N7" s="4">
        <f t="shared" si="3"/>
        <v>80.64219427958912</v>
      </c>
      <c r="O7" s="4"/>
      <c r="P7" s="4"/>
      <c r="Q7" s="4"/>
    </row>
    <row r="8" spans="1:38" ht="15.75" x14ac:dyDescent="0.25">
      <c r="A8" s="4"/>
      <c r="B8" s="4"/>
      <c r="C8" s="4">
        <f t="shared" si="0"/>
        <v>302.4885792472935</v>
      </c>
      <c r="D8" s="4">
        <f t="shared" si="4"/>
        <v>0.40000000000000013</v>
      </c>
      <c r="E8" s="4">
        <f>E12*0.6</f>
        <v>62.8</v>
      </c>
      <c r="F8" s="4">
        <f t="shared" si="1"/>
        <v>93.308893373395037</v>
      </c>
      <c r="G8" s="4"/>
      <c r="H8" s="4"/>
      <c r="I8" s="4"/>
      <c r="J8" s="4"/>
      <c r="K8" s="4"/>
      <c r="L8" s="4"/>
      <c r="M8" s="4">
        <f t="shared" si="2"/>
        <v>193.59269071826785</v>
      </c>
      <c r="N8" s="4">
        <f t="shared" si="3"/>
        <v>74.647114698716024</v>
      </c>
      <c r="O8" s="4"/>
      <c r="P8" s="4"/>
      <c r="Q8" s="4"/>
    </row>
    <row r="9" spans="1:38" ht="15.75" x14ac:dyDescent="0.25">
      <c r="A9" s="4"/>
      <c r="B9" s="4"/>
      <c r="C9" s="4">
        <f t="shared" si="0"/>
        <v>313.64896387586793</v>
      </c>
      <c r="D9" s="4">
        <f t="shared" si="4"/>
        <v>0.30000000000000016</v>
      </c>
      <c r="E9" s="4">
        <f>E12*0.7</f>
        <v>73.266666666666666</v>
      </c>
      <c r="F9" s="4">
        <f t="shared" si="1"/>
        <v>82.28508234019715</v>
      </c>
      <c r="G9" s="4"/>
      <c r="H9" s="4"/>
      <c r="I9" s="4"/>
      <c r="J9" s="4"/>
      <c r="K9" s="4"/>
      <c r="L9" s="4"/>
      <c r="M9" s="4">
        <f t="shared" si="2"/>
        <v>200.73533688055548</v>
      </c>
      <c r="N9" s="4">
        <f t="shared" si="3"/>
        <v>65.828065872157723</v>
      </c>
      <c r="O9" s="4"/>
      <c r="P9" s="4"/>
      <c r="Q9" s="4"/>
    </row>
    <row r="10" spans="1:38" ht="15.75" x14ac:dyDescent="0.25">
      <c r="A10" s="4"/>
      <c r="B10" s="4"/>
      <c r="C10" s="4">
        <f t="shared" si="0"/>
        <v>297.28188780050795</v>
      </c>
      <c r="D10" s="4">
        <f t="shared" si="4"/>
        <v>0.20000000000000015</v>
      </c>
      <c r="E10" s="4">
        <f>E12*0.8</f>
        <v>83.733333333333348</v>
      </c>
      <c r="F10" s="4">
        <f t="shared" si="1"/>
        <v>65.409039988837037</v>
      </c>
      <c r="G10" s="4"/>
      <c r="H10" s="4"/>
      <c r="I10" s="4"/>
      <c r="J10" s="4"/>
      <c r="K10" s="4"/>
      <c r="L10" s="4"/>
      <c r="M10" s="4">
        <f t="shared" si="2"/>
        <v>190.26040819232509</v>
      </c>
      <c r="N10" s="4">
        <f t="shared" si="3"/>
        <v>52.327231991069631</v>
      </c>
      <c r="O10" s="4"/>
      <c r="P10" s="4"/>
      <c r="Q10" s="4"/>
    </row>
    <row r="11" spans="1:38" ht="15.75" x14ac:dyDescent="0.25">
      <c r="A11" s="4"/>
      <c r="B11" s="4"/>
      <c r="C11" s="4">
        <f t="shared" si="0"/>
        <v>212.22389851919203</v>
      </c>
      <c r="D11" s="4">
        <f t="shared" si="4"/>
        <v>0.10000000000000014</v>
      </c>
      <c r="E11" s="4">
        <f>E12*0.9</f>
        <v>94.2</v>
      </c>
      <c r="F11" s="4">
        <f t="shared" si="1"/>
        <v>39.078303022549875</v>
      </c>
      <c r="G11" s="4"/>
      <c r="H11" s="4"/>
      <c r="I11" s="4"/>
      <c r="J11" s="4"/>
      <c r="K11" s="4"/>
      <c r="L11" s="4"/>
      <c r="M11" s="4">
        <f t="shared" si="2"/>
        <v>135.8232950522829</v>
      </c>
      <c r="N11" s="4">
        <f t="shared" si="3"/>
        <v>31.262642418039899</v>
      </c>
      <c r="O11" s="4"/>
      <c r="P11" s="4"/>
      <c r="Q11" s="4"/>
    </row>
    <row r="12" spans="1:38" ht="15.75" x14ac:dyDescent="0.25">
      <c r="A12" s="4"/>
      <c r="B12" s="4"/>
      <c r="C12" s="4">
        <v>0</v>
      </c>
      <c r="D12" s="4">
        <v>0</v>
      </c>
      <c r="E12" s="4">
        <f>2*3.14*50/3</f>
        <v>104.66666666666667</v>
      </c>
      <c r="F12" s="4">
        <v>0</v>
      </c>
      <c r="G12" s="4"/>
      <c r="H12" s="4"/>
      <c r="I12" s="4"/>
      <c r="J12" s="4"/>
      <c r="K12" s="4"/>
      <c r="L12" s="4"/>
      <c r="M12" s="4">
        <v>0</v>
      </c>
      <c r="N12" s="4">
        <v>0</v>
      </c>
      <c r="O12" s="4"/>
      <c r="P12" s="4"/>
      <c r="Q12" s="4"/>
    </row>
    <row r="26" spans="20:30" ht="18.75" x14ac:dyDescent="0.3"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38" spans="2:9" ht="18.75" x14ac:dyDescent="0.3">
      <c r="B38" s="2"/>
      <c r="C38" s="2"/>
      <c r="D38" s="2"/>
      <c r="E38" s="2"/>
      <c r="F38" s="2"/>
      <c r="G38" s="2"/>
      <c r="H38" s="2"/>
      <c r="I38" s="2"/>
    </row>
  </sheetData>
  <mergeCells count="2">
    <mergeCell ref="T26:AD26"/>
    <mergeCell ref="S2:A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R20" sqref="R20:S20"/>
    </sheetView>
  </sheetViews>
  <sheetFormatPr defaultRowHeight="15" x14ac:dyDescent="0.25"/>
  <sheetData>
    <row r="1" spans="1:18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/>
      <c r="I1" s="2" t="s">
        <v>10</v>
      </c>
      <c r="J1" s="2"/>
      <c r="K1" s="2" t="s">
        <v>0</v>
      </c>
      <c r="L1" s="2" t="s">
        <v>1</v>
      </c>
      <c r="M1" s="2" t="s">
        <v>2</v>
      </c>
      <c r="N1" s="2" t="s">
        <v>3</v>
      </c>
      <c r="O1" s="2" t="s">
        <v>5</v>
      </c>
      <c r="P1" s="2" t="s">
        <v>4</v>
      </c>
      <c r="Q1" s="2" t="s">
        <v>6</v>
      </c>
      <c r="R1" s="2"/>
    </row>
    <row r="2" spans="1:18" ht="15.75" x14ac:dyDescent="0.25">
      <c r="A2" s="4">
        <v>318.85000000000002</v>
      </c>
      <c r="B2" s="4">
        <v>555.72</v>
      </c>
      <c r="C2" s="4">
        <f>(3*$G$2^2*((0.11*4.41+$I$2)/D2)/(104.72*((0.54+(0.11*4.41/D2))^2+(0.575+0.225*4.41)^2)))</f>
        <v>348.89178061824924</v>
      </c>
      <c r="D2" s="4">
        <v>1</v>
      </c>
      <c r="E2" s="4">
        <f>0</f>
        <v>0</v>
      </c>
      <c r="F2" s="4">
        <f>$G$2/SQRT((0.54+((0.111*4.41+$I$2)/D2))^2+(0.645+0.241*4.41)^2)</f>
        <v>98.445025797752535</v>
      </c>
      <c r="G2" s="4">
        <f>380/SQRT(3)</f>
        <v>219.39310229205779</v>
      </c>
      <c r="H2" s="4"/>
      <c r="I2" s="4">
        <f>(SQRT(0.48^2+(0.645+0.241*4.41)^2)*1/4.41)</f>
        <v>0.40226367483736913</v>
      </c>
      <c r="J2" s="4"/>
      <c r="K2" s="4">
        <v>190.73</v>
      </c>
      <c r="L2" s="4">
        <v>313.649</v>
      </c>
      <c r="M2" s="4">
        <f>(3*$G$2^2*(0.11*4.41/N2)/(104.72*((0.54+(0.11*4.41/N2))^2+(0.575+0.225*4.41)^2)))</f>
        <v>190.73059623376108</v>
      </c>
      <c r="N2" s="4">
        <v>1</v>
      </c>
      <c r="O2" s="4">
        <f>0</f>
        <v>0</v>
      </c>
      <c r="P2" s="4">
        <f>$G$2/SQRT((0.54+(0.11*4.41/N2))^2+(0.575+0.225*4.41)^2)</f>
        <v>117.15173782782807</v>
      </c>
      <c r="Q2" s="4">
        <f>380/SQRT(3)</f>
        <v>219.39310229205779</v>
      </c>
    </row>
    <row r="3" spans="1:18" ht="15.75" x14ac:dyDescent="0.25">
      <c r="A3" s="4"/>
      <c r="B3" s="4"/>
      <c r="C3" s="4">
        <f t="shared" ref="C3:C11" si="0">(3*$G$2^2*((0.11*4.41+$I$2)/D3)/(104.72*((0.54+(0.11*4.41/D3))^2+(0.575+0.225*4.41)^2)))</f>
        <v>375.51433279889</v>
      </c>
      <c r="D3" s="4">
        <f>D2-0.1</f>
        <v>0.9</v>
      </c>
      <c r="E3" s="4">
        <f>E12*0.1</f>
        <v>5.2333333333333343</v>
      </c>
      <c r="F3" s="4">
        <f t="shared" ref="F3:F11" si="1">$G$2/SQRT((0.54+((0.111*4.41+$I$2)/D3))^2+(0.645+0.241*4.41)^2)</f>
        <v>95.658608808330499</v>
      </c>
      <c r="G3" s="4"/>
      <c r="H3" s="4"/>
      <c r="I3" s="4"/>
      <c r="J3" s="4"/>
      <c r="K3" s="4"/>
      <c r="L3" s="4"/>
      <c r="M3" s="4">
        <f t="shared" ref="M3:M11" si="2">(3*$G$2^2*(0.11*4.41/N3)/(104.72*((0.54+(0.11*4.41/N3))^2+(0.575+0.225*4.41)^2)))</f>
        <v>205.2844938397181</v>
      </c>
      <c r="N3" s="4">
        <f>N2-0.1</f>
        <v>0.9</v>
      </c>
      <c r="O3" s="4">
        <f>O12*0.1</f>
        <v>10.466666666666669</v>
      </c>
      <c r="P3" s="4">
        <f t="shared" ref="P3:P11" si="3">$G$2/SQRT((0.54+(0.11*4.41/N3))^2+(0.575+0.225*4.41)^2)</f>
        <v>115.30227594953904</v>
      </c>
      <c r="Q3" s="4"/>
    </row>
    <row r="4" spans="1:18" ht="15.75" x14ac:dyDescent="0.25">
      <c r="A4" s="4"/>
      <c r="B4" s="4"/>
      <c r="C4" s="4">
        <f t="shared" si="0"/>
        <v>405.65444590786041</v>
      </c>
      <c r="D4" s="4">
        <f t="shared" ref="D4:D11" si="4">D3-0.1</f>
        <v>0.8</v>
      </c>
      <c r="E4" s="4">
        <f>E12*0.2</f>
        <v>10.466666666666669</v>
      </c>
      <c r="F4" s="4">
        <f t="shared" si="1"/>
        <v>92.260975942904423</v>
      </c>
      <c r="G4" s="4"/>
      <c r="H4" s="4"/>
      <c r="I4" s="4"/>
      <c r="J4" s="4"/>
      <c r="K4" s="4"/>
      <c r="L4" s="4"/>
      <c r="M4" s="4">
        <f t="shared" si="2"/>
        <v>221.76135590175957</v>
      </c>
      <c r="N4" s="4">
        <f t="shared" ref="N4:N11" si="5">N3-0.1</f>
        <v>0.8</v>
      </c>
      <c r="O4" s="4">
        <f>O12*0.2</f>
        <v>20.933333333333337</v>
      </c>
      <c r="P4" s="4">
        <f t="shared" si="3"/>
        <v>112.98648025624077</v>
      </c>
      <c r="Q4" s="4"/>
    </row>
    <row r="5" spans="1:18" ht="15.75" x14ac:dyDescent="0.25">
      <c r="A5" s="4"/>
      <c r="B5" s="4"/>
      <c r="C5" s="4">
        <f t="shared" si="0"/>
        <v>439.57547677414277</v>
      </c>
      <c r="D5" s="4">
        <f t="shared" si="4"/>
        <v>0.70000000000000007</v>
      </c>
      <c r="E5" s="4">
        <f>E12*0.3</f>
        <v>15.7</v>
      </c>
      <c r="F5" s="4">
        <f t="shared" si="1"/>
        <v>88.060163652751413</v>
      </c>
      <c r="G5" s="4"/>
      <c r="H5" s="4"/>
      <c r="I5" s="4"/>
      <c r="J5" s="4"/>
      <c r="K5" s="4"/>
      <c r="L5" s="4"/>
      <c r="M5" s="4">
        <f t="shared" si="2"/>
        <v>240.30515315179844</v>
      </c>
      <c r="N5" s="4">
        <f t="shared" si="5"/>
        <v>0.70000000000000007</v>
      </c>
      <c r="O5" s="4">
        <f>O12*0.3</f>
        <v>31.4</v>
      </c>
      <c r="P5" s="4">
        <f t="shared" si="3"/>
        <v>110.01935996071175</v>
      </c>
      <c r="Q5" s="4"/>
    </row>
    <row r="6" spans="1:18" ht="15.75" x14ac:dyDescent="0.25">
      <c r="A6" s="4"/>
      <c r="B6" s="4"/>
      <c r="C6" s="4">
        <f t="shared" si="0"/>
        <v>477.06745853064876</v>
      </c>
      <c r="D6" s="4">
        <f t="shared" si="4"/>
        <v>0.60000000000000009</v>
      </c>
      <c r="E6" s="4">
        <f>E12*0.4</f>
        <v>20.933333333333337</v>
      </c>
      <c r="F6" s="4">
        <f t="shared" si="1"/>
        <v>82.790062340918524</v>
      </c>
      <c r="G6" s="4"/>
      <c r="H6" s="4"/>
      <c r="I6" s="4"/>
      <c r="J6" s="4"/>
      <c r="K6" s="4"/>
      <c r="L6" s="4"/>
      <c r="M6" s="4">
        <f t="shared" si="2"/>
        <v>260.80110184320085</v>
      </c>
      <c r="N6" s="4">
        <f t="shared" si="5"/>
        <v>0.60000000000000009</v>
      </c>
      <c r="O6" s="4">
        <f>O12*0.4</f>
        <v>41.866666666666674</v>
      </c>
      <c r="P6" s="4">
        <f t="shared" si="3"/>
        <v>106.11307214278298</v>
      </c>
      <c r="Q6" s="4"/>
    </row>
    <row r="7" spans="1:18" ht="15.75" x14ac:dyDescent="0.25">
      <c r="A7" s="4"/>
      <c r="B7" s="4"/>
      <c r="C7" s="4">
        <f t="shared" si="0"/>
        <v>516.61613050172025</v>
      </c>
      <c r="D7" s="4">
        <f t="shared" si="4"/>
        <v>0.50000000000000011</v>
      </c>
      <c r="E7" s="4">
        <f>E12*0.5</f>
        <v>26.166666666666668</v>
      </c>
      <c r="F7" s="4">
        <f t="shared" si="1"/>
        <v>76.081508931318623</v>
      </c>
      <c r="G7" s="4"/>
      <c r="H7" s="4"/>
      <c r="I7" s="4"/>
      <c r="J7" s="4"/>
      <c r="K7" s="4"/>
      <c r="L7" s="4"/>
      <c r="M7" s="4">
        <f t="shared" si="2"/>
        <v>282.42139273090584</v>
      </c>
      <c r="N7" s="4">
        <f t="shared" si="5"/>
        <v>0.50000000000000011</v>
      </c>
      <c r="O7" s="4">
        <f>O12*0.5</f>
        <v>52.333333333333336</v>
      </c>
      <c r="P7" s="4">
        <f t="shared" si="3"/>
        <v>100.80274284948641</v>
      </c>
      <c r="Q7" s="4"/>
    </row>
    <row r="8" spans="1:18" ht="15.75" x14ac:dyDescent="0.25">
      <c r="A8" s="4"/>
      <c r="B8" s="4"/>
      <c r="C8" s="4">
        <f t="shared" si="0"/>
        <v>553.32380391097331</v>
      </c>
      <c r="D8" s="4">
        <f t="shared" si="4"/>
        <v>0.40000000000000013</v>
      </c>
      <c r="E8" s="4">
        <f>E12*0.6</f>
        <v>31.4</v>
      </c>
      <c r="F8" s="4">
        <f t="shared" si="1"/>
        <v>67.429387559520137</v>
      </c>
      <c r="G8" s="4"/>
      <c r="H8" s="4"/>
      <c r="I8" s="4"/>
      <c r="J8" s="4"/>
      <c r="K8" s="4"/>
      <c r="L8" s="4"/>
      <c r="M8" s="4">
        <f t="shared" si="2"/>
        <v>302.4885792472935</v>
      </c>
      <c r="N8" s="4">
        <f t="shared" si="5"/>
        <v>0.40000000000000013</v>
      </c>
      <c r="O8" s="4">
        <f>O12*0.6</f>
        <v>62.8</v>
      </c>
      <c r="P8" s="4">
        <f t="shared" si="3"/>
        <v>93.308893373395037</v>
      </c>
      <c r="Q8" s="4"/>
    </row>
    <row r="9" spans="1:18" ht="15.75" x14ac:dyDescent="0.25">
      <c r="A9" s="4"/>
      <c r="B9" s="4"/>
      <c r="C9" s="4">
        <f t="shared" si="0"/>
        <v>573.7388109540783</v>
      </c>
      <c r="D9" s="4">
        <f t="shared" si="4"/>
        <v>0.30000000000000016</v>
      </c>
      <c r="E9" s="4">
        <f>E12*0.7</f>
        <v>36.633333333333333</v>
      </c>
      <c r="F9" s="4">
        <f t="shared" si="1"/>
        <v>56.171929905170948</v>
      </c>
      <c r="G9" s="4"/>
      <c r="H9" s="4"/>
      <c r="I9" s="4"/>
      <c r="J9" s="4"/>
      <c r="K9" s="4"/>
      <c r="L9" s="4"/>
      <c r="M9" s="4">
        <f t="shared" si="2"/>
        <v>313.64896387586793</v>
      </c>
      <c r="N9" s="4">
        <f t="shared" si="5"/>
        <v>0.30000000000000016</v>
      </c>
      <c r="O9" s="4">
        <f>O12*0.7</f>
        <v>73.266666666666666</v>
      </c>
      <c r="P9" s="4">
        <f t="shared" si="3"/>
        <v>82.28508234019715</v>
      </c>
      <c r="Q9" s="4"/>
    </row>
    <row r="10" spans="1:18" ht="15.75" x14ac:dyDescent="0.25">
      <c r="A10" s="4"/>
      <c r="B10" s="4"/>
      <c r="C10" s="4">
        <f t="shared" si="0"/>
        <v>543.79952261646929</v>
      </c>
      <c r="D10" s="4">
        <f t="shared" si="4"/>
        <v>0.20000000000000015</v>
      </c>
      <c r="E10" s="4">
        <f>E12*0.8</f>
        <v>41.866666666666674</v>
      </c>
      <c r="F10" s="4">
        <f t="shared" si="1"/>
        <v>41.531691673424909</v>
      </c>
      <c r="G10" s="4"/>
      <c r="H10" s="4"/>
      <c r="I10" s="4"/>
      <c r="J10" s="4"/>
      <c r="K10" s="4"/>
      <c r="L10" s="4"/>
      <c r="M10" s="4">
        <f t="shared" si="2"/>
        <v>297.28188780050795</v>
      </c>
      <c r="N10" s="4">
        <f t="shared" si="5"/>
        <v>0.20000000000000015</v>
      </c>
      <c r="O10" s="4">
        <f>O12*0.8</f>
        <v>83.733333333333348</v>
      </c>
      <c r="P10" s="4">
        <f t="shared" si="3"/>
        <v>65.409039988837037</v>
      </c>
      <c r="Q10" s="4"/>
    </row>
    <row r="11" spans="1:18" ht="15.75" x14ac:dyDescent="0.25">
      <c r="A11" s="4"/>
      <c r="B11" s="4"/>
      <c r="C11" s="4">
        <f t="shared" si="0"/>
        <v>388.20816012843369</v>
      </c>
      <c r="D11" s="4">
        <f t="shared" si="4"/>
        <v>0.10000000000000014</v>
      </c>
      <c r="E11" s="4">
        <f>E12*0.9</f>
        <v>47.1</v>
      </c>
      <c r="F11" s="4">
        <f t="shared" si="1"/>
        <v>22.828023607581486</v>
      </c>
      <c r="G11" s="4"/>
      <c r="H11" s="4"/>
      <c r="I11" s="4"/>
      <c r="J11" s="4"/>
      <c r="K11" s="4"/>
      <c r="L11" s="4"/>
      <c r="M11" s="4">
        <f t="shared" si="2"/>
        <v>212.22389851919203</v>
      </c>
      <c r="N11" s="4">
        <f t="shared" si="5"/>
        <v>0.10000000000000014</v>
      </c>
      <c r="O11" s="4">
        <f>O12*0.9</f>
        <v>94.2</v>
      </c>
      <c r="P11" s="4">
        <f t="shared" si="3"/>
        <v>39.078303022549875</v>
      </c>
      <c r="Q11" s="4"/>
    </row>
    <row r="12" spans="1:18" ht="15.75" x14ac:dyDescent="0.25">
      <c r="A12" s="4"/>
      <c r="B12" s="4"/>
      <c r="C12" s="4">
        <v>0</v>
      </c>
      <c r="D12" s="4">
        <v>0</v>
      </c>
      <c r="E12" s="4">
        <f>3.14*50/3</f>
        <v>52.333333333333336</v>
      </c>
      <c r="F12" s="4">
        <v>0</v>
      </c>
      <c r="G12" s="4"/>
      <c r="H12" s="4"/>
      <c r="I12" s="4"/>
      <c r="J12" s="4"/>
      <c r="K12" s="4"/>
      <c r="L12" s="4"/>
      <c r="M12" s="4">
        <v>0</v>
      </c>
      <c r="N12" s="4">
        <v>0</v>
      </c>
      <c r="O12" s="4">
        <f>2*3.14*50/3</f>
        <v>104.66666666666667</v>
      </c>
      <c r="P12" s="4">
        <v>0</v>
      </c>
      <c r="Q1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46"/>
  <sheetViews>
    <sheetView tabSelected="1" topLeftCell="A27" workbookViewId="0">
      <selection activeCell="D43" sqref="D43"/>
    </sheetView>
  </sheetViews>
  <sheetFormatPr defaultRowHeight="15" x14ac:dyDescent="0.25"/>
  <cols>
    <col min="1" max="4" width="14" bestFit="1" customWidth="1"/>
  </cols>
  <sheetData>
    <row r="1" spans="1:32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K1" s="9" t="s">
        <v>11</v>
      </c>
      <c r="L1" s="9"/>
    </row>
    <row r="2" spans="1:32" ht="18.75" x14ac:dyDescent="0.3">
      <c r="A2" s="4">
        <v>190.73</v>
      </c>
      <c r="B2" s="4">
        <v>313.649</v>
      </c>
      <c r="C2" s="4">
        <f>(3*$G$2^2*(0.11*4.41/D2)/(104.72*((0.54+(0.11*4.41/D2))^2+(0.575+0.225*4.41)^2)))</f>
        <v>190.73059623376108</v>
      </c>
      <c r="D2" s="4">
        <v>1</v>
      </c>
      <c r="E2" s="4">
        <f>0</f>
        <v>0</v>
      </c>
      <c r="F2" s="4">
        <f>$G$2/SQRT((0.48+(0.11*4.41/D2))^2+(0.575+0.225*4.41)^2)</f>
        <v>119.19858542160017</v>
      </c>
      <c r="G2" s="4">
        <f>380/SQRT(3)</f>
        <v>219.39310229205779</v>
      </c>
      <c r="K2" s="3" t="s">
        <v>12</v>
      </c>
      <c r="L2" s="3"/>
    </row>
    <row r="3" spans="1:32" ht="15.75" x14ac:dyDescent="0.25">
      <c r="A3" s="4"/>
      <c r="B3" s="4"/>
      <c r="C3" s="4">
        <f t="shared" ref="C3:C11" si="0">(3*$G$2^2*(0.11*4.41/D3)/(104.72*((0.54+(0.11*4.41/D3))^2+(0.575+0.225*4.41)^2)))</f>
        <v>205.2844938397181</v>
      </c>
      <c r="D3" s="4">
        <f>D2-0.1</f>
        <v>0.9</v>
      </c>
      <c r="E3" s="4">
        <f>E12*0.1</f>
        <v>10.466666666666669</v>
      </c>
      <c r="F3" s="4">
        <f t="shared" ref="F3:F11" si="1">$G$2/SQRT((0.48+(0.11*4.41/D3))^2+(0.575+0.225*4.41)^2)</f>
        <v>117.36055306752931</v>
      </c>
      <c r="G3" s="4"/>
      <c r="K3" s="10"/>
      <c r="L3" s="10"/>
    </row>
    <row r="4" spans="1:32" ht="15.75" x14ac:dyDescent="0.25">
      <c r="A4" s="4"/>
      <c r="B4" s="4"/>
      <c r="C4" s="4">
        <f t="shared" si="0"/>
        <v>221.76135590175957</v>
      </c>
      <c r="D4" s="4">
        <f t="shared" ref="D4:D11" si="2">D3-0.1</f>
        <v>0.8</v>
      </c>
      <c r="E4" s="4">
        <f>E12*0.2</f>
        <v>20.933333333333337</v>
      </c>
      <c r="F4" s="4">
        <f t="shared" si="1"/>
        <v>115.04882201918353</v>
      </c>
      <c r="G4" s="4"/>
      <c r="K4" s="10"/>
      <c r="L4" s="10"/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S4" s="12" t="s">
        <v>20</v>
      </c>
      <c r="T4" s="12" t="s">
        <v>24</v>
      </c>
      <c r="U4" s="12" t="s">
        <v>23</v>
      </c>
      <c r="V4" s="12" t="s">
        <v>22</v>
      </c>
      <c r="W4" s="12" t="s">
        <v>21</v>
      </c>
    </row>
    <row r="5" spans="1:32" ht="18.75" x14ac:dyDescent="0.3">
      <c r="A5" s="4"/>
      <c r="B5" s="4"/>
      <c r="C5" s="4">
        <f t="shared" si="0"/>
        <v>240.30515315179844</v>
      </c>
      <c r="D5" s="4">
        <f t="shared" si="2"/>
        <v>0.70000000000000007</v>
      </c>
      <c r="E5" s="4">
        <f>E12*0.3</f>
        <v>31.4</v>
      </c>
      <c r="F5" s="4">
        <f t="shared" si="1"/>
        <v>112.07243228733407</v>
      </c>
      <c r="G5" s="4"/>
      <c r="K5" s="2"/>
      <c r="L5" s="2"/>
      <c r="M5" s="11"/>
      <c r="N5" s="11"/>
      <c r="O5" s="11"/>
      <c r="P5" s="11"/>
      <c r="Q5" s="11"/>
      <c r="R5" s="2" t="s">
        <v>3</v>
      </c>
      <c r="S5" s="12"/>
      <c r="T5" s="12"/>
      <c r="U5" s="12"/>
      <c r="V5" s="12"/>
      <c r="W5" s="12"/>
      <c r="X5" s="2"/>
      <c r="Y5" s="2" t="s">
        <v>6</v>
      </c>
      <c r="Z5" s="1" t="s">
        <v>13</v>
      </c>
      <c r="AA5" s="2"/>
      <c r="AB5" s="2"/>
      <c r="AC5" s="2" t="s">
        <v>8</v>
      </c>
      <c r="AD5" s="11" t="s">
        <v>25</v>
      </c>
      <c r="AE5" s="11"/>
      <c r="AF5" s="11"/>
    </row>
    <row r="6" spans="1:32" ht="15.75" x14ac:dyDescent="0.25">
      <c r="A6" s="4"/>
      <c r="B6" s="4"/>
      <c r="C6" s="4">
        <f t="shared" si="0"/>
        <v>260.80110184320085</v>
      </c>
      <c r="D6" s="4">
        <f t="shared" si="2"/>
        <v>0.60000000000000009</v>
      </c>
      <c r="E6" s="4">
        <f>E12*0.4</f>
        <v>41.866666666666674</v>
      </c>
      <c r="F6" s="4">
        <f t="shared" si="1"/>
        <v>108.13310045737387</v>
      </c>
      <c r="G6" s="4"/>
      <c r="K6" s="4"/>
      <c r="L6" s="4"/>
      <c r="M6" s="4">
        <f>3*$AD$6^2*(0.11*4.41/$R6)*3/(((0.54+(0.11*4.41/$R6))^2+(0.575+0.225*4.41)^2*($Z$6/$Z$6)^2)*2*3.14*$Z$6)</f>
        <v>190.82778379872096</v>
      </c>
      <c r="N6" s="4">
        <f>(3*$AD$7^2*(0.11*4.41/$R6)*3/(2*3.14*$Z$7*((0.54+(0.11*4.41/$R6))^2+(0.575+0.225*4.41)^2*($Z$7/$Z$6)^2)))</f>
        <v>204.13032468317911</v>
      </c>
      <c r="O6" s="4">
        <f>(3*$AD$8^2*(0.11*4.41/$R6)*3/(2*3.14*$Z$8*((0.54+(0.11*4.41/$R6))^2+(0.575+0.225*4.41)^2*($Z$8/$Z$6)^2)))</f>
        <v>207.51073821128966</v>
      </c>
      <c r="P6" s="4">
        <f>(3*$AD$9^2*(0.11*4.41/$R6)*3/(2*3.14*$Z$9*((0.54+(0.11*4.41/$R6))^2+(0.575+0.225*4.41)^2*($Z$9/$Z$6)^2)))</f>
        <v>185.40989825821285</v>
      </c>
      <c r="Q6" s="4">
        <f>(3*$AD$10^2*(0.11*4.41/$R6)*3/(2*3.14*$Z$10*((0.54+(0.11*4.41/$R6))^2+(0.575+0.225*4.41)^2*($Z$10/$Z$6)^2)))</f>
        <v>116.48485397062375</v>
      </c>
      <c r="R6" s="4">
        <v>1</v>
      </c>
      <c r="S6" s="4">
        <f>0</f>
        <v>0</v>
      </c>
      <c r="T6" s="4">
        <f>0</f>
        <v>0</v>
      </c>
      <c r="U6" s="4">
        <f>0</f>
        <v>0</v>
      </c>
      <c r="V6" s="4">
        <f>0</f>
        <v>0</v>
      </c>
      <c r="W6" s="4">
        <f>0</f>
        <v>0</v>
      </c>
      <c r="X6" s="4"/>
      <c r="Y6" s="4">
        <f>380/SQRT(3)</f>
        <v>219.39310229205779</v>
      </c>
      <c r="Z6" s="4">
        <v>50</v>
      </c>
      <c r="AA6" s="4"/>
      <c r="AB6" s="4"/>
      <c r="AC6">
        <f>G2/Z6</f>
        <v>4.3878620458411559</v>
      </c>
      <c r="AD6" s="13">
        <f>$AC$6*$Z6</f>
        <v>219.39310229205779</v>
      </c>
      <c r="AE6" s="13"/>
      <c r="AF6" s="13"/>
    </row>
    <row r="7" spans="1:32" ht="15.75" x14ac:dyDescent="0.25">
      <c r="A7" s="4"/>
      <c r="B7" s="4"/>
      <c r="C7" s="4">
        <f t="shared" si="0"/>
        <v>282.42139273090584</v>
      </c>
      <c r="D7" s="4">
        <f t="shared" si="2"/>
        <v>0.50000000000000011</v>
      </c>
      <c r="E7" s="4">
        <f>E12*0.5</f>
        <v>52.333333333333336</v>
      </c>
      <c r="F7" s="4">
        <f t="shared" si="1"/>
        <v>102.74752733604609</v>
      </c>
      <c r="G7" s="4"/>
      <c r="K7" s="4"/>
      <c r="L7" s="4"/>
      <c r="M7" s="4">
        <f t="shared" ref="M7:M15" si="3">3*$AD$6^2*(0.11*4.41/$R7)*3/(((0.54+(0.11*4.41/$R7))^2+(0.575+0.225*4.41)^2*($Z$6/$Z$6)^2)*2*3.14*$Z$6)</f>
        <v>205.38909740345807</v>
      </c>
      <c r="N7" s="4">
        <f t="shared" ref="N7:N15" si="4">(3*$AD$7^2*(0.11*4.41/$R7)*3/(2*3.14*$Z$7*((0.54+(0.11*4.41/$R7))^2+(0.575+0.225*4.41)^2*($Z$7/$Z$6)^2)))</f>
        <v>217.41069985449994</v>
      </c>
      <c r="O7" s="4">
        <f t="shared" ref="O7:O15" si="5">(3*$AD$8^2*(0.11*4.41/$R7)*3/(2*3.14*$Z$8*((0.54+(0.11*4.41/$R7))^2+(0.575+0.225*4.41)^2*($Z$8/$Z$6)^2)))</f>
        <v>217.80258665612973</v>
      </c>
      <c r="P7" s="4">
        <f t="shared" ref="P7:P15" si="6">(3*$AD$9^2*(0.11*4.41/$R7)*3/(2*3.14*$Z$9*((0.54+(0.11*4.41/$R7))^2+(0.575+0.225*4.41)^2*($Z$9/$Z$6)^2)))</f>
        <v>191.00763180393434</v>
      </c>
      <c r="Q7" s="4">
        <f t="shared" ref="Q7:Q15" si="7">(3*$AD$10^2*(0.11*4.41/$R7)*3/(2*3.14*$Z$10*((0.54+(0.11*4.41/$R7))^2+(0.575+0.225*4.41)^2*($Z$10/$Z$6)^2)))</f>
        <v>117.80099520105291</v>
      </c>
      <c r="R7" s="4">
        <f>R6-0.1</f>
        <v>0.9</v>
      </c>
      <c r="S7" s="4">
        <f>S16*0.1</f>
        <v>10.466666666666669</v>
      </c>
      <c r="T7" s="4">
        <f t="shared" ref="T7:W7" si="8">T16*0.1</f>
        <v>8.3733333333333331</v>
      </c>
      <c r="U7" s="4">
        <f t="shared" si="8"/>
        <v>6.2800000000000011</v>
      </c>
      <c r="V7" s="4">
        <f t="shared" si="8"/>
        <v>4.1866666666666665</v>
      </c>
      <c r="W7" s="4">
        <f t="shared" si="8"/>
        <v>2.0933333333333333</v>
      </c>
      <c r="X7" s="4"/>
      <c r="Y7" s="4"/>
      <c r="Z7" s="4">
        <v>40</v>
      </c>
      <c r="AD7" s="13">
        <f>$AC$6*$Z7</f>
        <v>175.51448183364624</v>
      </c>
      <c r="AE7" s="13"/>
      <c r="AF7" s="13"/>
    </row>
    <row r="8" spans="1:32" ht="15.75" x14ac:dyDescent="0.25">
      <c r="A8" s="4"/>
      <c r="B8" s="4"/>
      <c r="C8" s="4">
        <f t="shared" si="0"/>
        <v>302.4885792472935</v>
      </c>
      <c r="D8" s="4">
        <f t="shared" si="2"/>
        <v>0.40000000000000013</v>
      </c>
      <c r="E8" s="4">
        <f>E12*0.6</f>
        <v>62.8</v>
      </c>
      <c r="F8" s="4">
        <f t="shared" si="1"/>
        <v>95.104001452740164</v>
      </c>
      <c r="G8" s="4"/>
      <c r="K8" s="4"/>
      <c r="L8" s="4"/>
      <c r="M8" s="4">
        <f t="shared" si="3"/>
        <v>221.87435531877958</v>
      </c>
      <c r="N8" s="4">
        <f t="shared" si="4"/>
        <v>231.88098939070653</v>
      </c>
      <c r="O8" s="4">
        <f t="shared" si="5"/>
        <v>228.31684402682936</v>
      </c>
      <c r="P8" s="4">
        <f t="shared" si="6"/>
        <v>196.01123057814641</v>
      </c>
      <c r="Q8" s="4">
        <f t="shared" si="7"/>
        <v>118.45795002978417</v>
      </c>
      <c r="R8" s="4">
        <f t="shared" ref="R8:R15" si="9">R7-0.1</f>
        <v>0.8</v>
      </c>
      <c r="S8" s="4">
        <f>S16*0.2</f>
        <v>20.933333333333337</v>
      </c>
      <c r="T8" s="4">
        <f t="shared" ref="T8:W8" si="10">T16*0.2</f>
        <v>16.746666666666666</v>
      </c>
      <c r="U8" s="4">
        <f t="shared" si="10"/>
        <v>12.560000000000002</v>
      </c>
      <c r="V8" s="4">
        <f t="shared" si="10"/>
        <v>8.3733333333333331</v>
      </c>
      <c r="W8" s="4">
        <f t="shared" si="10"/>
        <v>4.1866666666666665</v>
      </c>
      <c r="X8" s="4"/>
      <c r="Y8" s="4"/>
      <c r="Z8" s="4">
        <v>30</v>
      </c>
      <c r="AD8" s="13">
        <f>$AC$6*$Z8</f>
        <v>131.63586137523467</v>
      </c>
      <c r="AE8" s="13"/>
      <c r="AF8" s="13"/>
    </row>
    <row r="9" spans="1:32" ht="15.75" x14ac:dyDescent="0.25">
      <c r="A9" s="4"/>
      <c r="B9" s="4"/>
      <c r="C9" s="4">
        <f t="shared" si="0"/>
        <v>313.64896387586793</v>
      </c>
      <c r="D9" s="4">
        <f t="shared" si="2"/>
        <v>0.30000000000000016</v>
      </c>
      <c r="E9" s="4">
        <f>E12*0.7</f>
        <v>73.266666666666666</v>
      </c>
      <c r="F9" s="4">
        <f t="shared" si="1"/>
        <v>83.803278300004848</v>
      </c>
      <c r="G9" s="4"/>
      <c r="K9" s="4"/>
      <c r="L9" s="4"/>
      <c r="M9" s="4">
        <f t="shared" si="3"/>
        <v>240.4276016374809</v>
      </c>
      <c r="N9" s="4">
        <f t="shared" si="4"/>
        <v>247.34316739256829</v>
      </c>
      <c r="O9" s="4">
        <f t="shared" si="5"/>
        <v>238.56679296223737</v>
      </c>
      <c r="P9" s="4">
        <f t="shared" si="6"/>
        <v>199.88059416289045</v>
      </c>
      <c r="Q9" s="4">
        <f t="shared" si="7"/>
        <v>118.14044964339932</v>
      </c>
      <c r="R9" s="4">
        <f t="shared" si="9"/>
        <v>0.70000000000000007</v>
      </c>
      <c r="S9" s="4">
        <f>S16*0.3</f>
        <v>31.4</v>
      </c>
      <c r="T9" s="4">
        <f t="shared" ref="T9:V9" si="11">T16*0.3</f>
        <v>25.12</v>
      </c>
      <c r="U9" s="4">
        <f t="shared" si="11"/>
        <v>18.84</v>
      </c>
      <c r="V9" s="4">
        <f t="shared" si="11"/>
        <v>12.56</v>
      </c>
      <c r="W9" s="4">
        <f>W16*0.3</f>
        <v>6.28</v>
      </c>
      <c r="X9" s="4"/>
      <c r="Y9" s="4"/>
      <c r="Z9" s="4">
        <v>20</v>
      </c>
      <c r="AD9" s="13">
        <f t="shared" ref="AD9:AD10" si="12">$AC$6*$Z9</f>
        <v>87.757240916823122</v>
      </c>
      <c r="AE9" s="13"/>
      <c r="AF9" s="13"/>
    </row>
    <row r="10" spans="1:32" ht="15.75" x14ac:dyDescent="0.25">
      <c r="A10" s="4"/>
      <c r="B10" s="4"/>
      <c r="C10" s="4">
        <f t="shared" si="0"/>
        <v>297.28188780050795</v>
      </c>
      <c r="D10" s="4">
        <f t="shared" si="2"/>
        <v>0.20000000000000015</v>
      </c>
      <c r="E10" s="4">
        <f>E12*0.8</f>
        <v>83.733333333333348</v>
      </c>
      <c r="F10" s="4">
        <f t="shared" si="1"/>
        <v>66.457733582044355</v>
      </c>
      <c r="G10" s="4"/>
      <c r="K10" s="4"/>
      <c r="L10" s="4"/>
      <c r="M10" s="4">
        <f t="shared" si="3"/>
        <v>260.93399412439481</v>
      </c>
      <c r="N10" s="4">
        <f t="shared" si="4"/>
        <v>263.18996671417642</v>
      </c>
      <c r="O10" s="4">
        <f t="shared" si="5"/>
        <v>247.62276353196927</v>
      </c>
      <c r="P10" s="4">
        <f t="shared" si="6"/>
        <v>201.75325029698399</v>
      </c>
      <c r="Q10" s="4">
        <f t="shared" si="7"/>
        <v>116.38954291418688</v>
      </c>
      <c r="R10" s="4">
        <f t="shared" si="9"/>
        <v>0.60000000000000009</v>
      </c>
      <c r="S10" s="4">
        <f>S16*0.4</f>
        <v>41.866666666666674</v>
      </c>
      <c r="T10" s="4">
        <f t="shared" ref="T10:W10" si="13">T16*0.4</f>
        <v>33.493333333333332</v>
      </c>
      <c r="U10" s="4">
        <f t="shared" si="13"/>
        <v>25.120000000000005</v>
      </c>
      <c r="V10" s="4">
        <f t="shared" si="13"/>
        <v>16.746666666666666</v>
      </c>
      <c r="W10" s="4">
        <f t="shared" si="13"/>
        <v>8.3733333333333331</v>
      </c>
      <c r="X10" s="4"/>
      <c r="Y10" s="4"/>
      <c r="Z10" s="4">
        <v>10</v>
      </c>
      <c r="AD10" s="13">
        <f t="shared" si="12"/>
        <v>43.878620458411561</v>
      </c>
      <c r="AE10" s="13"/>
      <c r="AF10" s="13"/>
    </row>
    <row r="11" spans="1:32" ht="15.75" x14ac:dyDescent="0.25">
      <c r="A11" s="4"/>
      <c r="B11" s="4"/>
      <c r="C11" s="4">
        <f t="shared" si="0"/>
        <v>212.22389851919203</v>
      </c>
      <c r="D11" s="4">
        <f t="shared" si="2"/>
        <v>0.10000000000000014</v>
      </c>
      <c r="E11" s="4">
        <f>E12*0.9</f>
        <v>94.2</v>
      </c>
      <c r="F11" s="4">
        <f t="shared" si="1"/>
        <v>39.483316362215326</v>
      </c>
      <c r="G11" s="4"/>
      <c r="K11" s="4"/>
      <c r="L11" s="4"/>
      <c r="M11" s="4">
        <f t="shared" si="3"/>
        <v>282.56530172083239</v>
      </c>
      <c r="N11" s="4">
        <f t="shared" si="4"/>
        <v>277.93470607900451</v>
      </c>
      <c r="O11" s="4">
        <f t="shared" si="5"/>
        <v>253.7480995107984</v>
      </c>
      <c r="P11" s="4">
        <f t="shared" si="6"/>
        <v>200.24705736693932</v>
      </c>
      <c r="Q11" s="4">
        <f t="shared" si="7"/>
        <v>112.528841889147</v>
      </c>
      <c r="R11" s="4">
        <f t="shared" si="9"/>
        <v>0.50000000000000011</v>
      </c>
      <c r="S11" s="4">
        <f>S16*0.5</f>
        <v>52.333333333333336</v>
      </c>
      <c r="T11" s="4">
        <f t="shared" ref="T11:W11" si="14">T16*0.5</f>
        <v>41.866666666666667</v>
      </c>
      <c r="U11" s="4">
        <f t="shared" si="14"/>
        <v>31.400000000000002</v>
      </c>
      <c r="V11" s="4">
        <f t="shared" si="14"/>
        <v>20.933333333333334</v>
      </c>
      <c r="W11" s="4">
        <f t="shared" si="14"/>
        <v>10.466666666666667</v>
      </c>
      <c r="X11" s="4"/>
      <c r="Y11" s="4"/>
    </row>
    <row r="12" spans="1:32" ht="15.75" x14ac:dyDescent="0.25">
      <c r="A12" s="4"/>
      <c r="B12" s="4"/>
      <c r="C12" s="4">
        <v>0</v>
      </c>
      <c r="D12" s="4">
        <v>0</v>
      </c>
      <c r="E12" s="4">
        <f>2*3.14*50/3</f>
        <v>104.66666666666667</v>
      </c>
      <c r="F12" s="4">
        <v>0</v>
      </c>
      <c r="G12" s="4"/>
      <c r="K12" s="4"/>
      <c r="L12" s="4"/>
      <c r="M12" s="4">
        <f t="shared" si="3"/>
        <v>302.64271355519014</v>
      </c>
      <c r="N12" s="4">
        <f t="shared" si="4"/>
        <v>288.21336236975333</v>
      </c>
      <c r="O12" s="4">
        <f t="shared" si="5"/>
        <v>253.73604305648905</v>
      </c>
      <c r="P12" s="4">
        <f t="shared" si="6"/>
        <v>193.13890656773842</v>
      </c>
      <c r="Q12" s="4">
        <f t="shared" si="7"/>
        <v>105.54758105025762</v>
      </c>
      <c r="R12" s="4">
        <f t="shared" si="9"/>
        <v>0.40000000000000013</v>
      </c>
      <c r="S12" s="4">
        <f>S16*0.6</f>
        <v>62.8</v>
      </c>
      <c r="T12" s="4">
        <f t="shared" ref="T12:W12" si="15">T16*0.6</f>
        <v>50.24</v>
      </c>
      <c r="U12" s="4">
        <f t="shared" si="15"/>
        <v>37.68</v>
      </c>
      <c r="V12" s="4">
        <f t="shared" si="15"/>
        <v>25.12</v>
      </c>
      <c r="W12" s="4">
        <f t="shared" si="15"/>
        <v>12.56</v>
      </c>
      <c r="X12" s="4"/>
      <c r="Y12" s="4"/>
    </row>
    <row r="13" spans="1:32" ht="15.75" x14ac:dyDescent="0.25">
      <c r="K13" s="4"/>
      <c r="L13" s="4"/>
      <c r="M13" s="4">
        <f t="shared" si="3"/>
        <v>313.8087850039575</v>
      </c>
      <c r="N13" s="4">
        <f t="shared" si="4"/>
        <v>286.71006035520668</v>
      </c>
      <c r="O13" s="4">
        <f t="shared" si="5"/>
        <v>241.74240118472144</v>
      </c>
      <c r="P13" s="4">
        <f t="shared" si="6"/>
        <v>176.85260644343572</v>
      </c>
      <c r="Q13" s="4">
        <f t="shared" si="7"/>
        <v>93.912399082230962</v>
      </c>
      <c r="R13" s="4">
        <f t="shared" si="9"/>
        <v>0.30000000000000016</v>
      </c>
      <c r="S13" s="4">
        <f>S16*0.7</f>
        <v>73.266666666666666</v>
      </c>
      <c r="T13" s="4">
        <f t="shared" ref="T13:W13" si="16">T16*0.7</f>
        <v>58.61333333333333</v>
      </c>
      <c r="U13" s="4">
        <f t="shared" si="16"/>
        <v>43.96</v>
      </c>
      <c r="V13" s="4">
        <f t="shared" si="16"/>
        <v>29.306666666666665</v>
      </c>
      <c r="W13" s="4">
        <f t="shared" si="16"/>
        <v>14.653333333333332</v>
      </c>
      <c r="X13" s="4"/>
      <c r="Y13" s="4"/>
    </row>
    <row r="14" spans="1:32" ht="15.75" x14ac:dyDescent="0.25">
      <c r="K14" s="4"/>
      <c r="L14" s="4"/>
      <c r="M14" s="4">
        <f t="shared" si="3"/>
        <v>297.43336901722154</v>
      </c>
      <c r="N14" s="4">
        <f t="shared" si="4"/>
        <v>258.24402719370511</v>
      </c>
      <c r="O14" s="4">
        <f t="shared" si="5"/>
        <v>207.44625141563773</v>
      </c>
      <c r="P14" s="4">
        <f t="shared" si="6"/>
        <v>145.69249798435587</v>
      </c>
      <c r="Q14" s="4">
        <f t="shared" si="7"/>
        <v>75.260842325261422</v>
      </c>
      <c r="R14" s="4">
        <f t="shared" si="9"/>
        <v>0.20000000000000015</v>
      </c>
      <c r="S14" s="4">
        <f>S16*0.8</f>
        <v>83.733333333333348</v>
      </c>
      <c r="T14" s="4">
        <f t="shared" ref="T14:W14" si="17">T16*0.8</f>
        <v>66.986666666666665</v>
      </c>
      <c r="U14" s="4">
        <f t="shared" si="17"/>
        <v>50.240000000000009</v>
      </c>
      <c r="V14" s="4">
        <f t="shared" si="17"/>
        <v>33.493333333333332</v>
      </c>
      <c r="W14" s="4">
        <f t="shared" si="17"/>
        <v>16.746666666666666</v>
      </c>
      <c r="X14" s="4"/>
      <c r="Y14" s="4"/>
    </row>
    <row r="15" spans="1:32" ht="15.75" x14ac:dyDescent="0.25">
      <c r="K15" s="4"/>
      <c r="L15" s="4"/>
      <c r="M15" s="4">
        <f t="shared" si="3"/>
        <v>212.33203808531647</v>
      </c>
      <c r="N15" s="4">
        <f t="shared" si="4"/>
        <v>174.76870133948628</v>
      </c>
      <c r="O15" s="4">
        <f t="shared" si="5"/>
        <v>134.08678713396233</v>
      </c>
      <c r="P15" s="4">
        <f t="shared" si="6"/>
        <v>90.882025147228319</v>
      </c>
      <c r="Q15" s="4">
        <f t="shared" si="7"/>
        <v>45.900317841063881</v>
      </c>
      <c r="R15" s="4">
        <f t="shared" si="9"/>
        <v>0.10000000000000014</v>
      </c>
      <c r="S15" s="4">
        <f>S16*0.9</f>
        <v>94.2</v>
      </c>
      <c r="T15" s="4">
        <f t="shared" ref="T15:W15" si="18">T16*0.9</f>
        <v>75.36</v>
      </c>
      <c r="U15" s="4">
        <f t="shared" si="18"/>
        <v>56.52</v>
      </c>
      <c r="V15" s="4">
        <f t="shared" si="18"/>
        <v>37.68</v>
      </c>
      <c r="W15" s="4">
        <f t="shared" si="18"/>
        <v>18.84</v>
      </c>
      <c r="X15" s="4"/>
      <c r="Y15" s="4"/>
    </row>
    <row r="16" spans="1:32" ht="15.75" x14ac:dyDescent="0.25">
      <c r="K16" s="4"/>
      <c r="L16" s="4"/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f>2*3.14*50/3</f>
        <v>104.66666666666667</v>
      </c>
      <c r="T16" s="4">
        <f>2*3.14*40/3</f>
        <v>83.733333333333334</v>
      </c>
      <c r="U16" s="4">
        <f>2*3.14*30/3</f>
        <v>62.800000000000004</v>
      </c>
      <c r="V16" s="4">
        <f>2*3.14*20/3</f>
        <v>41.866666666666667</v>
      </c>
      <c r="W16" s="4">
        <f>2*3.14*10/3</f>
        <v>20.933333333333334</v>
      </c>
      <c r="X16" s="4"/>
      <c r="Y16" s="4"/>
    </row>
    <row r="21" spans="22:33" ht="15" customHeight="1" x14ac:dyDescent="0.25">
      <c r="V21" s="7"/>
      <c r="W21" s="7"/>
      <c r="X21" s="7"/>
      <c r="Y21" s="7"/>
      <c r="Z21" s="7"/>
    </row>
    <row r="22" spans="22:33" ht="18.75" x14ac:dyDescent="0.3">
      <c r="V22" s="6"/>
      <c r="W22" s="6"/>
      <c r="X22" s="6"/>
      <c r="Y22" s="6"/>
      <c r="Z22" s="6"/>
      <c r="AA22" s="2"/>
      <c r="AB22" s="2"/>
      <c r="AC22" s="2"/>
      <c r="AD22" s="2"/>
      <c r="AE22" s="1"/>
      <c r="AF22" s="2"/>
      <c r="AG22" s="2"/>
    </row>
    <row r="23" spans="22:33" ht="15.75" x14ac:dyDescent="0.25"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2:33" ht="15.75" x14ac:dyDescent="0.25"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2:33" ht="15.75" x14ac:dyDescent="0.25"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2:33" ht="15.75" x14ac:dyDescent="0.25"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2:33" ht="15.75" x14ac:dyDescent="0.25"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2:33" ht="15.75" x14ac:dyDescent="0.25">
      <c r="V28" s="4"/>
      <c r="W28" s="4"/>
      <c r="X28" s="4"/>
      <c r="Y28" s="4"/>
      <c r="Z28" s="4"/>
      <c r="AA28" s="4"/>
      <c r="AB28" s="4"/>
      <c r="AC28" s="4"/>
      <c r="AD28" s="4"/>
    </row>
    <row r="29" spans="22:33" ht="15.75" x14ac:dyDescent="0.25">
      <c r="V29" s="4"/>
      <c r="W29" s="4"/>
      <c r="X29" s="4"/>
      <c r="Y29" s="4"/>
      <c r="Z29" s="4"/>
      <c r="AA29" s="4"/>
      <c r="AB29" s="4"/>
      <c r="AC29" s="4"/>
      <c r="AD29" s="4"/>
    </row>
    <row r="30" spans="22:33" ht="15.75" x14ac:dyDescent="0.25">
      <c r="V30" s="4"/>
      <c r="W30" s="4"/>
      <c r="X30" s="4"/>
      <c r="Y30" s="4"/>
      <c r="Z30" s="4"/>
      <c r="AA30" s="4"/>
      <c r="AB30" s="4"/>
      <c r="AC30" s="4"/>
      <c r="AD30" s="4"/>
    </row>
    <row r="31" spans="22:33" ht="15.75" x14ac:dyDescent="0.25">
      <c r="V31" s="4"/>
      <c r="W31" s="4"/>
      <c r="X31" s="4"/>
      <c r="Y31" s="4"/>
      <c r="Z31" s="4"/>
      <c r="AA31" s="4"/>
      <c r="AB31" s="4"/>
      <c r="AC31" s="4"/>
      <c r="AD31" s="4"/>
    </row>
    <row r="32" spans="22:33" ht="15.75" x14ac:dyDescent="0.25"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x14ac:dyDescent="0.25">
      <c r="V33" s="4"/>
      <c r="W33" s="4"/>
      <c r="X33" s="4"/>
      <c r="Y33" s="4"/>
      <c r="Z33" s="4"/>
      <c r="AA33" s="4"/>
      <c r="AB33" s="4"/>
      <c r="AC33" s="4"/>
      <c r="AD33" s="4"/>
    </row>
    <row r="42" spans="1:30" ht="18.75" x14ac:dyDescent="0.3">
      <c r="A42" s="9" t="s">
        <v>26</v>
      </c>
      <c r="B42" s="9"/>
    </row>
    <row r="43" spans="1:30" ht="18.75" x14ac:dyDescent="0.3">
      <c r="A43" s="3" t="s">
        <v>12</v>
      </c>
      <c r="B43" s="3"/>
    </row>
    <row r="44" spans="1:30" x14ac:dyDescent="0.25">
      <c r="A44" s="10"/>
      <c r="B44" s="10"/>
    </row>
    <row r="45" spans="1:30" x14ac:dyDescent="0.25">
      <c r="A45" s="10"/>
      <c r="B45" s="10"/>
    </row>
    <row r="46" spans="1:30" x14ac:dyDescent="0.25">
      <c r="A46" s="10"/>
      <c r="B46" s="10"/>
    </row>
    <row r="47" spans="1:30" x14ac:dyDescent="0.25">
      <c r="A47" s="12" t="s">
        <v>14</v>
      </c>
      <c r="B47" s="12" t="s">
        <v>15</v>
      </c>
      <c r="C47" s="12" t="s">
        <v>16</v>
      </c>
      <c r="D47" s="12" t="s">
        <v>17</v>
      </c>
      <c r="E47" s="12" t="s">
        <v>18</v>
      </c>
      <c r="G47" s="12" t="s">
        <v>20</v>
      </c>
      <c r="H47" s="12" t="s">
        <v>24</v>
      </c>
      <c r="I47" s="12" t="s">
        <v>23</v>
      </c>
      <c r="J47" s="12" t="s">
        <v>22</v>
      </c>
      <c r="K47" s="12" t="s">
        <v>21</v>
      </c>
    </row>
    <row r="48" spans="1:30" ht="18.75" customHeight="1" x14ac:dyDescent="0.3">
      <c r="A48" s="11"/>
      <c r="B48" s="11"/>
      <c r="C48" s="11"/>
      <c r="D48" s="11"/>
      <c r="E48" s="11"/>
      <c r="F48" s="2" t="s">
        <v>3</v>
      </c>
      <c r="G48" s="12"/>
      <c r="H48" s="12"/>
      <c r="I48" s="12"/>
      <c r="J48" s="12"/>
      <c r="K48" s="12"/>
      <c r="L48" s="2"/>
      <c r="M48" s="2" t="s">
        <v>6</v>
      </c>
      <c r="N48" s="1" t="s">
        <v>13</v>
      </c>
      <c r="O48" s="2"/>
      <c r="P48" s="2"/>
      <c r="Q48" s="11" t="s">
        <v>25</v>
      </c>
      <c r="R48" s="11"/>
      <c r="S48" s="11"/>
      <c r="T48" s="2" t="s">
        <v>8</v>
      </c>
    </row>
    <row r="49" spans="1:20" ht="15.75" x14ac:dyDescent="0.25">
      <c r="A49" s="4">
        <f>(3*$Q$49^2*(0.11*4.41/$F49)*3/(2*3.14*SQRT($N$49)*((0.54+(0.11*4.41/$F49))^2+(0.575+0.225*4.41)^2*(SQRT($N$49)/$N$49)^2)))</f>
        <v>215114.64625844845</v>
      </c>
      <c r="B49" s="4">
        <f>(3*$Q$50^2*(0.11*4.41/$F49)*3/(2*3.14*SQRT($N$50)*((0.54+(0.11*4.41/$F49))^2+(0.575+0.225*4.41)^2*(SQRT($N$50)/$N$49)^2)))</f>
        <v>155310.78766688291</v>
      </c>
      <c r="C49" s="4">
        <f>(3*$Q$51^2*(0.11*4.41/$F49)*3/(2*3.14*SQRT($N$51)*((0.54+(0.11*4.41/$F49))^2+(0.575+0.225*4.41)^2*(SQRT($N$51)/$N$49)^2)))</f>
        <v>101794.76815501165</v>
      </c>
      <c r="D49" s="4">
        <f>(3*$Q$52^2*(0.11*4.41/$F49)*3/(2*3.14*SQRT($N$52)*((0.54+(0.11*4.41/$F49))^2+(0.575+0.225*4.41)^2*(SQRT($N$52)/$N$49)^2)))</f>
        <v>55918.618453123941</v>
      </c>
      <c r="E49" s="4">
        <f>(3*$G$2^2*(0.11*4.41/$F49)*3/(2*3.14*SQRT($N$53)*((0.54+(0.11*4.41/$F49))^2+(0.575+0.225*4.41)^2*(SQRT($N$53)/$N$49)^2)))</f>
        <v>9976.6765923540188</v>
      </c>
      <c r="F49" s="4">
        <v>1</v>
      </c>
      <c r="G49" s="4">
        <f>0</f>
        <v>0</v>
      </c>
      <c r="H49" s="4">
        <f>0</f>
        <v>0</v>
      </c>
      <c r="I49" s="4">
        <f>0</f>
        <v>0</v>
      </c>
      <c r="J49" s="4">
        <f>0</f>
        <v>0</v>
      </c>
      <c r="K49" s="4">
        <f>0</f>
        <v>0</v>
      </c>
      <c r="L49" s="4"/>
      <c r="M49" s="4">
        <f>380/SQRT(3)</f>
        <v>219.39310229205779</v>
      </c>
      <c r="N49" s="4">
        <v>50</v>
      </c>
      <c r="O49" s="4"/>
      <c r="P49" s="4"/>
      <c r="Q49" s="10">
        <f>$N49*$T$49</f>
        <v>1551.3435037626793</v>
      </c>
      <c r="R49" s="10"/>
      <c r="S49" s="10"/>
      <c r="T49">
        <f>G2/SQRT(N49)</f>
        <v>31.026870075253587</v>
      </c>
    </row>
    <row r="50" spans="1:20" ht="15.75" x14ac:dyDescent="0.25">
      <c r="A50" s="4">
        <f t="shared" ref="A50:A58" si="19">(3*$Q$49^2*(0.11*4.41/$F50)*3/(2*3.14*SQRT($N$49)*((0.54+(0.11*4.41/$F50))^2+(0.575+0.225*4.41)^2*(SQRT($N$49)/$N$49)^2)))</f>
        <v>216675.88981518868</v>
      </c>
      <c r="B50" s="4">
        <f t="shared" ref="B50:B58" si="20">(3*$Q$50^2*(0.11*4.41/$F50)*3/(2*3.14*SQRT($N$50)*((0.54+(0.11*4.41/$F50))^2+(0.575+0.225*4.41)^2*(SQRT($N$50)/$N$49)^2)))</f>
        <v>156306.31776997918</v>
      </c>
      <c r="C50" s="4">
        <f t="shared" ref="C50:C58" si="21">(3*$Q$51^2*(0.11*4.41/$F50)*3/(2*3.14*SQRT($N$51)*((0.54+(0.11*4.41/$F50))^2+(0.575+0.225*4.41)^2*(SQRT($N$51)/$N$49)^2)))</f>
        <v>102359.54191981607</v>
      </c>
      <c r="D50" s="4">
        <f t="shared" ref="D50:D58" si="22">(3*$Q$52^2*(0.11*4.41/$F50)*3/(2*3.14*SQRT($N$52)*((0.54+(0.11*4.41/$F50))^2+(0.575+0.225*4.41)^2*(SQRT($N$52)/$N$49)^2)))</f>
        <v>56179.875613338794</v>
      </c>
      <c r="E50" s="4">
        <f t="shared" ref="E50:E58" si="23">(3*$G$2^2*(0.11*4.41/$F50)*3/(2*3.14*SQRT($N$53)*((0.54+(0.11*4.41/$F50))^2+(0.575+0.225*4.41)^2*(SQRT($N$53)/$N$49)^2)))</f>
        <v>10014.402084347399</v>
      </c>
      <c r="F50" s="4">
        <f>F49-0.1</f>
        <v>0.9</v>
      </c>
      <c r="G50" s="4">
        <f>G59*0.1</f>
        <v>1.4802101952838398</v>
      </c>
      <c r="H50" s="4">
        <f t="shared" ref="H50:K50" si="24">H59*0.1</f>
        <v>1.3239402470571617</v>
      </c>
      <c r="I50" s="4">
        <f t="shared" si="24"/>
        <v>1.146565887044148</v>
      </c>
      <c r="J50" s="4">
        <f t="shared" si="24"/>
        <v>0.93616712657991208</v>
      </c>
      <c r="K50" s="4">
        <f t="shared" si="24"/>
        <v>0.66197012352858087</v>
      </c>
      <c r="L50" s="4"/>
      <c r="M50" s="4"/>
      <c r="N50" s="4">
        <v>40</v>
      </c>
      <c r="Q50" s="10">
        <f t="shared" ref="Q50:Q53" si="25">$N50*$T$49</f>
        <v>1241.0748030101436</v>
      </c>
      <c r="R50" s="10"/>
      <c r="S50" s="10"/>
    </row>
    <row r="51" spans="1:20" ht="15.75" x14ac:dyDescent="0.25">
      <c r="A51" s="4">
        <f t="shared" si="19"/>
        <v>216951.82685342699</v>
      </c>
      <c r="B51" s="4">
        <f t="shared" si="20"/>
        <v>156364.98760998243</v>
      </c>
      <c r="C51" s="4">
        <f t="shared" si="21"/>
        <v>102304.68406973162</v>
      </c>
      <c r="D51" s="4">
        <f t="shared" si="22"/>
        <v>56097.816883344</v>
      </c>
      <c r="E51" s="4">
        <f t="shared" si="23"/>
        <v>9990.376765343457</v>
      </c>
      <c r="F51" s="4">
        <f t="shared" ref="F51:F58" si="26">F50-0.1</f>
        <v>0.8</v>
      </c>
      <c r="G51" s="4">
        <f>G59*0.2</f>
        <v>2.9604203905676796</v>
      </c>
      <c r="H51" s="4">
        <f t="shared" ref="H51:K51" si="27">H59*0.2</f>
        <v>2.6478804941143235</v>
      </c>
      <c r="I51" s="4">
        <f t="shared" si="27"/>
        <v>2.2931317740882959</v>
      </c>
      <c r="J51" s="4">
        <f t="shared" si="27"/>
        <v>1.8723342531598242</v>
      </c>
      <c r="K51" s="4">
        <f t="shared" si="27"/>
        <v>1.3239402470571617</v>
      </c>
      <c r="L51" s="4"/>
      <c r="M51" s="4"/>
      <c r="N51" s="4">
        <v>30</v>
      </c>
      <c r="Q51" s="10">
        <f t="shared" si="25"/>
        <v>930.80610225760756</v>
      </c>
      <c r="R51" s="10"/>
      <c r="S51" s="10"/>
    </row>
    <row r="52" spans="1:20" ht="15.75" x14ac:dyDescent="0.25">
      <c r="A52" s="4">
        <f t="shared" si="19"/>
        <v>215381.99418295611</v>
      </c>
      <c r="B52" s="4">
        <f t="shared" si="20"/>
        <v>155085.70104911763</v>
      </c>
      <c r="C52" s="4">
        <f t="shared" si="21"/>
        <v>101369.72595134641</v>
      </c>
      <c r="D52" s="4">
        <f t="shared" si="22"/>
        <v>55530.739777807488</v>
      </c>
      <c r="E52" s="4">
        <f t="shared" si="23"/>
        <v>9879.5741335827497</v>
      </c>
      <c r="F52" s="4">
        <f t="shared" si="26"/>
        <v>0.70000000000000007</v>
      </c>
      <c r="G52" s="4">
        <f>G59*0.3</f>
        <v>4.4406305858515189</v>
      </c>
      <c r="H52" s="4">
        <f t="shared" ref="H52:J52" si="28">H59*0.3</f>
        <v>3.9718207411714852</v>
      </c>
      <c r="I52" s="4">
        <f t="shared" si="28"/>
        <v>3.4396976611324432</v>
      </c>
      <c r="J52" s="4">
        <f t="shared" si="28"/>
        <v>2.8085013797397362</v>
      </c>
      <c r="K52" s="4">
        <f>K59*0.3</f>
        <v>1.9859103705857426</v>
      </c>
      <c r="L52" s="4"/>
      <c r="M52" s="4"/>
      <c r="N52" s="4">
        <v>20</v>
      </c>
      <c r="Q52" s="10">
        <f t="shared" si="25"/>
        <v>620.53740150507178</v>
      </c>
      <c r="R52" s="10"/>
      <c r="S52" s="10"/>
    </row>
    <row r="53" spans="1:20" ht="15.75" x14ac:dyDescent="0.25">
      <c r="A53" s="4">
        <f t="shared" si="19"/>
        <v>211161.70051761973</v>
      </c>
      <c r="B53" s="4">
        <f t="shared" si="20"/>
        <v>151894.10902282342</v>
      </c>
      <c r="C53" s="4">
        <f t="shared" si="21"/>
        <v>99182.664864428603</v>
      </c>
      <c r="D53" s="4">
        <f t="shared" si="22"/>
        <v>54276.784163323173</v>
      </c>
      <c r="E53" s="4">
        <f t="shared" si="23"/>
        <v>9646.4329911949753</v>
      </c>
      <c r="F53" s="4">
        <f t="shared" si="26"/>
        <v>0.60000000000000009</v>
      </c>
      <c r="G53" s="4">
        <f>G59*0.4</f>
        <v>5.9208407811353592</v>
      </c>
      <c r="H53" s="4">
        <f t="shared" ref="H53:K53" si="29">H59*0.4</f>
        <v>5.2957609882286469</v>
      </c>
      <c r="I53" s="4">
        <f t="shared" si="29"/>
        <v>4.5862635481765919</v>
      </c>
      <c r="J53" s="4">
        <f t="shared" si="29"/>
        <v>3.7446685063196483</v>
      </c>
      <c r="K53" s="4">
        <f t="shared" si="29"/>
        <v>2.6478804941143235</v>
      </c>
      <c r="L53" s="4"/>
      <c r="M53" s="4"/>
      <c r="N53" s="4">
        <v>10</v>
      </c>
      <c r="Q53" s="10">
        <f t="shared" si="25"/>
        <v>310.26870075253589</v>
      </c>
      <c r="R53" s="10"/>
      <c r="S53" s="10"/>
    </row>
    <row r="54" spans="1:20" ht="15.75" x14ac:dyDescent="0.25">
      <c r="A54" s="4">
        <f t="shared" si="19"/>
        <v>203119.18175599439</v>
      </c>
      <c r="B54" s="4">
        <f t="shared" si="20"/>
        <v>145955.76327926226</v>
      </c>
      <c r="C54" s="4">
        <f t="shared" si="21"/>
        <v>95204.233782943425</v>
      </c>
      <c r="D54" s="4">
        <f t="shared" si="22"/>
        <v>52043.961578392016</v>
      </c>
      <c r="E54" s="4">
        <f t="shared" si="23"/>
        <v>9239.6230822614598</v>
      </c>
      <c r="F54" s="4">
        <f t="shared" si="26"/>
        <v>0.50000000000000011</v>
      </c>
      <c r="G54" s="4">
        <f>G59*0.5</f>
        <v>7.4010509764191985</v>
      </c>
      <c r="H54" s="4">
        <f t="shared" ref="H54:K54" si="30">H59*0.5</f>
        <v>6.6197012352858087</v>
      </c>
      <c r="I54" s="4">
        <f t="shared" si="30"/>
        <v>5.7328294352207392</v>
      </c>
      <c r="J54" s="4">
        <f t="shared" si="30"/>
        <v>4.6808356328995604</v>
      </c>
      <c r="K54" s="4">
        <f t="shared" si="30"/>
        <v>3.3098506176429043</v>
      </c>
      <c r="L54" s="4"/>
      <c r="M54" s="4"/>
    </row>
    <row r="55" spans="1:20" ht="15.75" x14ac:dyDescent="0.25">
      <c r="A55" s="4">
        <f t="shared" si="19"/>
        <v>189520.16214654589</v>
      </c>
      <c r="B55" s="4">
        <f t="shared" si="20"/>
        <v>136037.80857755759</v>
      </c>
      <c r="C55" s="4">
        <f t="shared" si="21"/>
        <v>88639.047473766448</v>
      </c>
      <c r="D55" s="4">
        <f t="shared" si="22"/>
        <v>48402.312120509945</v>
      </c>
      <c r="E55" s="4">
        <f t="shared" si="23"/>
        <v>8583.6780575027024</v>
      </c>
      <c r="F55" s="4">
        <f t="shared" si="26"/>
        <v>0.40000000000000013</v>
      </c>
      <c r="G55" s="4">
        <f>G59*0.6</f>
        <v>8.8812611717030379</v>
      </c>
      <c r="H55" s="4">
        <f t="shared" ref="H55:K55" si="31">H59*0.6</f>
        <v>7.9436414823429704</v>
      </c>
      <c r="I55" s="4">
        <f t="shared" si="31"/>
        <v>6.8793953222648865</v>
      </c>
      <c r="J55" s="4">
        <f t="shared" si="31"/>
        <v>5.6170027594794725</v>
      </c>
      <c r="K55" s="4">
        <f t="shared" si="31"/>
        <v>3.9718207411714852</v>
      </c>
      <c r="L55" s="4"/>
      <c r="M55" s="4"/>
    </row>
    <row r="56" spans="1:20" ht="15.75" x14ac:dyDescent="0.25">
      <c r="A56" s="4">
        <f t="shared" si="19"/>
        <v>167749.80907044307</v>
      </c>
      <c r="B56" s="4">
        <f t="shared" si="20"/>
        <v>120283.34319981972</v>
      </c>
      <c r="C56" s="4">
        <f t="shared" si="21"/>
        <v>78290.265437548049</v>
      </c>
      <c r="D56" s="4">
        <f t="shared" si="22"/>
        <v>42705.43688927553</v>
      </c>
      <c r="E56" s="4">
        <f t="shared" si="23"/>
        <v>7565.2344702235787</v>
      </c>
      <c r="F56" s="4">
        <f t="shared" si="26"/>
        <v>0.30000000000000016</v>
      </c>
      <c r="G56" s="4">
        <f>G59*0.7</f>
        <v>10.361471366986878</v>
      </c>
      <c r="H56" s="4">
        <f t="shared" ref="H56:K56" si="32">H59*0.7</f>
        <v>9.2675817294001313</v>
      </c>
      <c r="I56" s="4">
        <f t="shared" si="32"/>
        <v>8.0259612093090347</v>
      </c>
      <c r="J56" s="4">
        <f t="shared" si="32"/>
        <v>6.5531698860593846</v>
      </c>
      <c r="K56" s="4">
        <f t="shared" si="32"/>
        <v>4.6337908647000656</v>
      </c>
      <c r="L56" s="4"/>
      <c r="M56" s="4"/>
    </row>
    <row r="57" spans="1:20" ht="15.75" x14ac:dyDescent="0.25">
      <c r="A57" s="4">
        <f t="shared" si="19"/>
        <v>133782.69980421307</v>
      </c>
      <c r="B57" s="4">
        <f t="shared" si="20"/>
        <v>95833.580424462969</v>
      </c>
      <c r="C57" s="4">
        <f t="shared" si="21"/>
        <v>62315.046582383278</v>
      </c>
      <c r="D57" s="4">
        <f t="shared" si="22"/>
        <v>33957.826787432088</v>
      </c>
      <c r="E57" s="4">
        <f t="shared" si="23"/>
        <v>6009.6515636719714</v>
      </c>
      <c r="F57" s="4">
        <f t="shared" si="26"/>
        <v>0.20000000000000015</v>
      </c>
      <c r="G57" s="4">
        <f>G59*0.8</f>
        <v>11.841681562270718</v>
      </c>
      <c r="H57" s="4">
        <f t="shared" ref="H57:K57" si="33">H59*0.8</f>
        <v>10.591521976457294</v>
      </c>
      <c r="I57" s="4">
        <f t="shared" si="33"/>
        <v>9.1725270963531838</v>
      </c>
      <c r="J57" s="4">
        <f t="shared" si="33"/>
        <v>7.4893370126392966</v>
      </c>
      <c r="K57" s="4">
        <f t="shared" si="33"/>
        <v>5.2957609882286469</v>
      </c>
      <c r="L57" s="4"/>
      <c r="M57" s="4"/>
    </row>
    <row r="58" spans="1:20" ht="15.75" x14ac:dyDescent="0.25">
      <c r="A58" s="4">
        <f t="shared" si="19"/>
        <v>81277.987603868125</v>
      </c>
      <c r="B58" s="4">
        <f t="shared" si="20"/>
        <v>58177.428172615786</v>
      </c>
      <c r="C58" s="4">
        <f t="shared" si="21"/>
        <v>37800.109612003653</v>
      </c>
      <c r="D58" s="4">
        <f t="shared" si="22"/>
        <v>20582.724716318135</v>
      </c>
      <c r="E58" s="4">
        <f t="shared" si="23"/>
        <v>3639.7756983392323</v>
      </c>
      <c r="F58" s="4">
        <f t="shared" si="26"/>
        <v>0.10000000000000014</v>
      </c>
      <c r="G58" s="4">
        <f>G59*0.9</f>
        <v>13.321891757554557</v>
      </c>
      <c r="H58" s="4">
        <f t="shared" ref="H58" si="34">H59*0.9</f>
        <v>11.915462223514456</v>
      </c>
      <c r="I58" s="4">
        <f t="shared" ref="I58" si="35">I59*0.9</f>
        <v>10.319092983397331</v>
      </c>
      <c r="J58" s="4">
        <f t="shared" ref="J58" si="36">J59*0.9</f>
        <v>8.4255041392192087</v>
      </c>
      <c r="K58" s="4">
        <f t="shared" ref="K58" si="37">K59*0.9</f>
        <v>5.9577311117572282</v>
      </c>
      <c r="L58" s="4"/>
      <c r="M58" s="4"/>
    </row>
    <row r="59" spans="1:20" ht="15.75" x14ac:dyDescent="0.25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f>2*3.14*SQRT($N$49)/3</f>
        <v>14.802101952838397</v>
      </c>
      <c r="H59" s="4">
        <f>2*3.14*SQRT($N$50)/3</f>
        <v>13.239402470571617</v>
      </c>
      <c r="I59" s="4">
        <f>2*3.14*SQRT($N$51)/3</f>
        <v>11.465658870441478</v>
      </c>
      <c r="J59" s="4">
        <f>2*3.14*SQRT($N$52)/3</f>
        <v>9.3616712657991208</v>
      </c>
      <c r="K59" s="4">
        <f>2*3.14*SQRT($N$53)/3</f>
        <v>6.6197012352858087</v>
      </c>
      <c r="L59" s="4"/>
      <c r="M59" s="4"/>
    </row>
    <row r="83" spans="1:20" ht="18.75" x14ac:dyDescent="0.3">
      <c r="A83" s="9" t="s">
        <v>19</v>
      </c>
      <c r="B83" s="9"/>
      <c r="E83" s="8"/>
      <c r="F83" s="8"/>
      <c r="G83" s="8"/>
    </row>
    <row r="84" spans="1:20" ht="18.75" x14ac:dyDescent="0.3">
      <c r="A84" s="3" t="s">
        <v>12</v>
      </c>
      <c r="B84" s="3"/>
      <c r="E84" s="8"/>
      <c r="F84" s="8"/>
      <c r="G84" s="8"/>
    </row>
    <row r="85" spans="1:20" x14ac:dyDescent="0.25">
      <c r="A85" s="10"/>
      <c r="B85" s="10"/>
      <c r="C85" s="8"/>
      <c r="E85" s="8"/>
      <c r="F85" s="8"/>
      <c r="G85" s="8"/>
    </row>
    <row r="86" spans="1:20" x14ac:dyDescent="0.25">
      <c r="A86" s="10"/>
      <c r="B86" s="10"/>
      <c r="C86" s="8"/>
      <c r="E86" s="8"/>
      <c r="F86" s="8"/>
      <c r="G86" s="8"/>
    </row>
    <row r="87" spans="1:20" x14ac:dyDescent="0.25">
      <c r="A87" s="10"/>
      <c r="B87" s="10"/>
      <c r="C87" s="8"/>
    </row>
    <row r="88" spans="1:20" x14ac:dyDescent="0.25">
      <c r="A88" s="12" t="s">
        <v>14</v>
      </c>
      <c r="B88" s="12" t="s">
        <v>15</v>
      </c>
      <c r="C88" s="12" t="s">
        <v>16</v>
      </c>
      <c r="D88" s="12" t="s">
        <v>17</v>
      </c>
      <c r="E88" s="12" t="s">
        <v>18</v>
      </c>
      <c r="G88" s="12" t="s">
        <v>20</v>
      </c>
      <c r="H88" s="12" t="s">
        <v>24</v>
      </c>
      <c r="I88" s="12" t="s">
        <v>23</v>
      </c>
      <c r="J88" s="12" t="s">
        <v>22</v>
      </c>
      <c r="K88" s="12" t="s">
        <v>21</v>
      </c>
    </row>
    <row r="89" spans="1:20" ht="18.75" x14ac:dyDescent="0.3">
      <c r="A89" s="11"/>
      <c r="B89" s="11"/>
      <c r="C89" s="11"/>
      <c r="D89" s="11"/>
      <c r="E89" s="11"/>
      <c r="F89" s="2" t="s">
        <v>3</v>
      </c>
      <c r="G89" s="12"/>
      <c r="H89" s="12"/>
      <c r="I89" s="12"/>
      <c r="J89" s="12"/>
      <c r="K89" s="12"/>
      <c r="L89" s="2"/>
      <c r="M89" s="2" t="s">
        <v>6</v>
      </c>
      <c r="N89" s="1" t="s">
        <v>13</v>
      </c>
      <c r="O89" s="2"/>
      <c r="P89" s="2"/>
      <c r="Q89" s="11" t="s">
        <v>25</v>
      </c>
      <c r="R89" s="11"/>
      <c r="S89" s="11"/>
      <c r="T89" s="2" t="s">
        <v>8</v>
      </c>
    </row>
    <row r="90" spans="1:20" ht="15.75" x14ac:dyDescent="0.25">
      <c r="A90" s="4">
        <f>(3*$Q$90^2*(0.11*4.41/$F90)*3/(2*3.14*($N$90^2)*((0.54+(0.11*4.41/$F90))^2+(0.575+0.225*4.41)^2*($N$90^2)/$N$90)^2))</f>
        <v>3.4896883796903496E-7</v>
      </c>
      <c r="B90" s="4">
        <f>(3*$Q$91^2*(0.11*4.41/$F90)*3/(2*3.14*($N$91^2)*((0.54+(0.11*4.41/$F90))^2+(0.575+0.225*4.41)^2*(($N$91^2)/$N$90)^2)))</f>
        <v>2.1277575622251263E-6</v>
      </c>
      <c r="C90" s="4">
        <f>(3*$Q$92^2*(0.11*4.41/$F90)*3/(2*3.14*($N$92^2)*((0.54+(0.11*4.41/$F90))^2+(0.575+0.225*4.41)^2*(($N$92^2)/$N$90)^2)))</f>
        <v>6.7187026820179486E-6</v>
      </c>
      <c r="D90" s="4">
        <f>(3*$Q$93^2*(0.11*4.41/$F90)*3/(2*3.14*($N$93^2)*((0.54+(0.11*4.41/$F90))^2+(0.575+0.225*4.41)^2*(($N$93^2)/$N$90)^2)))</f>
        <v>3.3832189301630033E-5</v>
      </c>
      <c r="E90" s="4">
        <f>(3*$Q$94^2*(0.11*4.41/$F90)*3/(2*3.14*($N$94^2)*((0.54+(0.11*4.41/$F90))^2+(0.575+0.225*4.41)^2*(($N$94^2)/$N$90)^2)))</f>
        <v>4.9228210245444979E-4</v>
      </c>
      <c r="F90" s="4">
        <v>1</v>
      </c>
      <c r="G90" s="4">
        <f>0</f>
        <v>0</v>
      </c>
      <c r="H90" s="4">
        <f>0</f>
        <v>0</v>
      </c>
      <c r="I90" s="4">
        <f>0</f>
        <v>0</v>
      </c>
      <c r="J90" s="4">
        <f>0</f>
        <v>0</v>
      </c>
      <c r="K90" s="4">
        <f>0</f>
        <v>0</v>
      </c>
      <c r="L90" s="4"/>
      <c r="M90" s="4">
        <f>380/SQRT(3)</f>
        <v>219.39310229205779</v>
      </c>
      <c r="N90" s="4">
        <v>50</v>
      </c>
      <c r="O90" s="4"/>
      <c r="P90" s="4"/>
      <c r="Q90" s="10">
        <f>$N90*$T$90</f>
        <v>4.3878620458411559</v>
      </c>
      <c r="R90" s="10"/>
      <c r="S90" s="10"/>
      <c r="T90">
        <f>G2/(N90^2)</f>
        <v>8.7757240916823118E-2</v>
      </c>
    </row>
    <row r="91" spans="1:20" ht="15.75" x14ac:dyDescent="0.25">
      <c r="A91" s="4">
        <f t="shared" ref="A91:A99" si="38">(3*$Q$90^2*(0.11*4.41/$F91)*3/(2*3.14*($N$90^2)*((0.54+(0.11*4.41/$F91))^2+(0.575+0.225*4.41)^2*($N$90^2)/$N$90)^2))</f>
        <v>3.8703408768852608E-7</v>
      </c>
      <c r="B91" s="4">
        <f>(3*$Q$91^2*(0.11*4.41/$F91)*3/(2*3.14*($N$91^2)*((0.54+(0.11*4.41/$F91))^2+(0.575+0.225*4.41)^2*(($N$91^2)/$N$90)^2)))</f>
        <v>2.3640685181997802E-6</v>
      </c>
      <c r="C91" s="4">
        <f t="shared" ref="C91:C99" si="39">(3*$Q$92^2*(0.11*4.41/$F91)*3/(2*3.14*($N$92^2)*((0.54+(0.11*4.41/$F91))^2+(0.575+0.225*4.41)^2*(($N$92^2)/$N$90)^2)))</f>
        <v>7.4641629158628435E-6</v>
      </c>
      <c r="D91" s="4">
        <f t="shared" ref="D91:D99" si="40">(3*$Q$93^2*(0.11*4.41/$F91)*3/(2*3.14*($N$93^2)*((0.54+(0.11*4.41/$F91))^2+(0.575+0.225*4.41)^2*(($N$93^2)/$N$90)^2)))</f>
        <v>3.7564401037452204E-5</v>
      </c>
      <c r="E91" s="4">
        <f t="shared" ref="E91:E99" si="41">(3*$Q$94^2*(0.11*4.41/$F91)*3/(2*3.14*($N$94^2)*((0.54+(0.11*4.41/$F91))^2+(0.575+0.225*4.41)^2*(($N$94^2)/$N$90)^2)))</f>
        <v>5.4133522473542959E-4</v>
      </c>
      <c r="F91" s="4">
        <f>F90-0.1</f>
        <v>0.9</v>
      </c>
      <c r="G91" s="4">
        <f>G100*0.1</f>
        <v>523.33333333333337</v>
      </c>
      <c r="H91" s="4">
        <f t="shared" ref="H91:K91" si="42">H100*0.1</f>
        <v>334.93333333333339</v>
      </c>
      <c r="I91" s="4">
        <f t="shared" si="42"/>
        <v>188.4</v>
      </c>
      <c r="J91" s="4">
        <f t="shared" si="42"/>
        <v>83.733333333333348</v>
      </c>
      <c r="K91" s="4">
        <f t="shared" si="42"/>
        <v>20.933333333333337</v>
      </c>
      <c r="L91" s="4"/>
      <c r="M91" s="4"/>
      <c r="N91" s="4">
        <v>40</v>
      </c>
      <c r="Q91" s="10">
        <f t="shared" ref="Q91:Q94" si="43">$N91*$T$90</f>
        <v>3.5102896366729248</v>
      </c>
      <c r="R91" s="10"/>
      <c r="S91" s="10"/>
    </row>
    <row r="92" spans="1:20" ht="15.75" x14ac:dyDescent="0.25">
      <c r="A92" s="4">
        <f t="shared" si="38"/>
        <v>4.3436210768983602E-7</v>
      </c>
      <c r="B92" s="4">
        <f t="shared" ref="B91:B99" si="44">(3*$Q$91^2*(0.11*4.41/$F92)*3/(2*3.14*($N$91^2)*((0.54+(0.11*4.41/$F92))^2+(0.575+0.225*4.41)^2*(($N$91^2)/$N$90)^2)))</f>
        <v>2.6594186260596192E-6</v>
      </c>
      <c r="C92" s="4">
        <f t="shared" si="39"/>
        <v>8.3956038609043717E-6</v>
      </c>
      <c r="D92" s="4">
        <f t="shared" si="40"/>
        <v>4.2219978888026854E-5</v>
      </c>
      <c r="E92" s="4">
        <f t="shared" si="41"/>
        <v>6.0080495253122819E-4</v>
      </c>
      <c r="F92" s="4">
        <f t="shared" ref="F92:F99" si="45">F91-0.1</f>
        <v>0.8</v>
      </c>
      <c r="G92" s="4">
        <f>G100*0.2</f>
        <v>1046.6666666666667</v>
      </c>
      <c r="H92" s="4">
        <f t="shared" ref="H92:K92" si="46">H100*0.2</f>
        <v>669.86666666666679</v>
      </c>
      <c r="I92" s="4">
        <f t="shared" si="46"/>
        <v>376.8</v>
      </c>
      <c r="J92" s="4">
        <f t="shared" si="46"/>
        <v>167.4666666666667</v>
      </c>
      <c r="K92" s="4">
        <f t="shared" si="46"/>
        <v>41.866666666666674</v>
      </c>
      <c r="L92" s="4"/>
      <c r="M92" s="4"/>
      <c r="N92" s="4">
        <v>30</v>
      </c>
      <c r="Q92" s="10">
        <f t="shared" si="43"/>
        <v>2.6327172275046937</v>
      </c>
      <c r="R92" s="10"/>
      <c r="S92" s="10"/>
    </row>
    <row r="93" spans="1:20" ht="15.75" x14ac:dyDescent="0.25">
      <c r="A93" s="4">
        <f t="shared" si="38"/>
        <v>4.9476935099478281E-7</v>
      </c>
      <c r="B93" s="4">
        <f t="shared" si="44"/>
        <v>3.0390866606261714E-6</v>
      </c>
      <c r="C93" s="4">
        <f t="shared" si="39"/>
        <v>9.5924955673057592E-6</v>
      </c>
      <c r="D93" s="4">
        <f t="shared" si="40"/>
        <v>4.8188745985310979E-5</v>
      </c>
      <c r="E93" s="4">
        <f t="shared" si="41"/>
        <v>6.7416003514253172E-4</v>
      </c>
      <c r="F93" s="4">
        <f t="shared" si="45"/>
        <v>0.70000000000000007</v>
      </c>
      <c r="G93" s="4">
        <f>G100*0.3</f>
        <v>1569.9999999999998</v>
      </c>
      <c r="H93" s="4">
        <f t="shared" ref="H93:J93" si="47">H100*0.3</f>
        <v>1004.8</v>
      </c>
      <c r="I93" s="4">
        <f t="shared" si="47"/>
        <v>565.19999999999993</v>
      </c>
      <c r="J93" s="4">
        <f t="shared" si="47"/>
        <v>251.2</v>
      </c>
      <c r="K93" s="4">
        <f>K100*0.3</f>
        <v>62.8</v>
      </c>
      <c r="L93" s="4"/>
      <c r="M93" s="4"/>
      <c r="N93" s="4">
        <v>20</v>
      </c>
      <c r="Q93" s="10">
        <f t="shared" si="43"/>
        <v>1.7551448183364624</v>
      </c>
      <c r="R93" s="10"/>
      <c r="S93" s="10"/>
    </row>
    <row r="94" spans="1:20" ht="15.75" x14ac:dyDescent="0.25">
      <c r="A94" s="4">
        <f t="shared" si="38"/>
        <v>5.744723392905666E-7</v>
      </c>
      <c r="B94" s="4">
        <f t="shared" si="44"/>
        <v>3.5451810998943818E-6</v>
      </c>
      <c r="C94" s="4">
        <f t="shared" si="39"/>
        <v>1.1187061521634593E-5</v>
      </c>
      <c r="D94" s="4">
        <f t="shared" si="40"/>
        <v>5.6114790433755184E-5</v>
      </c>
      <c r="E94" s="4">
        <f t="shared" si="41"/>
        <v>7.6637914559647474E-4</v>
      </c>
      <c r="F94" s="4">
        <f t="shared" si="45"/>
        <v>0.60000000000000009</v>
      </c>
      <c r="G94" s="4">
        <f>G100*0.4</f>
        <v>2093.3333333333335</v>
      </c>
      <c r="H94" s="4">
        <f t="shared" ref="H94:K94" si="48">H100*0.4</f>
        <v>1339.7333333333336</v>
      </c>
      <c r="I94" s="4">
        <f t="shared" si="48"/>
        <v>753.6</v>
      </c>
      <c r="J94" s="4">
        <f t="shared" si="48"/>
        <v>334.93333333333339</v>
      </c>
      <c r="K94" s="4">
        <f t="shared" si="48"/>
        <v>83.733333333333348</v>
      </c>
      <c r="L94" s="4"/>
      <c r="M94" s="4"/>
      <c r="N94" s="4">
        <v>10</v>
      </c>
      <c r="Q94" s="10">
        <f t="shared" si="43"/>
        <v>0.8775724091682312</v>
      </c>
      <c r="R94" s="10"/>
      <c r="S94" s="10"/>
    </row>
    <row r="95" spans="1:20" ht="15.75" x14ac:dyDescent="0.25">
      <c r="A95" s="4">
        <f t="shared" si="38"/>
        <v>6.8428148836829547E-7</v>
      </c>
      <c r="B95" s="4">
        <f t="shared" si="44"/>
        <v>4.2534361812053137E-6</v>
      </c>
      <c r="C95" s="4">
        <f t="shared" si="39"/>
        <v>1.341669862753127E-5</v>
      </c>
      <c r="D95" s="4">
        <f t="shared" si="40"/>
        <v>6.7142573103252845E-5</v>
      </c>
      <c r="E95" s="4">
        <f t="shared" si="41"/>
        <v>8.8453855458991873E-4</v>
      </c>
      <c r="F95" s="4">
        <f t="shared" si="45"/>
        <v>0.50000000000000011</v>
      </c>
      <c r="G95" s="4">
        <f>G100*0.5</f>
        <v>2616.6666666666665</v>
      </c>
      <c r="H95" s="4">
        <f t="shared" ref="H95:K95" si="49">H100*0.5</f>
        <v>1674.6666666666667</v>
      </c>
      <c r="I95" s="4">
        <f t="shared" si="49"/>
        <v>942</v>
      </c>
      <c r="J95" s="4">
        <f t="shared" si="49"/>
        <v>418.66666666666669</v>
      </c>
      <c r="K95" s="4">
        <f t="shared" si="49"/>
        <v>104.66666666666667</v>
      </c>
      <c r="L95" s="4"/>
      <c r="M95" s="4"/>
    </row>
    <row r="96" spans="1:20" ht="15.75" x14ac:dyDescent="0.25">
      <c r="A96" s="4">
        <f t="shared" si="38"/>
        <v>8.4463068112140623E-7</v>
      </c>
      <c r="B96" s="4">
        <f t="shared" si="44"/>
        <v>5.3151243090822436E-6</v>
      </c>
      <c r="C96" s="4">
        <f t="shared" si="39"/>
        <v>1.6754259348186887E-5</v>
      </c>
      <c r="D96" s="4">
        <f t="shared" si="40"/>
        <v>8.3513780102609434E-5</v>
      </c>
      <c r="E96" s="4">
        <f t="shared" si="41"/>
        <v>1.0378243769136528E-3</v>
      </c>
      <c r="F96" s="4">
        <f t="shared" si="45"/>
        <v>0.40000000000000013</v>
      </c>
      <c r="G96" s="4">
        <f>G100*0.6</f>
        <v>3139.9999999999995</v>
      </c>
      <c r="H96" s="4">
        <f t="shared" ref="H96:K96" si="50">H100*0.6</f>
        <v>2009.6</v>
      </c>
      <c r="I96" s="4">
        <f t="shared" si="50"/>
        <v>1130.3999999999999</v>
      </c>
      <c r="J96" s="4">
        <f t="shared" si="50"/>
        <v>502.4</v>
      </c>
      <c r="K96" s="4">
        <f t="shared" si="50"/>
        <v>125.6</v>
      </c>
      <c r="L96" s="4"/>
      <c r="M96" s="4"/>
    </row>
    <row r="97" spans="1:13" ht="15.75" x14ac:dyDescent="0.25">
      <c r="A97" s="4">
        <f t="shared" si="38"/>
        <v>1.0984194221358769E-6</v>
      </c>
      <c r="B97" s="4">
        <f t="shared" si="44"/>
        <v>7.0823874091749628E-6</v>
      </c>
      <c r="C97" s="4">
        <f t="shared" si="39"/>
        <v>2.2294905231515723E-5</v>
      </c>
      <c r="D97" s="4">
        <f t="shared" si="40"/>
        <v>1.1026434966789799E-4</v>
      </c>
      <c r="E97" s="4">
        <f t="shared" si="41"/>
        <v>1.2327018740672848E-3</v>
      </c>
      <c r="F97" s="4">
        <f t="shared" si="45"/>
        <v>0.30000000000000016</v>
      </c>
      <c r="G97" s="4">
        <f>G100*0.7</f>
        <v>3663.333333333333</v>
      </c>
      <c r="H97" s="4">
        <f t="shared" ref="H97:K97" si="51">H100*0.7</f>
        <v>2344.5333333333333</v>
      </c>
      <c r="I97" s="4">
        <f t="shared" si="51"/>
        <v>1318.8</v>
      </c>
      <c r="J97" s="4">
        <f t="shared" si="51"/>
        <v>586.13333333333333</v>
      </c>
      <c r="K97" s="4">
        <f t="shared" si="51"/>
        <v>146.53333333333333</v>
      </c>
      <c r="L97" s="4"/>
      <c r="M97" s="4"/>
    </row>
    <row r="98" spans="1:13" ht="15.75" x14ac:dyDescent="0.25">
      <c r="A98" s="4">
        <f t="shared" si="38"/>
        <v>1.5455629053740617E-6</v>
      </c>
      <c r="B98" s="4">
        <f t="shared" si="44"/>
        <v>1.0606149379239226E-5</v>
      </c>
      <c r="C98" s="4">
        <f t="shared" si="39"/>
        <v>3.3270224684326949E-5</v>
      </c>
      <c r="D98" s="4">
        <f t="shared" si="40"/>
        <v>1.6126993086023716E-4</v>
      </c>
      <c r="E98" s="4">
        <f t="shared" si="41"/>
        <v>1.4377625633062853E-3</v>
      </c>
      <c r="F98" s="4">
        <f t="shared" si="45"/>
        <v>0.20000000000000015</v>
      </c>
      <c r="G98" s="4">
        <f>G100*0.8</f>
        <v>4186.666666666667</v>
      </c>
      <c r="H98" s="4">
        <f t="shared" ref="H98:K98" si="52">H100*0.8</f>
        <v>2679.4666666666672</v>
      </c>
      <c r="I98" s="4">
        <f t="shared" si="52"/>
        <v>1507.2</v>
      </c>
      <c r="J98" s="4">
        <f t="shared" si="52"/>
        <v>669.86666666666679</v>
      </c>
      <c r="K98" s="4">
        <f t="shared" si="52"/>
        <v>167.4666666666667</v>
      </c>
      <c r="L98" s="4"/>
      <c r="M98" s="4"/>
    </row>
    <row r="99" spans="1:13" ht="15.75" x14ac:dyDescent="0.25">
      <c r="A99" s="4">
        <f t="shared" si="38"/>
        <v>2.3211267080308498E-6</v>
      </c>
      <c r="B99" s="4">
        <f t="shared" si="44"/>
        <v>2.1043314011415027E-5</v>
      </c>
      <c r="C99" s="4">
        <f t="shared" si="39"/>
        <v>6.4905468579669562E-5</v>
      </c>
      <c r="D99" s="4">
        <f t="shared" si="40"/>
        <v>2.8744210098846033E-4</v>
      </c>
      <c r="E99" s="4">
        <f t="shared" si="41"/>
        <v>1.3767807164071974E-3</v>
      </c>
      <c r="F99" s="4">
        <f t="shared" si="45"/>
        <v>0.10000000000000014</v>
      </c>
      <c r="G99" s="4">
        <f>G100*0.9</f>
        <v>4710</v>
      </c>
      <c r="H99" s="4">
        <f t="shared" ref="H99:K99" si="53">H100*0.9</f>
        <v>3014.4</v>
      </c>
      <c r="I99" s="4">
        <f t="shared" si="53"/>
        <v>1695.6000000000001</v>
      </c>
      <c r="J99" s="4">
        <f t="shared" si="53"/>
        <v>753.6</v>
      </c>
      <c r="K99" s="4">
        <f t="shared" si="53"/>
        <v>188.4</v>
      </c>
      <c r="L99" s="4"/>
      <c r="M99" s="4"/>
    </row>
    <row r="100" spans="1:13" ht="15.75" x14ac:dyDescent="0.25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f>2*3.14*($N$90^2)/3</f>
        <v>5233.333333333333</v>
      </c>
      <c r="H100" s="4">
        <f>2*3.14*($N$91^2)/3</f>
        <v>3349.3333333333335</v>
      </c>
      <c r="I100" s="4">
        <f>2*3.14*($N$92^2)/3</f>
        <v>1884</v>
      </c>
      <c r="J100" s="4">
        <f>2*3.14*($N$93^2)/3</f>
        <v>837.33333333333337</v>
      </c>
      <c r="K100" s="4">
        <f>2*3.14*($N$94^2)/3</f>
        <v>209.33333333333334</v>
      </c>
      <c r="L100" s="4"/>
      <c r="M100" s="4"/>
    </row>
    <row r="129" spans="1:20" ht="18.75" x14ac:dyDescent="0.3">
      <c r="A129" s="9" t="s">
        <v>27</v>
      </c>
      <c r="B129" s="9"/>
      <c r="E129" s="8"/>
      <c r="F129" s="8"/>
      <c r="G129" s="8"/>
    </row>
    <row r="130" spans="1:20" ht="18.75" x14ac:dyDescent="0.3">
      <c r="A130" s="3" t="s">
        <v>12</v>
      </c>
      <c r="B130" s="3"/>
      <c r="E130" s="8"/>
      <c r="F130" s="8"/>
      <c r="G130" s="8"/>
    </row>
    <row r="131" spans="1:20" x14ac:dyDescent="0.25">
      <c r="A131" s="10"/>
      <c r="B131" s="10"/>
      <c r="E131" s="8"/>
      <c r="F131" s="8"/>
      <c r="G131" s="8"/>
    </row>
    <row r="132" spans="1:20" x14ac:dyDescent="0.25">
      <c r="A132" s="10"/>
      <c r="B132" s="10"/>
      <c r="C132" s="8"/>
      <c r="E132" s="8"/>
      <c r="F132" s="8"/>
      <c r="G132" s="8"/>
    </row>
    <row r="133" spans="1:20" x14ac:dyDescent="0.25">
      <c r="A133" s="10"/>
      <c r="B133" s="10"/>
      <c r="C133" s="8"/>
    </row>
    <row r="134" spans="1:20" x14ac:dyDescent="0.25">
      <c r="A134" s="12" t="s">
        <v>14</v>
      </c>
      <c r="B134" s="12" t="s">
        <v>15</v>
      </c>
      <c r="C134" s="12" t="s">
        <v>16</v>
      </c>
      <c r="D134" s="12" t="s">
        <v>17</v>
      </c>
      <c r="E134" s="12" t="s">
        <v>18</v>
      </c>
      <c r="G134" s="12" t="s">
        <v>20</v>
      </c>
      <c r="H134" s="12" t="s">
        <v>24</v>
      </c>
      <c r="I134" s="12" t="s">
        <v>23</v>
      </c>
      <c r="J134" s="12" t="s">
        <v>22</v>
      </c>
      <c r="K134" s="12" t="s">
        <v>21</v>
      </c>
    </row>
    <row r="135" spans="1:20" ht="18.75" x14ac:dyDescent="0.3">
      <c r="A135" s="11"/>
      <c r="B135" s="11"/>
      <c r="C135" s="11"/>
      <c r="D135" s="11"/>
      <c r="E135" s="11"/>
      <c r="F135" s="2" t="s">
        <v>3</v>
      </c>
      <c r="G135" s="12"/>
      <c r="H135" s="12"/>
      <c r="I135" s="12"/>
      <c r="J135" s="12"/>
      <c r="K135" s="12"/>
      <c r="L135" s="2"/>
      <c r="M135" s="2" t="s">
        <v>6</v>
      </c>
      <c r="N135" s="1" t="s">
        <v>13</v>
      </c>
      <c r="O135" s="2"/>
      <c r="P135" s="2"/>
      <c r="Q135" s="11" t="s">
        <v>25</v>
      </c>
      <c r="R135" s="11"/>
      <c r="S135" s="11"/>
      <c r="T135" s="2"/>
    </row>
    <row r="136" spans="1:20" ht="15.75" x14ac:dyDescent="0.25">
      <c r="A136" s="4">
        <f>(3*$Q$136^2*(0.11*4.41/$F136)*3/(2*3.14*$N$136*((0.54+(0.11*4.41/$F136))^2+(0.575+0.225*4.41)^2*($N$136)/$N$90)^2))</f>
        <v>54.411805715363329</v>
      </c>
      <c r="B136" s="4">
        <f>(3*$Q$137^2*(0.11*4.41/$F136)*3/(2*3.14*$N$136*((0.54+(0.11*4.41/$F136))^2+(0.575+0.225*4.41)^2*(($N$136)/$N$90)^2)))</f>
        <v>190.82778379872096</v>
      </c>
      <c r="C136" s="4">
        <f>(3*$Q$138^2*(0.11*4.41/$F136)*3/(2*3.14*$N$138*((0.54+(0.11*4.41/$F136))^2+(0.575+0.225*4.41)^2*($N$138/$N$90)^2)))</f>
        <v>576.41871725358237</v>
      </c>
      <c r="D136" s="4">
        <f>(3*$Q$139^2*(0.11*4.41/$F136)*3/(2*3.14*$N$139*((0.54+(0.11*4.41/$F136))^2+(0.575+0.225*4.41)^2*($N$139/$N$90)^2)))</f>
        <v>1158.8118641138303</v>
      </c>
      <c r="E136" s="4">
        <f>(3*$Q$140^2*(0.11*4.41/$F136)*3/(2*3.14*$N$140*((0.54+(0.11*4.41/$F136))^2+(0.575+0.225*4.41)^2*($N$140/$N$90)^2)))</f>
        <v>2912.1213492655938</v>
      </c>
      <c r="F136" s="4">
        <v>1</v>
      </c>
      <c r="G136" s="4">
        <f>0</f>
        <v>0</v>
      </c>
      <c r="H136" s="4">
        <f>0</f>
        <v>0</v>
      </c>
      <c r="I136" s="4">
        <f>0</f>
        <v>0</v>
      </c>
      <c r="J136" s="4">
        <f>0</f>
        <v>0</v>
      </c>
      <c r="K136" s="4">
        <f>0</f>
        <v>0</v>
      </c>
      <c r="L136" s="4"/>
      <c r="M136" s="4">
        <f>380/SQRT(3)</f>
        <v>219.39310229205779</v>
      </c>
      <c r="N136" s="4">
        <v>50</v>
      </c>
      <c r="O136" s="4"/>
      <c r="P136" s="4"/>
      <c r="Q136" s="10">
        <f>$M$136</f>
        <v>219.39310229205779</v>
      </c>
      <c r="R136" s="10"/>
      <c r="S136" s="10"/>
    </row>
    <row r="137" spans="1:20" ht="15.75" x14ac:dyDescent="0.25">
      <c r="A137" s="4">
        <f t="shared" ref="A137:A145" si="54">(3*$Q$136^2*(0.11*4.41/$F137)*3/(2*3.14*$N$136*((0.54+(0.11*4.41/$F137))^2+(0.575+0.225*4.41)^2*($N$136)/$N$90)^2))</f>
        <v>56.729271651073425</v>
      </c>
      <c r="B137" s="4">
        <f t="shared" ref="B137:B145" si="55">(3*$Q$137^2*(0.11*4.41/$F137)*3/(2*3.14*$N$136*((0.54+(0.11*4.41/$F137))^2+(0.575+0.225*4.41)^2*(($N$136)/$N$90)^2)))</f>
        <v>205.38909740345807</v>
      </c>
      <c r="C137" s="4">
        <f t="shared" ref="C137:C145" si="56">(3*$Q$138^2*(0.11*4.41/$F137)*3/(2*3.14*$N$138*((0.54+(0.11*4.41/$F137))^2+(0.575+0.225*4.41)^2*($N$138/$N$90)^2)))</f>
        <v>605.00718515591598</v>
      </c>
      <c r="D137" s="4">
        <f t="shared" ref="D137:D145" si="57">(3*$Q$139^2*(0.11*4.41/$F137)*3/(2*3.14*$N$139*((0.54+(0.11*4.41/$F137))^2+(0.575+0.225*4.41)^2*($N$139/$N$90)^2)))</f>
        <v>1193.7976987745897</v>
      </c>
      <c r="E137" s="4">
        <f t="shared" ref="E137:E145" si="58">(3*$Q$140^2*(0.11*4.41/$F137)*3/(2*3.14*$N$140*((0.54+(0.11*4.41/$F137))^2+(0.575+0.225*4.41)^2*($N$140/$N$90)^2)))</f>
        <v>2945.0248800263225</v>
      </c>
      <c r="F137" s="4">
        <f>F136-0.1</f>
        <v>0.9</v>
      </c>
      <c r="G137" s="4">
        <f>G146*0.1</f>
        <v>10.466666666666669</v>
      </c>
      <c r="H137" s="4">
        <f t="shared" ref="H137:K137" si="59">H146*0.1</f>
        <v>8.3733333333333331</v>
      </c>
      <c r="I137" s="4">
        <f t="shared" si="59"/>
        <v>6.2800000000000011</v>
      </c>
      <c r="J137" s="4">
        <f t="shared" si="59"/>
        <v>4.1866666666666665</v>
      </c>
      <c r="K137" s="4">
        <f t="shared" si="59"/>
        <v>2.0933333333333333</v>
      </c>
      <c r="L137" s="4"/>
      <c r="M137" s="4"/>
      <c r="N137" s="4">
        <v>40</v>
      </c>
      <c r="Q137" s="10">
        <f t="shared" ref="Q137:Q140" si="60">$M$136</f>
        <v>219.39310229205779</v>
      </c>
      <c r="R137" s="10"/>
      <c r="S137" s="10"/>
    </row>
    <row r="138" spans="1:20" ht="15.75" x14ac:dyDescent="0.25">
      <c r="A138" s="4">
        <f t="shared" si="54"/>
        <v>58.845618177405818</v>
      </c>
      <c r="B138" s="4">
        <f t="shared" si="55"/>
        <v>221.87435531877958</v>
      </c>
      <c r="C138" s="4">
        <f t="shared" si="56"/>
        <v>634.21345563008163</v>
      </c>
      <c r="D138" s="4">
        <f t="shared" si="57"/>
        <v>1225.0701911134151</v>
      </c>
      <c r="E138" s="4">
        <f t="shared" si="58"/>
        <v>2961.4487507446047</v>
      </c>
      <c r="F138" s="4">
        <f t="shared" ref="F138:F145" si="61">F137-0.1</f>
        <v>0.8</v>
      </c>
      <c r="G138" s="4">
        <f>G146*0.2</f>
        <v>20.933333333333337</v>
      </c>
      <c r="H138" s="4">
        <f t="shared" ref="H138:K138" si="62">H146*0.2</f>
        <v>16.746666666666666</v>
      </c>
      <c r="I138" s="4">
        <f t="shared" si="62"/>
        <v>12.560000000000002</v>
      </c>
      <c r="J138" s="4">
        <f t="shared" si="62"/>
        <v>8.3733333333333331</v>
      </c>
      <c r="K138" s="4">
        <f t="shared" si="62"/>
        <v>4.1866666666666665</v>
      </c>
      <c r="L138" s="4"/>
      <c r="M138" s="4"/>
      <c r="N138" s="4">
        <v>30</v>
      </c>
      <c r="Q138" s="10">
        <f t="shared" si="60"/>
        <v>219.39310229205779</v>
      </c>
      <c r="R138" s="10"/>
      <c r="S138" s="10"/>
    </row>
    <row r="139" spans="1:20" ht="15.75" x14ac:dyDescent="0.25">
      <c r="A139" s="4">
        <f t="shared" si="54"/>
        <v>60.461179302434324</v>
      </c>
      <c r="B139" s="4">
        <f t="shared" si="55"/>
        <v>240.4276016374809</v>
      </c>
      <c r="C139" s="4">
        <f t="shared" si="56"/>
        <v>662.68553600621487</v>
      </c>
      <c r="D139" s="4">
        <f t="shared" si="57"/>
        <v>1249.2537135180653</v>
      </c>
      <c r="E139" s="4">
        <f t="shared" si="58"/>
        <v>2953.5112410849829</v>
      </c>
      <c r="F139" s="4">
        <f t="shared" si="61"/>
        <v>0.70000000000000007</v>
      </c>
      <c r="G139" s="4">
        <f>G146*0.3</f>
        <v>31.4</v>
      </c>
      <c r="H139" s="4">
        <f t="shared" ref="H139:J139" si="63">H146*0.3</f>
        <v>25.12</v>
      </c>
      <c r="I139" s="4">
        <f t="shared" si="63"/>
        <v>18.84</v>
      </c>
      <c r="J139" s="4">
        <f t="shared" si="63"/>
        <v>12.56</v>
      </c>
      <c r="K139" s="4">
        <f>K146*0.3</f>
        <v>6.28</v>
      </c>
      <c r="L139" s="4"/>
      <c r="M139" s="4"/>
      <c r="N139" s="4">
        <v>20</v>
      </c>
      <c r="Q139" s="10">
        <f t="shared" si="60"/>
        <v>219.39310229205779</v>
      </c>
      <c r="R139" s="10"/>
      <c r="S139" s="10"/>
    </row>
    <row r="140" spans="1:20" ht="15.75" x14ac:dyDescent="0.25">
      <c r="A140" s="4">
        <f t="shared" si="54"/>
        <v>61.041120907100456</v>
      </c>
      <c r="B140" s="4">
        <f t="shared" si="55"/>
        <v>260.93399412439487</v>
      </c>
      <c r="C140" s="4">
        <f t="shared" si="56"/>
        <v>687.84100981102574</v>
      </c>
      <c r="D140" s="4">
        <f t="shared" si="57"/>
        <v>1260.95781435615</v>
      </c>
      <c r="E140" s="4">
        <f t="shared" si="58"/>
        <v>2909.7385728546715</v>
      </c>
      <c r="F140" s="4">
        <f t="shared" si="61"/>
        <v>0.60000000000000009</v>
      </c>
      <c r="G140" s="4">
        <f>G146*0.4</f>
        <v>41.866666666666674</v>
      </c>
      <c r="H140" s="4">
        <f t="shared" ref="H140:K140" si="64">H146*0.4</f>
        <v>33.493333333333332</v>
      </c>
      <c r="I140" s="4">
        <f t="shared" si="64"/>
        <v>25.120000000000005</v>
      </c>
      <c r="J140" s="4">
        <f t="shared" si="64"/>
        <v>16.746666666666666</v>
      </c>
      <c r="K140" s="4">
        <f t="shared" si="64"/>
        <v>8.3733333333333331</v>
      </c>
      <c r="L140" s="4"/>
      <c r="M140" s="4"/>
      <c r="N140" s="4">
        <v>10</v>
      </c>
      <c r="Q140" s="10">
        <f t="shared" si="60"/>
        <v>219.39310229205779</v>
      </c>
      <c r="R140" s="10"/>
      <c r="S140" s="10"/>
    </row>
    <row r="141" spans="1:20" ht="15.75" x14ac:dyDescent="0.25">
      <c r="A141" s="4">
        <f t="shared" si="54"/>
        <v>59.650981086059197</v>
      </c>
      <c r="B141" s="4">
        <f t="shared" si="55"/>
        <v>282.56530172083245</v>
      </c>
      <c r="C141" s="4">
        <f t="shared" si="56"/>
        <v>704.85583197443998</v>
      </c>
      <c r="D141" s="4">
        <f t="shared" si="57"/>
        <v>1251.5441085433706</v>
      </c>
      <c r="E141" s="4">
        <f t="shared" si="58"/>
        <v>2813.2210472286743</v>
      </c>
      <c r="F141" s="4">
        <f t="shared" si="61"/>
        <v>0.50000000000000011</v>
      </c>
      <c r="G141" s="4">
        <f>G146*0.5</f>
        <v>52.333333333333336</v>
      </c>
      <c r="H141" s="4">
        <f t="shared" ref="H141:K141" si="65">H146*0.5</f>
        <v>41.866666666666667</v>
      </c>
      <c r="I141" s="4">
        <f t="shared" si="65"/>
        <v>31.400000000000002</v>
      </c>
      <c r="J141" s="4">
        <f t="shared" si="65"/>
        <v>20.933333333333334</v>
      </c>
      <c r="K141" s="4">
        <f t="shared" si="65"/>
        <v>10.466666666666667</v>
      </c>
      <c r="L141" s="4"/>
      <c r="M141" s="4"/>
    </row>
    <row r="142" spans="1:20" ht="15.75" x14ac:dyDescent="0.25">
      <c r="A142" s="4">
        <f t="shared" si="54"/>
        <v>54.743222812418303</v>
      </c>
      <c r="B142" s="4">
        <f t="shared" si="55"/>
        <v>302.6427135551902</v>
      </c>
      <c r="C142" s="4">
        <f t="shared" si="56"/>
        <v>704.8223418235807</v>
      </c>
      <c r="D142" s="4">
        <f t="shared" si="57"/>
        <v>1207.1181660483651</v>
      </c>
      <c r="E142" s="4">
        <f t="shared" si="58"/>
        <v>2638.6895262564403</v>
      </c>
      <c r="F142" s="4">
        <f t="shared" si="61"/>
        <v>0.40000000000000013</v>
      </c>
      <c r="G142" s="4">
        <f>G146*0.6</f>
        <v>62.8</v>
      </c>
      <c r="H142" s="4">
        <f t="shared" ref="H142:K142" si="66">H146*0.6</f>
        <v>50.24</v>
      </c>
      <c r="I142" s="4">
        <f t="shared" si="66"/>
        <v>37.68</v>
      </c>
      <c r="J142" s="4">
        <f t="shared" si="66"/>
        <v>25.12</v>
      </c>
      <c r="K142" s="4">
        <f t="shared" si="66"/>
        <v>12.56</v>
      </c>
      <c r="L142" s="4"/>
      <c r="M142" s="4"/>
    </row>
    <row r="143" spans="1:20" ht="15.75" x14ac:dyDescent="0.25">
      <c r="A143" s="4">
        <f t="shared" si="54"/>
        <v>44.142952238961023</v>
      </c>
      <c r="B143" s="4">
        <f t="shared" si="55"/>
        <v>313.80878500395755</v>
      </c>
      <c r="C143" s="4">
        <f t="shared" si="56"/>
        <v>671.50666995755944</v>
      </c>
      <c r="D143" s="4">
        <f t="shared" si="57"/>
        <v>1105.3287902714733</v>
      </c>
      <c r="E143" s="4">
        <f t="shared" si="58"/>
        <v>2347.8099770557742</v>
      </c>
      <c r="F143" s="4">
        <f t="shared" si="61"/>
        <v>0.30000000000000016</v>
      </c>
      <c r="G143" s="4">
        <f>G146*0.7</f>
        <v>73.266666666666666</v>
      </c>
      <c r="H143" s="4">
        <f t="shared" ref="H143:K143" si="67">H146*0.7</f>
        <v>58.61333333333333</v>
      </c>
      <c r="I143" s="4">
        <f t="shared" si="67"/>
        <v>43.96</v>
      </c>
      <c r="J143" s="4">
        <f t="shared" si="67"/>
        <v>29.306666666666665</v>
      </c>
      <c r="K143" s="4">
        <f t="shared" si="67"/>
        <v>14.653333333333332</v>
      </c>
      <c r="L143" s="4"/>
      <c r="M143" s="4"/>
    </row>
    <row r="144" spans="1:20" ht="15.75" x14ac:dyDescent="0.25">
      <c r="A144" s="4">
        <f t="shared" si="54"/>
        <v>26.43743408375644</v>
      </c>
      <c r="B144" s="4">
        <f t="shared" si="55"/>
        <v>297.43336901722159</v>
      </c>
      <c r="C144" s="4">
        <f t="shared" si="56"/>
        <v>576.23958726566036</v>
      </c>
      <c r="D144" s="4">
        <f t="shared" si="57"/>
        <v>910.57811240222406</v>
      </c>
      <c r="E144" s="4">
        <f t="shared" si="58"/>
        <v>1881.5210581315353</v>
      </c>
      <c r="F144" s="4">
        <f t="shared" si="61"/>
        <v>0.20000000000000015</v>
      </c>
      <c r="G144" s="4">
        <f>G146*0.8</f>
        <v>83.733333333333348</v>
      </c>
      <c r="H144" s="4">
        <f t="shared" ref="H144:K144" si="68">H146*0.8</f>
        <v>66.986666666666665</v>
      </c>
      <c r="I144" s="4">
        <f t="shared" si="68"/>
        <v>50.240000000000009</v>
      </c>
      <c r="J144" s="4">
        <f t="shared" si="68"/>
        <v>33.493333333333332</v>
      </c>
      <c r="K144" s="4">
        <f t="shared" si="68"/>
        <v>16.746666666666666</v>
      </c>
      <c r="L144" s="4"/>
      <c r="M144" s="4"/>
    </row>
    <row r="145" spans="1:13" ht="15.75" x14ac:dyDescent="0.25">
      <c r="A145" s="4">
        <f t="shared" si="54"/>
        <v>6.7366034327120889</v>
      </c>
      <c r="B145" s="4">
        <f t="shared" si="55"/>
        <v>212.33203808531647</v>
      </c>
      <c r="C145" s="4">
        <f t="shared" si="56"/>
        <v>372.46329759433979</v>
      </c>
      <c r="D145" s="4">
        <f t="shared" si="57"/>
        <v>568.01265717017691</v>
      </c>
      <c r="E145" s="4">
        <f t="shared" si="58"/>
        <v>1147.507946026597</v>
      </c>
      <c r="F145" s="4">
        <f t="shared" si="61"/>
        <v>0.10000000000000014</v>
      </c>
      <c r="G145" s="4">
        <f>G146*0.9</f>
        <v>94.2</v>
      </c>
      <c r="H145" s="4">
        <f t="shared" ref="H145:K145" si="69">H146*0.9</f>
        <v>75.36</v>
      </c>
      <c r="I145" s="4">
        <f t="shared" si="69"/>
        <v>56.52</v>
      </c>
      <c r="J145" s="4">
        <f t="shared" si="69"/>
        <v>37.68</v>
      </c>
      <c r="K145" s="4">
        <f t="shared" si="69"/>
        <v>18.84</v>
      </c>
      <c r="L145" s="4"/>
      <c r="M145" s="4"/>
    </row>
    <row r="146" spans="1:13" ht="15.75" x14ac:dyDescent="0.25">
      <c r="A146" s="4">
        <v>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f>2*3.14*$N$136/3</f>
        <v>104.66666666666667</v>
      </c>
      <c r="H146" s="4">
        <f>2*3.14*$N$137/3</f>
        <v>83.733333333333334</v>
      </c>
      <c r="I146" s="4">
        <f>2*3.14*$N$138/3</f>
        <v>62.800000000000004</v>
      </c>
      <c r="J146" s="4">
        <f>2*3.14*$N$139/3</f>
        <v>41.866666666666667</v>
      </c>
      <c r="K146" s="4">
        <f>2*3.14*$N$140/3</f>
        <v>20.933333333333334</v>
      </c>
      <c r="L146" s="4"/>
      <c r="M146" s="4"/>
    </row>
  </sheetData>
  <mergeCells count="72">
    <mergeCell ref="Q138:S138"/>
    <mergeCell ref="Q139:S139"/>
    <mergeCell ref="Q140:S140"/>
    <mergeCell ref="J134:J135"/>
    <mergeCell ref="K134:K135"/>
    <mergeCell ref="Q135:S135"/>
    <mergeCell ref="Q136:S136"/>
    <mergeCell ref="Q137:S137"/>
    <mergeCell ref="D134:D135"/>
    <mergeCell ref="E134:E135"/>
    <mergeCell ref="G134:G135"/>
    <mergeCell ref="H134:H135"/>
    <mergeCell ref="I134:I135"/>
    <mergeCell ref="A129:B129"/>
    <mergeCell ref="A131:B133"/>
    <mergeCell ref="A134:A135"/>
    <mergeCell ref="B134:B135"/>
    <mergeCell ref="C134:C135"/>
    <mergeCell ref="G47:G48"/>
    <mergeCell ref="H47:H48"/>
    <mergeCell ref="I47:I48"/>
    <mergeCell ref="J47:J48"/>
    <mergeCell ref="K47:K48"/>
    <mergeCell ref="T4:T5"/>
    <mergeCell ref="U4:U5"/>
    <mergeCell ref="V4:V5"/>
    <mergeCell ref="W4:W5"/>
    <mergeCell ref="AD10:AF10"/>
    <mergeCell ref="AD5:AF5"/>
    <mergeCell ref="AD6:AF6"/>
    <mergeCell ref="AD7:AF7"/>
    <mergeCell ref="AD8:AF8"/>
    <mergeCell ref="AD9:AF9"/>
    <mergeCell ref="D47:D48"/>
    <mergeCell ref="E47:E48"/>
    <mergeCell ref="A42:B42"/>
    <mergeCell ref="A44:B46"/>
    <mergeCell ref="A47:A48"/>
    <mergeCell ref="B47:B48"/>
    <mergeCell ref="C47:C48"/>
    <mergeCell ref="K1:L1"/>
    <mergeCell ref="K3:L4"/>
    <mergeCell ref="M4:M5"/>
    <mergeCell ref="N4:N5"/>
    <mergeCell ref="O4:O5"/>
    <mergeCell ref="P4:P5"/>
    <mergeCell ref="Q4:Q5"/>
    <mergeCell ref="Q48:S48"/>
    <mergeCell ref="Q50:S50"/>
    <mergeCell ref="Q49:S49"/>
    <mergeCell ref="S4:S5"/>
    <mergeCell ref="Q51:S51"/>
    <mergeCell ref="Q52:S52"/>
    <mergeCell ref="Q53:S53"/>
    <mergeCell ref="A83:B83"/>
    <mergeCell ref="A85:B87"/>
    <mergeCell ref="A88:A89"/>
    <mergeCell ref="B88:B89"/>
    <mergeCell ref="C88:C89"/>
    <mergeCell ref="D88:D89"/>
    <mergeCell ref="E88:E89"/>
    <mergeCell ref="G88:G89"/>
    <mergeCell ref="H88:H89"/>
    <mergeCell ref="I88:I89"/>
    <mergeCell ref="J88:J89"/>
    <mergeCell ref="K88:K89"/>
    <mergeCell ref="Q94:S94"/>
    <mergeCell ref="Q89:S89"/>
    <mergeCell ref="Q90:S90"/>
    <mergeCell ref="Q91:S91"/>
    <mergeCell ref="Q92:S92"/>
    <mergeCell ref="Q93:S9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10</xdr:col>
                <xdr:colOff>276225</xdr:colOff>
                <xdr:row>2</xdr:row>
                <xdr:rowOff>9525</xdr:rowOff>
              </from>
              <to>
                <xdr:col>11</xdr:col>
                <xdr:colOff>371475</xdr:colOff>
                <xdr:row>4</xdr:row>
                <xdr:rowOff>38100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0</xdr:col>
                <xdr:colOff>200025</xdr:colOff>
                <xdr:row>43</xdr:row>
                <xdr:rowOff>57150</xdr:rowOff>
              </from>
              <to>
                <xdr:col>1</xdr:col>
                <xdr:colOff>381000</xdr:colOff>
                <xdr:row>45</xdr:row>
                <xdr:rowOff>133350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9" r:id="rId8">
          <objectPr defaultSize="0" autoPict="0" r:id="rId9">
            <anchor moveWithCells="1" sizeWithCells="1">
              <from>
                <xdr:col>0</xdr:col>
                <xdr:colOff>266700</xdr:colOff>
                <xdr:row>84</xdr:row>
                <xdr:rowOff>47625</xdr:rowOff>
              </from>
              <to>
                <xdr:col>1</xdr:col>
                <xdr:colOff>390525</xdr:colOff>
                <xdr:row>86</xdr:row>
                <xdr:rowOff>95250</xdr:rowOff>
              </to>
            </anchor>
          </objectPr>
        </oleObject>
      </mc:Choice>
      <mc:Fallback>
        <oleObject progId="Equation.DSMT4" shapeId="1029" r:id="rId8"/>
      </mc:Fallback>
    </mc:AlternateContent>
    <mc:AlternateContent xmlns:mc="http://schemas.openxmlformats.org/markup-compatibility/2006">
      <mc:Choice Requires="x14">
        <oleObject progId="Equation.DSMT4" shapeId="1031" r:id="rId10">
          <objectPr defaultSize="0" autoPict="0" r:id="rId11">
            <anchor moveWithCells="1" sizeWithCells="1">
              <from>
                <xdr:col>0</xdr:col>
                <xdr:colOff>76200</xdr:colOff>
                <xdr:row>130</xdr:row>
                <xdr:rowOff>161925</xdr:rowOff>
              </from>
              <to>
                <xdr:col>1</xdr:col>
                <xdr:colOff>828675</xdr:colOff>
                <xdr:row>132</xdr:row>
                <xdr:rowOff>0</xdr:rowOff>
              </to>
            </anchor>
          </objectPr>
        </oleObject>
      </mc:Choice>
      <mc:Fallback>
        <oleObject progId="Equation.DSMT4" shapeId="103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Крыжко</dc:creator>
  <cp:lastModifiedBy>Sergey</cp:lastModifiedBy>
  <dcterms:created xsi:type="dcterms:W3CDTF">2021-11-21T12:27:22Z</dcterms:created>
  <dcterms:modified xsi:type="dcterms:W3CDTF">2022-01-09T12:37:51Z</dcterms:modified>
</cp:coreProperties>
</file>