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filterPrivacy="1"/>
  <xr:revisionPtr revIDLastSave="0" documentId="13_ncr:1_{D472C640-FFA4-460D-ACFF-127E16E07C3F}" xr6:coauthVersionLast="43" xr6:coauthVersionMax="43" xr10:uidLastSave="{00000000-0000-0000-0000-000000000000}"/>
  <bookViews>
    <workbookView xWindow="28680" yWindow="-120" windowWidth="29040" windowHeight="15840" firstSheet="5" activeTab="10" xr2:uid="{00000000-000D-0000-FFFF-FFFF00000000}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  <sheet name="Лист8" sheetId="8" r:id="rId8"/>
    <sheet name="Лист9" sheetId="9" r:id="rId9"/>
    <sheet name="Лист10" sheetId="10" r:id="rId10"/>
    <sheet name="Лист11" sheetId="11" r:id="rId11"/>
    <sheet name="Лист12" sheetId="12" r:id="rId12"/>
    <sheet name="Лист13" sheetId="13" r:id="rId13"/>
    <sheet name="Лист14" sheetId="14" r:id="rId14"/>
    <sheet name="Лист15" sheetId="15" r:id="rId15"/>
    <sheet name="График" sheetId="20" r:id="rId16"/>
    <sheet name="Лист16" sheetId="19" r:id="rId17"/>
    <sheet name="Лист17" sheetId="16" r:id="rId18"/>
    <sheet name="Лист18" sheetId="17" r:id="rId19"/>
    <sheet name="Лист19" sheetId="18" r:id="rId20"/>
  </sheets>
  <externalReferences>
    <externalReference r:id="rId2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4" i="11" l="1"/>
  <c r="B15" i="11"/>
  <c r="B16" i="11"/>
  <c r="B17" i="11"/>
  <c r="B13" i="11"/>
  <c r="B4" i="11"/>
  <c r="C6" i="11" s="1"/>
  <c r="C7" i="11" l="1"/>
  <c r="B18" i="11"/>
  <c r="C5" i="11"/>
  <c r="D5" i="11" l="1"/>
  <c r="B9" i="11" l="1"/>
  <c r="C1" i="20"/>
  <c r="D1" i="20"/>
  <c r="E1" i="20" s="1"/>
  <c r="B4" i="20"/>
  <c r="D4" i="11" l="1"/>
  <c r="C8" i="11"/>
  <c r="C9" i="11" s="1"/>
  <c r="F1" i="20"/>
  <c r="E4" i="11" l="1"/>
  <c r="D6" i="11"/>
  <c r="E6" i="11" s="1"/>
  <c r="G1" i="20"/>
  <c r="F6" i="11" l="1"/>
  <c r="H1" i="20"/>
  <c r="I1" i="20" l="1"/>
  <c r="J1" i="20" l="1"/>
  <c r="K1" i="20" l="1"/>
  <c r="L1" i="20" l="1"/>
  <c r="M1" i="20" l="1"/>
  <c r="N1" i="20" l="1"/>
  <c r="O1" i="20" l="1"/>
  <c r="P1" i="20" l="1"/>
  <c r="Q1" i="20" l="1"/>
  <c r="R1" i="20" l="1"/>
  <c r="S1" i="20" l="1"/>
  <c r="T1" i="20" l="1"/>
  <c r="U1" i="20" l="1"/>
  <c r="V1" i="20" l="1"/>
  <c r="W1" i="20" l="1"/>
  <c r="X1" i="20" l="1"/>
  <c r="B6" i="6"/>
  <c r="Y1" i="20" l="1"/>
  <c r="B7" i="9"/>
  <c r="B6" i="9"/>
  <c r="B5" i="9"/>
  <c r="B4" i="9"/>
  <c r="B3" i="9"/>
  <c r="B8" i="5"/>
  <c r="B7" i="5"/>
  <c r="B6" i="5"/>
  <c r="B5" i="5"/>
  <c r="B4" i="5"/>
  <c r="Z1" i="20" l="1"/>
  <c r="B3" i="18"/>
  <c r="AA1" i="20" l="1"/>
  <c r="G9" i="11"/>
  <c r="AB1" i="20" l="1"/>
  <c r="F4" i="11"/>
  <c r="D8" i="11"/>
  <c r="D7" i="11" l="1"/>
  <c r="E8" i="11"/>
  <c r="C10" i="13"/>
  <c r="E5" i="11"/>
  <c r="G6" i="2"/>
  <c r="F5" i="11" l="1"/>
  <c r="E7" i="11"/>
  <c r="F7" i="11" s="1"/>
  <c r="D13" i="13" s="1"/>
  <c r="B13" i="13" s="1"/>
  <c r="D9" i="11"/>
  <c r="F8" i="11"/>
  <c r="D14" i="13" s="1"/>
  <c r="B14" i="13" s="1"/>
  <c r="D12" i="13"/>
  <c r="B12" i="13" s="1"/>
  <c r="B10" i="13"/>
  <c r="C9" i="13"/>
  <c r="D4" i="5"/>
  <c r="D7" i="9"/>
  <c r="D6" i="9"/>
  <c r="D5" i="9"/>
  <c r="D4" i="9"/>
  <c r="D3" i="9"/>
  <c r="C10" i="8"/>
  <c r="C9" i="8"/>
  <c r="C7" i="8"/>
  <c r="C8" i="8"/>
  <c r="C6" i="8"/>
  <c r="C11" i="8"/>
  <c r="C12" i="8"/>
  <c r="C13" i="8"/>
  <c r="C5" i="8"/>
  <c r="C4" i="8"/>
  <c r="C3" i="8"/>
  <c r="E9" i="11" l="1"/>
  <c r="F9" i="11"/>
  <c r="C6" i="14"/>
  <c r="C15" i="13"/>
  <c r="B7" i="6"/>
  <c r="B5" i="6"/>
  <c r="B4" i="6"/>
  <c r="B3" i="6"/>
  <c r="B8" i="6" s="1"/>
  <c r="D11" i="13" l="1"/>
  <c r="B4" i="12"/>
  <c r="C7" i="14"/>
  <c r="D8" i="5"/>
  <c r="D7" i="5"/>
  <c r="D6" i="5"/>
  <c r="D5" i="5"/>
  <c r="E7" i="9"/>
  <c r="E6" i="9"/>
  <c r="E5" i="9"/>
  <c r="E4" i="9"/>
  <c r="C5" i="5"/>
  <c r="C6" i="5"/>
  <c r="C7" i="5"/>
  <c r="C8" i="5"/>
  <c r="C4" i="5"/>
  <c r="E5" i="2"/>
  <c r="E4" i="2"/>
  <c r="D5" i="2"/>
  <c r="D4" i="2"/>
  <c r="C5" i="2"/>
  <c r="C4" i="2"/>
  <c r="B5" i="2"/>
  <c r="B4" i="2"/>
  <c r="E7" i="5" l="1"/>
  <c r="F7" i="5" s="1"/>
  <c r="C6" i="6" s="1"/>
  <c r="D6" i="6" s="1"/>
  <c r="D9" i="13"/>
  <c r="B11" i="13"/>
  <c r="B5" i="12"/>
  <c r="E3" i="9"/>
  <c r="E8" i="9" s="1"/>
  <c r="B3" i="10" s="1"/>
  <c r="B8" i="9"/>
  <c r="E4" i="5"/>
  <c r="E8" i="5"/>
  <c r="F8" i="5" s="1"/>
  <c r="C7" i="6" s="1"/>
  <c r="D7" i="6" s="1"/>
  <c r="E5" i="5"/>
  <c r="F5" i="5" s="1"/>
  <c r="C4" i="6" s="1"/>
  <c r="D4" i="6" s="1"/>
  <c r="B9" i="5"/>
  <c r="E6" i="5"/>
  <c r="F6" i="5" s="1"/>
  <c r="C5" i="6" s="1"/>
  <c r="D5" i="6" s="1"/>
  <c r="F5" i="2"/>
  <c r="G5" i="2" s="1"/>
  <c r="F4" i="2"/>
  <c r="G4" i="2" s="1"/>
  <c r="B7" i="10" l="1"/>
  <c r="B5" i="10"/>
  <c r="B6" i="10"/>
  <c r="B4" i="10"/>
  <c r="B9" i="10" s="1"/>
  <c r="B10" i="18" s="1"/>
  <c r="B14" i="18" s="1"/>
  <c r="B8" i="10"/>
  <c r="G7" i="2"/>
  <c r="E9" i="5"/>
  <c r="F4" i="5"/>
  <c r="B15" i="18"/>
  <c r="D6" i="14"/>
  <c r="D15" i="13"/>
  <c r="B9" i="13"/>
  <c r="C3" i="3"/>
  <c r="B3" i="16" s="1"/>
  <c r="C3" i="16" l="1"/>
  <c r="E3" i="16" s="1"/>
  <c r="F9" i="5"/>
  <c r="C3" i="6"/>
  <c r="D7" i="14"/>
  <c r="B7" i="14" s="1"/>
  <c r="B15" i="13"/>
  <c r="B11" i="18" s="1"/>
  <c r="B6" i="14"/>
  <c r="C6" i="3"/>
  <c r="B13" i="18" s="1"/>
  <c r="B5" i="4"/>
  <c r="D5" i="4" s="1"/>
  <c r="C6" i="13" s="1"/>
  <c r="B6" i="13" l="1"/>
  <c r="C8" i="6"/>
  <c r="D3" i="6"/>
  <c r="D8" i="6" s="1"/>
  <c r="C7" i="7" s="1"/>
  <c r="E5" i="4"/>
  <c r="B8" i="4"/>
  <c r="B3" i="12" s="1"/>
  <c r="C5" i="3"/>
  <c r="B5" i="16" s="1"/>
  <c r="C5" i="16" s="1"/>
  <c r="E5" i="16" s="1"/>
  <c r="C4" i="3"/>
  <c r="B4" i="16" s="1"/>
  <c r="B8" i="8" l="1"/>
  <c r="D8" i="8" s="1"/>
  <c r="C13" i="7"/>
  <c r="C4" i="16"/>
  <c r="E4" i="16" s="1"/>
  <c r="E6" i="16" s="1"/>
  <c r="B4" i="17" s="1"/>
  <c r="B6" i="16"/>
  <c r="D7" i="4"/>
  <c r="B7" i="4"/>
  <c r="E7" i="4" s="1"/>
  <c r="C7" i="4"/>
  <c r="B6" i="4"/>
  <c r="E6" i="4" s="1"/>
  <c r="D6" i="4"/>
  <c r="C7" i="13" s="1"/>
  <c r="C6" i="4"/>
  <c r="D7" i="13" s="1"/>
  <c r="G5" i="4"/>
  <c r="E8" i="4" l="1"/>
  <c r="F7" i="4"/>
  <c r="D8" i="13"/>
  <c r="D5" i="13"/>
  <c r="D18" i="13" s="1"/>
  <c r="B7" i="13"/>
  <c r="G7" i="4"/>
  <c r="C8" i="13"/>
  <c r="B8" i="13" s="1"/>
  <c r="B13" i="8"/>
  <c r="D13" i="8" s="1"/>
  <c r="C12" i="7"/>
  <c r="B12" i="8" s="1"/>
  <c r="D12" i="8" s="1"/>
  <c r="C3" i="7"/>
  <c r="B4" i="8" s="1"/>
  <c r="D4" i="8" s="1"/>
  <c r="C6" i="7"/>
  <c r="B7" i="8" s="1"/>
  <c r="D7" i="8" s="1"/>
  <c r="C4" i="7"/>
  <c r="B5" i="8" s="1"/>
  <c r="D5" i="8" s="1"/>
  <c r="C9" i="7"/>
  <c r="B10" i="8" s="1"/>
  <c r="D10" i="8" s="1"/>
  <c r="C2" i="7"/>
  <c r="C8" i="7"/>
  <c r="B9" i="8" s="1"/>
  <c r="D9" i="8" s="1"/>
  <c r="C11" i="7"/>
  <c r="B11" i="8" s="1"/>
  <c r="D11" i="8" s="1"/>
  <c r="C5" i="7"/>
  <c r="B6" i="8" s="1"/>
  <c r="D6" i="8" s="1"/>
  <c r="C8" i="4"/>
  <c r="F6" i="4"/>
  <c r="F8" i="4" s="1"/>
  <c r="G6" i="4"/>
  <c r="D8" i="4"/>
  <c r="Q3" i="20" l="1"/>
  <c r="C3" i="20"/>
  <c r="E3" i="20"/>
  <c r="F3" i="20"/>
  <c r="U3" i="20"/>
  <c r="X3" i="20"/>
  <c r="Y3" i="20"/>
  <c r="Z3" i="20"/>
  <c r="J3" i="20"/>
  <c r="K3" i="20"/>
  <c r="R3" i="20"/>
  <c r="D3" i="20"/>
  <c r="S3" i="20"/>
  <c r="T3" i="20"/>
  <c r="G3" i="20"/>
  <c r="V3" i="20"/>
  <c r="B3" i="20"/>
  <c r="H3" i="20"/>
  <c r="O3" i="20"/>
  <c r="P3" i="20"/>
  <c r="W3" i="20"/>
  <c r="N3" i="20"/>
  <c r="L3" i="20"/>
  <c r="M3" i="20"/>
  <c r="AA3" i="20"/>
  <c r="AB3" i="20"/>
  <c r="I3" i="20"/>
  <c r="G8" i="4"/>
  <c r="D5" i="14"/>
  <c r="C14" i="7"/>
  <c r="B8" i="18" s="1"/>
  <c r="B3" i="8"/>
  <c r="C5" i="13"/>
  <c r="C18" i="13" s="1"/>
  <c r="B5" i="20" l="1"/>
  <c r="D3" i="8"/>
  <c r="D14" i="8" s="1"/>
  <c r="B14" i="8"/>
  <c r="C5" i="14"/>
  <c r="C10" i="14" s="1"/>
  <c r="B5" i="13"/>
  <c r="C4" i="20" l="1"/>
  <c r="C5" i="20" s="1"/>
  <c r="E4" i="20"/>
  <c r="E5" i="20" s="1"/>
  <c r="D4" i="20"/>
  <c r="D5" i="20" s="1"/>
  <c r="F4" i="20"/>
  <c r="F5" i="20" s="1"/>
  <c r="G4" i="20"/>
  <c r="G5" i="20" s="1"/>
  <c r="H4" i="20"/>
  <c r="H5" i="20" s="1"/>
  <c r="I4" i="20"/>
  <c r="I5" i="20" s="1"/>
  <c r="J4" i="20"/>
  <c r="J5" i="20" s="1"/>
  <c r="K4" i="20"/>
  <c r="K5" i="20" s="1"/>
  <c r="L4" i="20"/>
  <c r="L5" i="20" s="1"/>
  <c r="M4" i="20"/>
  <c r="M5" i="20" s="1"/>
  <c r="N4" i="20"/>
  <c r="N5" i="20" s="1"/>
  <c r="O4" i="20"/>
  <c r="O5" i="20" s="1"/>
  <c r="P4" i="20"/>
  <c r="P5" i="20" s="1"/>
  <c r="Q4" i="20"/>
  <c r="Q5" i="20" s="1"/>
  <c r="R4" i="20"/>
  <c r="R5" i="20" s="1"/>
  <c r="S4" i="20"/>
  <c r="S5" i="20" s="1"/>
  <c r="T4" i="20"/>
  <c r="T5" i="20" s="1"/>
  <c r="U4" i="20"/>
  <c r="U5" i="20" s="1"/>
  <c r="V4" i="20"/>
  <c r="V5" i="20" s="1"/>
  <c r="W4" i="20"/>
  <c r="W5" i="20" s="1"/>
  <c r="X4" i="20"/>
  <c r="X5" i="20" s="1"/>
  <c r="Y4" i="20"/>
  <c r="Y5" i="20" s="1"/>
  <c r="Z4" i="20"/>
  <c r="Z5" i="20" s="1"/>
  <c r="AA4" i="20"/>
  <c r="AA5" i="20" s="1"/>
  <c r="AB4" i="20"/>
  <c r="AB5" i="20" s="1"/>
  <c r="B5" i="14"/>
  <c r="B7" i="18"/>
  <c r="B12" i="18"/>
  <c r="D16" i="13"/>
  <c r="B6" i="12"/>
  <c r="B16" i="13" l="1"/>
  <c r="D8" i="14"/>
  <c r="B7" i="12"/>
  <c r="D17" i="13" s="1"/>
  <c r="B8" i="12" l="1"/>
  <c r="C6" i="12" s="1"/>
  <c r="C4" i="12"/>
  <c r="C5" i="12"/>
  <c r="C3" i="12"/>
  <c r="B8" i="14"/>
  <c r="D9" i="14"/>
  <c r="B9" i="14" s="1"/>
  <c r="B17" i="13"/>
  <c r="B18" i="13" l="1"/>
  <c r="B3" i="15" s="1"/>
  <c r="B10" i="14"/>
  <c r="B5" i="18" s="1"/>
  <c r="D10" i="14"/>
  <c r="B6" i="18" s="1"/>
  <c r="D5" i="19" l="1"/>
  <c r="J5" i="19" s="1"/>
  <c r="B7" i="17" s="1"/>
  <c r="D3" i="19"/>
  <c r="D4" i="19"/>
  <c r="J4" i="19" s="1"/>
  <c r="B6" i="17" s="1"/>
  <c r="B7" i="15"/>
  <c r="B2" i="15" s="1"/>
  <c r="C2" i="20"/>
  <c r="E2" i="20"/>
  <c r="D2" i="20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T2" i="20"/>
  <c r="U2" i="20"/>
  <c r="V2" i="20"/>
  <c r="W2" i="20"/>
  <c r="X2" i="20"/>
  <c r="Y2" i="20"/>
  <c r="Z2" i="20"/>
  <c r="AA2" i="20"/>
  <c r="AB2" i="20"/>
  <c r="B6" i="20"/>
  <c r="D7" i="19"/>
  <c r="J3" i="19"/>
  <c r="F6" i="19" l="1"/>
  <c r="B4" i="15"/>
  <c r="B5" i="15" s="1"/>
  <c r="B6" i="15" s="1"/>
  <c r="B4" i="18"/>
  <c r="B5" i="17"/>
  <c r="B16" i="18" l="1"/>
  <c r="B17" i="18"/>
  <c r="B20" i="18"/>
  <c r="B19" i="18"/>
  <c r="F7" i="19"/>
  <c r="J6" i="19"/>
  <c r="B8" i="17" l="1"/>
  <c r="B9" i="17" s="1"/>
  <c r="B10" i="17" s="1"/>
  <c r="B9" i="18" s="1"/>
  <c r="J7" i="19"/>
  <c r="B23" i="18" l="1"/>
  <c r="B21" i="18"/>
  <c r="B22" i="18" s="1"/>
  <c r="B18" i="18"/>
</calcChain>
</file>

<file path=xl/sharedStrings.xml><?xml version="1.0" encoding="utf-8"?>
<sst xmlns="http://schemas.openxmlformats.org/spreadsheetml/2006/main" count="334" uniqueCount="235">
  <si>
    <t>возвратные отходы, кг</t>
  </si>
  <si>
    <t>1-ая операция</t>
  </si>
  <si>
    <t>2-ая операция</t>
  </si>
  <si>
    <t>3-ая операция</t>
  </si>
  <si>
    <t>4-ая операция</t>
  </si>
  <si>
    <t>5-ая операция</t>
  </si>
  <si>
    <t>Сб</t>
  </si>
  <si>
    <t>объем выпуска продукции,шт</t>
  </si>
  <si>
    <t>длительность расчетного периода,лет</t>
  </si>
  <si>
    <t>данные о материалах</t>
  </si>
  <si>
    <t>Материал М1</t>
  </si>
  <si>
    <t>норма расхода. Кг</t>
  </si>
  <si>
    <t>цена за 1 кг, р</t>
  </si>
  <si>
    <t>цена за кг, р</t>
  </si>
  <si>
    <t>Материал М2</t>
  </si>
  <si>
    <t>комплекующие изделия на сумму, р</t>
  </si>
  <si>
    <t>Технологический процесс изготовления изделия</t>
  </si>
  <si>
    <t>Норма времени в часах(числитель) и разряд работ по операциям(знаминатель)</t>
  </si>
  <si>
    <t>Средний коэффициент выполнения норм</t>
  </si>
  <si>
    <t>Сб - Сборочное</t>
  </si>
  <si>
    <t>Наименование материала</t>
  </si>
  <si>
    <t>Норма расхода</t>
  </si>
  <si>
    <t>Цена единицы</t>
  </si>
  <si>
    <t>Возвратные отходы</t>
  </si>
  <si>
    <t>Общие затраты</t>
  </si>
  <si>
    <t>вес</t>
  </si>
  <si>
    <t>цена ед.</t>
  </si>
  <si>
    <t>сумма</t>
  </si>
  <si>
    <t>Материал 2</t>
  </si>
  <si>
    <t>Ресурс 2 (комплектующие)</t>
  </si>
  <si>
    <t>Итого</t>
  </si>
  <si>
    <t>х</t>
  </si>
  <si>
    <t>Составляющие элемента "материальные затраты"</t>
  </si>
  <si>
    <t>Удельный вес в составе элемента "материальные затраты"</t>
  </si>
  <si>
    <t>Сумма, тыс. р.</t>
  </si>
  <si>
    <t>1. Сырье, материалы, комплектующие изделия, покупные полуфабрикаты</t>
  </si>
  <si>
    <t>Всего материальных затрат</t>
  </si>
  <si>
    <t>3. Топливо, энергия</t>
  </si>
  <si>
    <t>2. Вспомогательные материалы, запчасти для ремонта обслуживания, работы и услуги производственного характера</t>
  </si>
  <si>
    <t xml:space="preserve">Ресурс 1 (сырье, материалы): Материал 1 </t>
  </si>
  <si>
    <t>Элементы затрат</t>
  </si>
  <si>
    <t>На годовой выпуск (при полном освоении)</t>
  </si>
  <si>
    <t>На единицу продукции (при полном освоении)</t>
  </si>
  <si>
    <t>В том числе</t>
  </si>
  <si>
    <t>условно-постоянные</t>
  </si>
  <si>
    <t>условно-переменные</t>
  </si>
  <si>
    <t>Сырье, основные материалы, комплектующие изделия,полуфаб-рикаты</t>
  </si>
  <si>
    <t>Вспомогательные материалы, запчасти для ремонта, работы и услуги производст-венного характера</t>
  </si>
  <si>
    <t>Топливо, энергия, приобретаемые со стороны</t>
  </si>
  <si>
    <t>Наименование оборудования</t>
  </si>
  <si>
    <t>Годовой фонд времени работы оборудования, час (Fэфj)</t>
  </si>
  <si>
    <t>Коэффициент выполнения норм, kвн</t>
  </si>
  <si>
    <t>Количество оборудования</t>
  </si>
  <si>
    <t>расчетное</t>
  </si>
  <si>
    <t>принятое (округленное)</t>
  </si>
  <si>
    <t>1. Токарное</t>
  </si>
  <si>
    <t>2. Фрезерное</t>
  </si>
  <si>
    <t>Итого:</t>
  </si>
  <si>
    <t>3. Сверлильное</t>
  </si>
  <si>
    <t>4. Шлифовальное</t>
  </si>
  <si>
    <t>5. Сборочное</t>
  </si>
  <si>
    <t>Трудоемкость годового выпуска, час (N*tj)</t>
  </si>
  <si>
    <t>Оптовая цена единицы оборудования, тыс. р.</t>
  </si>
  <si>
    <t>Количество оборудования, шт.</t>
  </si>
  <si>
    <t>Балансовая(первоначальная) стоимость оборудования, тыс. р.</t>
  </si>
  <si>
    <t>Элементы основных фондов</t>
  </si>
  <si>
    <t>Удельный вес, процент</t>
  </si>
  <si>
    <t>1. Здания</t>
  </si>
  <si>
    <t>2. Сооружения</t>
  </si>
  <si>
    <t>3. Передаточные устройства</t>
  </si>
  <si>
    <t>4. Машины и оборудование</t>
  </si>
  <si>
    <t>а) силовые машины и оборудование</t>
  </si>
  <si>
    <t>б) рабочие машины и оборудование</t>
  </si>
  <si>
    <t>в) измерительные, регулирующие приборы и оборудование</t>
  </si>
  <si>
    <t>г) вычислительная техника</t>
  </si>
  <si>
    <t>д) прочие машины и оборудование</t>
  </si>
  <si>
    <t>5. Транспортные средства</t>
  </si>
  <si>
    <t>6. Инструмент</t>
  </si>
  <si>
    <t>7. Производственный и хозяйственный инвентраь и принадлежности</t>
  </si>
  <si>
    <t>-</t>
  </si>
  <si>
    <t>Наименование элементов основных средств</t>
  </si>
  <si>
    <t>Первоначальная стоимость, тыс. руб.</t>
  </si>
  <si>
    <t>Годовая норма амортизации,%</t>
  </si>
  <si>
    <t>Годовая сумма амортизационных отчислений, тыс. руб.</t>
  </si>
  <si>
    <t>1. Земельные участки и объекты природопользования</t>
  </si>
  <si>
    <t>2. Здания</t>
  </si>
  <si>
    <t>3. Сооружения</t>
  </si>
  <si>
    <t>4. Передаточные устройства</t>
  </si>
  <si>
    <t>5. Машины и оборудование</t>
  </si>
  <si>
    <t>6. Транспортные средства</t>
  </si>
  <si>
    <t>7. Инструмент</t>
  </si>
  <si>
    <t>8. Производственный и хозяйственный инвентраь и принадлежности</t>
  </si>
  <si>
    <t>Вид работ</t>
  </si>
  <si>
    <t>Трудоемкость единицы продукции</t>
  </si>
  <si>
    <t>Программа выпуска</t>
  </si>
  <si>
    <t>Коэффициент выполнения норм</t>
  </si>
  <si>
    <t>Численность рабочих</t>
  </si>
  <si>
    <t>Категория персонала</t>
  </si>
  <si>
    <t>Численность</t>
  </si>
  <si>
    <t>1. Рабочие, всего</t>
  </si>
  <si>
    <t>в том числе основные рабочие</t>
  </si>
  <si>
    <t>вспомогательные рабочие</t>
  </si>
  <si>
    <t>2. Руководители</t>
  </si>
  <si>
    <t>3. Специалисты</t>
  </si>
  <si>
    <t>4. Служащие</t>
  </si>
  <si>
    <t>5. Прочий персонал</t>
  </si>
  <si>
    <t>Категории персонала</t>
  </si>
  <si>
    <t>Фонды</t>
  </si>
  <si>
    <t>Оптата труда по сдельным расценкам</t>
  </si>
  <si>
    <t>Зарплата по тарифным ставкам и окладам</t>
  </si>
  <si>
    <t>Премии, 25%</t>
  </si>
  <si>
    <t>Всего оплата труда(гр.2+гр.3+гр.4+гр.5)</t>
  </si>
  <si>
    <t>Дополнительная зарплата</t>
  </si>
  <si>
    <t>1. Рабочие: основные производственные вспомогательные</t>
  </si>
  <si>
    <t>5. Прочие</t>
  </si>
  <si>
    <t>Всего</t>
  </si>
  <si>
    <t>Удельный вес, %</t>
  </si>
  <si>
    <t>1. Материальные затраты</t>
  </si>
  <si>
    <t>2. Оплата труда</t>
  </si>
  <si>
    <t>3. Страховые взносы (по установленной законом ставке процента от строки 2)</t>
  </si>
  <si>
    <t>4. Амортизационные отчисления</t>
  </si>
  <si>
    <t>5. Прочие затраты</t>
  </si>
  <si>
    <t>Итого текущие затраты на производтсво</t>
  </si>
  <si>
    <t>Полное использование мощности</t>
  </si>
  <si>
    <t>Всего(Гр.6+Гр.7)</t>
  </si>
  <si>
    <t>1.1 Сырье, материалы, комплектующие изделия, покупные полуфабрикаты;</t>
  </si>
  <si>
    <t>1.2 Вспомогательные материалы;</t>
  </si>
  <si>
    <t>1.3 Топливо, энергия со стороны;</t>
  </si>
  <si>
    <t>2. Оплата труда, всего, в том числе:</t>
  </si>
  <si>
    <t>1. Материальные затраты всего в том числе:</t>
  </si>
  <si>
    <t>2.1 основных рабочих</t>
  </si>
  <si>
    <t>2.3 Руководителей</t>
  </si>
  <si>
    <t>2.4 Служащих</t>
  </si>
  <si>
    <t>2.5 Прочего персонала</t>
  </si>
  <si>
    <t>3. Отчисления на социальные нужды</t>
  </si>
  <si>
    <t>Всего затрат</t>
  </si>
  <si>
    <t>1 Материальные затраты</t>
  </si>
  <si>
    <t>2 Оплата труда</t>
  </si>
  <si>
    <t>3 Отчисления на социальные нужды</t>
  </si>
  <si>
    <t>4 Амортизационные отчисления</t>
  </si>
  <si>
    <t>5 Прочие затраты</t>
  </si>
  <si>
    <t>Всего (гр.6+гр.7)</t>
  </si>
  <si>
    <t>В том чсиле</t>
  </si>
  <si>
    <t>условно- постоянные</t>
  </si>
  <si>
    <t>Показатели</t>
  </si>
  <si>
    <t>Полная мощность</t>
  </si>
  <si>
    <t>1 Выручка от реализации продукции без НДС и акцизов</t>
  </si>
  <si>
    <t>2 Себестоимость реализованной продукции (из таблицы 12)</t>
  </si>
  <si>
    <t>3 Прибыль от реализации (строка 1 - строка 2)</t>
  </si>
  <si>
    <t>4 Налог на прибыль (20% от строки 3)</t>
  </si>
  <si>
    <t>5 Чистая прибыль</t>
  </si>
  <si>
    <t>Наименование состаялиющих в составе запасов</t>
  </si>
  <si>
    <t xml:space="preserve">Годовой расход, тыс. р. </t>
  </si>
  <si>
    <t>Среднесуточный расход, тыс. р\сутки</t>
  </si>
  <si>
    <t>Норма запаса, дни</t>
  </si>
  <si>
    <t>Потребность, тыс. р.</t>
  </si>
  <si>
    <t>1 Основные материалы</t>
  </si>
  <si>
    <t>2 Вспомогательные материалы</t>
  </si>
  <si>
    <t>3 Топливо, энергия со стороны</t>
  </si>
  <si>
    <t>Составляющие оборотных средств</t>
  </si>
  <si>
    <t>1 Производственные запасы</t>
  </si>
  <si>
    <t>2 Незавершенное производство</t>
  </si>
  <si>
    <t>3 Расходы будущих периодов</t>
  </si>
  <si>
    <t>4 Готовая продукция на складах</t>
  </si>
  <si>
    <t>5 Дебиторская задолженность</t>
  </si>
  <si>
    <t>6 Денежные средства</t>
  </si>
  <si>
    <t>Показатели, ед. измерения</t>
  </si>
  <si>
    <t>1 Объем реализации продукции, шт.</t>
  </si>
  <si>
    <t>2 Объем реализации продукции в стоимостном измерении, тыс.р.</t>
  </si>
  <si>
    <t>условно-постоянные расходы;</t>
  </si>
  <si>
    <t xml:space="preserve">3 Себестоимость единицы продукции,р. В том числе:  </t>
  </si>
  <si>
    <t>условно-переменные расходы</t>
  </si>
  <si>
    <t>4 Среднегодовая стоимость основных производственных фондов, тыс.р.</t>
  </si>
  <si>
    <t>5 Среднегодовой остаток оборотных средств, тыс.р.</t>
  </si>
  <si>
    <t>7 Фонд оплаты труда персонала, тыс.р.</t>
  </si>
  <si>
    <t>8 Амотизационные отчисления, тыс.р.</t>
  </si>
  <si>
    <t>9 Стоимость ежегодно потребляемых в производстве сырья, материалов, топлива, энергии, тыс.р.</t>
  </si>
  <si>
    <t>10 Выработка на одгого работающего, рублей на человека в год</t>
  </si>
  <si>
    <t>11 Выработка на одного рабочего - сдельщика, рублей на человека в год</t>
  </si>
  <si>
    <t>12 Фондоотдача основных производственных фондов, руб\руб</t>
  </si>
  <si>
    <t>13 Фондоемкость, руб\руб</t>
  </si>
  <si>
    <t>14 Рентабельность производства, процент</t>
  </si>
  <si>
    <t>15 Рентабельность продукции, процент</t>
  </si>
  <si>
    <t>16 Рентабельность деятельности, процент</t>
  </si>
  <si>
    <t>17 Коэффициент оборачиваемости оборотных средств</t>
  </si>
  <si>
    <t>18 Период оборота оборотных средств, дней</t>
  </si>
  <si>
    <t>19 Срок возврата вложенных средств, месяцев</t>
  </si>
  <si>
    <t>Удельный вес в фонде оплаты труда, %</t>
  </si>
  <si>
    <t>x</t>
  </si>
  <si>
    <t>2.2 вспомогательных</t>
  </si>
  <si>
    <t>Цена предприятия</t>
  </si>
  <si>
    <t>Наименование составляющих в составе запасов</t>
  </si>
  <si>
    <t>Себестоимость реализованной продукции</t>
  </si>
  <si>
    <t>1 Незавершенное производство</t>
  </si>
  <si>
    <t>2 Расходы будущих периодов</t>
  </si>
  <si>
    <t>3 Готовая продукция на складах</t>
  </si>
  <si>
    <t>4 Дебиторская задолженность</t>
  </si>
  <si>
    <t>6 Среднесписочная численность ППП, В том числе: по категориям</t>
  </si>
  <si>
    <t xml:space="preserve"> 8/6</t>
  </si>
  <si>
    <t>Т5</t>
  </si>
  <si>
    <t>Ф5</t>
  </si>
  <si>
    <t>С5</t>
  </si>
  <si>
    <t>Ш5</t>
  </si>
  <si>
    <t xml:space="preserve"> 18/5</t>
  </si>
  <si>
    <t xml:space="preserve"> 10/5</t>
  </si>
  <si>
    <t xml:space="preserve"> 12/4</t>
  </si>
  <si>
    <t xml:space="preserve"> 7/6</t>
  </si>
  <si>
    <t>Т5- Токарное 16 Т 04А</t>
  </si>
  <si>
    <t>Ф5- Фрезерное 6 С 12</t>
  </si>
  <si>
    <t>С5- Сверлильное 2Н150</t>
  </si>
  <si>
    <t>Ш5- Шлифовальное 3 У 132 В</t>
  </si>
  <si>
    <t>Кондратьев Сергей АСМР-19-1</t>
  </si>
  <si>
    <t>объем производства</t>
  </si>
  <si>
    <t>Выручка от реализации</t>
  </si>
  <si>
    <t>Постоянные расходы</t>
  </si>
  <si>
    <t>Переменные расходы</t>
  </si>
  <si>
    <t>Полная себестоимость</t>
  </si>
  <si>
    <t>критический объём производства</t>
  </si>
  <si>
    <t>Категория основных рабочих</t>
  </si>
  <si>
    <t xml:space="preserve">Норма времени на операцию, ч </t>
  </si>
  <si>
    <t>Тарифная ставка первого разряда, руб./час</t>
  </si>
  <si>
    <t xml:space="preserve">Разряд работ </t>
  </si>
  <si>
    <t>Тарифный коэффициент, соответствующий разряду операции</t>
  </si>
  <si>
    <t>1. Токари</t>
  </si>
  <si>
    <t>2. Фрезеровщики</t>
  </si>
  <si>
    <t>3. Сверлильщики</t>
  </si>
  <si>
    <t>4. Шлифовальщики</t>
  </si>
  <si>
    <t>5. Сборщики</t>
  </si>
  <si>
    <t>категории</t>
  </si>
  <si>
    <t xml:space="preserve">з/п, тыс. р. </t>
  </si>
  <si>
    <t>1 Токари</t>
  </si>
  <si>
    <t>2 Фрезеровщики</t>
  </si>
  <si>
    <t>3 Сверлильщики</t>
  </si>
  <si>
    <t>4 Шлифовщики</t>
  </si>
  <si>
    <t>5 Сборщики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</si>
</sst>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49">
    <xf numFmtId="0" fontId="0" fillId="0" borderId="0" xfId="0"/>
    <xf numFmtId="0" fontId="0" fillId="0" borderId="1" xfId="0" applyBorder="1"/>
    <xf numFmtId="0" fontId="0" fillId="0" borderId="1" xfId="0" applyBorder="1" applyAlignment="1"/>
    <xf numFmtId="0" fontId="0" fillId="0" borderId="1" xfId="0" applyBorder="1" applyAlignment="1">
      <alignment wrapText="1"/>
    </xf>
    <xf numFmtId="164" fontId="0" fillId="0" borderId="1" xfId="0" applyNumberFormat="1" applyBorder="1"/>
    <xf numFmtId="0" fontId="0" fillId="0" borderId="1" xfId="0" quotePrefix="1" applyNumberFormat="1" applyBorder="1"/>
    <xf numFmtId="0" fontId="0" fillId="0" borderId="1" xfId="0" applyNumberFormat="1" applyBorder="1"/>
    <xf numFmtId="0" fontId="0" fillId="0" borderId="1" xfId="0" applyFill="1" applyBorder="1" applyAlignment="1">
      <alignment wrapText="1"/>
    </xf>
    <xf numFmtId="0" fontId="0" fillId="0" borderId="2" xfId="0" applyFill="1" applyBorder="1"/>
    <xf numFmtId="0" fontId="0" fillId="0" borderId="0" xfId="0" applyBorder="1"/>
    <xf numFmtId="0" fontId="0" fillId="0" borderId="1" xfId="0" applyFill="1" applyBorder="1"/>
    <xf numFmtId="1" fontId="0" fillId="0" borderId="1" xfId="0" applyNumberFormat="1" applyBorder="1"/>
    <xf numFmtId="1" fontId="0" fillId="0" borderId="0" xfId="0" applyNumberFormat="1"/>
    <xf numFmtId="0" fontId="0" fillId="0" borderId="1" xfId="0" applyFont="1" applyBorder="1"/>
    <xf numFmtId="0" fontId="0" fillId="0" borderId="0" xfId="0" quotePrefix="1" applyNumberFormat="1" applyFill="1" applyBorder="1"/>
    <xf numFmtId="2" fontId="4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" fontId="3" fillId="0" borderId="1" xfId="0" applyNumberFormat="1" applyFont="1" applyBorder="1" applyAlignment="1">
      <alignment horizontal="left" vertical="center" wrapText="1"/>
    </xf>
    <xf numFmtId="2" fontId="3" fillId="0" borderId="1" xfId="0" applyNumberFormat="1" applyFont="1" applyBorder="1" applyAlignment="1">
      <alignment horizontal="left" vertical="center" wrapText="1"/>
    </xf>
    <xf numFmtId="2" fontId="0" fillId="0" borderId="1" xfId="0" applyNumberFormat="1" applyBorder="1"/>
    <xf numFmtId="16" fontId="0" fillId="0" borderId="1" xfId="0" quotePrefix="1" applyNumberFormat="1" applyBorder="1"/>
    <xf numFmtId="2" fontId="4" fillId="0" borderId="1" xfId="0" applyNumberFormat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2" fillId="0" borderId="0" xfId="1"/>
    <xf numFmtId="3" fontId="5" fillId="0" borderId="1" xfId="1" applyNumberFormat="1" applyFont="1" applyBorder="1" applyAlignment="1">
      <alignment horizontal="center" vertical="center"/>
    </xf>
    <xf numFmtId="4" fontId="5" fillId="0" borderId="1" xfId="1" applyNumberFormat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 wrapText="1"/>
    </xf>
    <xf numFmtId="2" fontId="5" fillId="0" borderId="1" xfId="1" applyNumberFormat="1" applyFont="1" applyBorder="1" applyAlignment="1">
      <alignment horizontal="center" vertical="center"/>
    </xf>
    <xf numFmtId="0" fontId="5" fillId="0" borderId="0" xfId="1" applyFont="1"/>
    <xf numFmtId="0" fontId="7" fillId="0" borderId="0" xfId="1" applyFont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wrapText="1"/>
    </xf>
    <xf numFmtId="2" fontId="4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" fontId="3" fillId="0" borderId="3" xfId="0" applyNumberFormat="1" applyFont="1" applyBorder="1" applyAlignment="1">
      <alignment horizontal="left" vertical="center" wrapText="1"/>
    </xf>
    <xf numFmtId="1" fontId="3" fillId="0" borderId="5" xfId="0" applyNumberFormat="1" applyFont="1" applyBorder="1" applyAlignment="1">
      <alignment horizontal="left" vertical="center" wrapText="1"/>
    </xf>
    <xf numFmtId="1" fontId="3" fillId="0" borderId="4" xfId="0" applyNumberFormat="1" applyFont="1" applyBorder="1" applyAlignment="1">
      <alignment horizontal="left" vertical="center" wrapText="1"/>
    </xf>
    <xf numFmtId="2" fontId="3" fillId="0" borderId="1" xfId="0" applyNumberFormat="1" applyFont="1" applyBorder="1" applyAlignment="1">
      <alignment horizontal="left" vertical="center" wrapText="1"/>
    </xf>
    <xf numFmtId="1" fontId="3" fillId="0" borderId="1" xfId="0" applyNumberFormat="1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center" wrapText="1"/>
    </xf>
    <xf numFmtId="0" fontId="1" fillId="0" borderId="6" xfId="0" applyFont="1" applyBorder="1" applyAlignment="1">
      <alignment wrapText="1"/>
    </xf>
    <xf numFmtId="2" fontId="1" fillId="0" borderId="6" xfId="0" applyNumberFormat="1" applyFont="1" applyBorder="1" applyAlignment="1">
      <alignment horizontal="center" wrapText="1"/>
    </xf>
    <xf numFmtId="0" fontId="1" fillId="0" borderId="6" xfId="0" applyFont="1" applyBorder="1" applyAlignment="1">
      <alignment vertical="center" wrapText="1"/>
    </xf>
    <xf numFmtId="0" fontId="1" fillId="0" borderId="1" xfId="0" applyFont="1" applyBorder="1"/>
    <xf numFmtId="0" fontId="1" fillId="0" borderId="1" xfId="0" applyFont="1" applyBorder="1" applyAlignment="1">
      <alignment horizontal="left" vertical="top" wrapText="1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График!$A$2</c:f>
              <c:strCache>
                <c:ptCount val="1"/>
                <c:pt idx="0">
                  <c:v>Выручка от реализации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График!$B$1:$AB$1</c:f>
              <c:numCache>
                <c:formatCode>General</c:formatCode>
                <c:ptCount val="27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</c:numCache>
            </c:numRef>
          </c:cat>
          <c:val>
            <c:numRef>
              <c:f>График!$B$2:$AB$2</c:f>
              <c:numCache>
                <c:formatCode>#,##0</c:formatCode>
                <c:ptCount val="27"/>
                <c:pt idx="0" formatCode="General">
                  <c:v>0</c:v>
                </c:pt>
                <c:pt idx="1">
                  <c:v>7860.2530239093967</c:v>
                </c:pt>
                <c:pt idx="2">
                  <c:v>15720.506047818793</c:v>
                </c:pt>
                <c:pt idx="3">
                  <c:v>23580.759071728189</c:v>
                </c:pt>
                <c:pt idx="4">
                  <c:v>31441.012095637587</c:v>
                </c:pt>
                <c:pt idx="5">
                  <c:v>39301.265119546981</c:v>
                </c:pt>
                <c:pt idx="6">
                  <c:v>47161.518143456378</c:v>
                </c:pt>
                <c:pt idx="7">
                  <c:v>55021.771167365776</c:v>
                </c:pt>
                <c:pt idx="8">
                  <c:v>62882.024191275174</c:v>
                </c:pt>
                <c:pt idx="9">
                  <c:v>70742.277215184571</c:v>
                </c:pt>
                <c:pt idx="10">
                  <c:v>78602.530239093961</c:v>
                </c:pt>
                <c:pt idx="11">
                  <c:v>86462.783263003366</c:v>
                </c:pt>
                <c:pt idx="12">
                  <c:v>94323.036286912757</c:v>
                </c:pt>
                <c:pt idx="13">
                  <c:v>102183.28931082216</c:v>
                </c:pt>
                <c:pt idx="14">
                  <c:v>110043.54233473155</c:v>
                </c:pt>
                <c:pt idx="15">
                  <c:v>117903.79535864094</c:v>
                </c:pt>
                <c:pt idx="16">
                  <c:v>125764.04838255035</c:v>
                </c:pt>
                <c:pt idx="17">
                  <c:v>133624.30140645974</c:v>
                </c:pt>
                <c:pt idx="18">
                  <c:v>141484.55443036914</c:v>
                </c:pt>
                <c:pt idx="19">
                  <c:v>149344.80745427855</c:v>
                </c:pt>
                <c:pt idx="20">
                  <c:v>157205.06047818792</c:v>
                </c:pt>
                <c:pt idx="21">
                  <c:v>165065.31350209733</c:v>
                </c:pt>
                <c:pt idx="22">
                  <c:v>172925.56652600673</c:v>
                </c:pt>
                <c:pt idx="23">
                  <c:v>180785.81954991611</c:v>
                </c:pt>
                <c:pt idx="24">
                  <c:v>188646.07257382551</c:v>
                </c:pt>
                <c:pt idx="25">
                  <c:v>196506.32559773492</c:v>
                </c:pt>
                <c:pt idx="26">
                  <c:v>204366.57862164432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AC-4856-B48D-B28A585A957C}"/>
            </c:ext>
          </c:extLst>
        </c:ser>
        <c:ser>
          <c:idx val="2"/>
          <c:order val="1"/>
          <c:tx>
            <c:strRef>
              <c:f>График!$A$3</c:f>
              <c:strCache>
                <c:ptCount val="1"/>
                <c:pt idx="0">
                  <c:v>Постоянные расходы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График!$B$1:$AB$1</c:f>
              <c:numCache>
                <c:formatCode>General</c:formatCode>
                <c:ptCount val="27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</c:numCache>
            </c:numRef>
          </c:cat>
          <c:val>
            <c:numRef>
              <c:f>График!$B$3:$AB$3</c:f>
              <c:numCache>
                <c:formatCode>#,##0.00</c:formatCode>
                <c:ptCount val="27"/>
                <c:pt idx="0">
                  <c:v>9519.7660676470587</c:v>
                </c:pt>
                <c:pt idx="1">
                  <c:v>9519.7660676470587</c:v>
                </c:pt>
                <c:pt idx="2">
                  <c:v>9519.7660676470587</c:v>
                </c:pt>
                <c:pt idx="3">
                  <c:v>9519.7660676470587</c:v>
                </c:pt>
                <c:pt idx="4">
                  <c:v>9519.7660676470587</c:v>
                </c:pt>
                <c:pt idx="5">
                  <c:v>9519.7660676470587</c:v>
                </c:pt>
                <c:pt idx="6">
                  <c:v>9519.7660676470587</c:v>
                </c:pt>
                <c:pt idx="7">
                  <c:v>9519.7660676470587</c:v>
                </c:pt>
                <c:pt idx="8">
                  <c:v>9519.7660676470587</c:v>
                </c:pt>
                <c:pt idx="9">
                  <c:v>9519.7660676470587</c:v>
                </c:pt>
                <c:pt idx="10">
                  <c:v>9519.7660676470587</c:v>
                </c:pt>
                <c:pt idx="11">
                  <c:v>9519.7660676470587</c:v>
                </c:pt>
                <c:pt idx="12">
                  <c:v>9519.7660676470587</c:v>
                </c:pt>
                <c:pt idx="13">
                  <c:v>9519.7660676470587</c:v>
                </c:pt>
                <c:pt idx="14">
                  <c:v>9519.7660676470587</c:v>
                </c:pt>
                <c:pt idx="15">
                  <c:v>9519.7660676470587</c:v>
                </c:pt>
                <c:pt idx="16">
                  <c:v>9519.7660676470587</c:v>
                </c:pt>
                <c:pt idx="17">
                  <c:v>9519.7660676470587</c:v>
                </c:pt>
                <c:pt idx="18">
                  <c:v>9519.7660676470587</c:v>
                </c:pt>
                <c:pt idx="19">
                  <c:v>9519.7660676470587</c:v>
                </c:pt>
                <c:pt idx="20">
                  <c:v>9519.7660676470587</c:v>
                </c:pt>
                <c:pt idx="21">
                  <c:v>9519.7660676470587</c:v>
                </c:pt>
                <c:pt idx="22">
                  <c:v>9519.7660676470587</c:v>
                </c:pt>
                <c:pt idx="23">
                  <c:v>9519.7660676470587</c:v>
                </c:pt>
                <c:pt idx="24">
                  <c:v>9519.7660676470587</c:v>
                </c:pt>
                <c:pt idx="25">
                  <c:v>9519.7660676470587</c:v>
                </c:pt>
                <c:pt idx="26">
                  <c:v>9519.7660676470587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AC-4856-B48D-B28A585A957C}"/>
            </c:ext>
          </c:extLst>
        </c:ser>
        <c:ser>
          <c:idx val="3"/>
          <c:order val="2"/>
          <c:tx>
            <c:strRef>
              <c:f>График!$A$4</c:f>
              <c:strCache>
                <c:ptCount val="1"/>
                <c:pt idx="0">
                  <c:v>Переменные расходы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График!$B$1:$AB$1</c:f>
              <c:numCache>
                <c:formatCode>General</c:formatCode>
                <c:ptCount val="27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</c:numCache>
            </c:numRef>
          </c:cat>
          <c:val>
            <c:numRef>
              <c:f>График!$B$4:$AB$4</c:f>
              <c:numCache>
                <c:formatCode>General</c:formatCode>
                <c:ptCount val="27"/>
                <c:pt idx="0">
                  <c:v>0</c:v>
                </c:pt>
                <c:pt idx="1">
                  <c:v>3017.9948357142853</c:v>
                </c:pt>
                <c:pt idx="2">
                  <c:v>6035.9896714285705</c:v>
                </c:pt>
                <c:pt idx="3">
                  <c:v>9053.9845071428554</c:v>
                </c:pt>
                <c:pt idx="4">
                  <c:v>12071.979342857141</c:v>
                </c:pt>
                <c:pt idx="5">
                  <c:v>15089.974178571425</c:v>
                </c:pt>
                <c:pt idx="6">
                  <c:v>18107.969014285711</c:v>
                </c:pt>
                <c:pt idx="7">
                  <c:v>21125.963849999996</c:v>
                </c:pt>
                <c:pt idx="8">
                  <c:v>24143.958685714282</c:v>
                </c:pt>
                <c:pt idx="9">
                  <c:v>27161.953521428568</c:v>
                </c:pt>
                <c:pt idx="10">
                  <c:v>30179.94835714285</c:v>
                </c:pt>
                <c:pt idx="11">
                  <c:v>33197.943192857136</c:v>
                </c:pt>
                <c:pt idx="12">
                  <c:v>36215.938028571421</c:v>
                </c:pt>
                <c:pt idx="13">
                  <c:v>39233.932864285707</c:v>
                </c:pt>
                <c:pt idx="14">
                  <c:v>42251.927699999993</c:v>
                </c:pt>
                <c:pt idx="15">
                  <c:v>45269.922535714279</c:v>
                </c:pt>
                <c:pt idx="16">
                  <c:v>48287.917371428564</c:v>
                </c:pt>
                <c:pt idx="17">
                  <c:v>51305.91220714285</c:v>
                </c:pt>
                <c:pt idx="18">
                  <c:v>54323.907042857136</c:v>
                </c:pt>
                <c:pt idx="19">
                  <c:v>57341.901878571422</c:v>
                </c:pt>
                <c:pt idx="20">
                  <c:v>60359.8967142857</c:v>
                </c:pt>
                <c:pt idx="21">
                  <c:v>63377.891549999986</c:v>
                </c:pt>
                <c:pt idx="22">
                  <c:v>66395.886385714271</c:v>
                </c:pt>
                <c:pt idx="23">
                  <c:v>69413.881221428557</c:v>
                </c:pt>
                <c:pt idx="24">
                  <c:v>72431.876057142843</c:v>
                </c:pt>
                <c:pt idx="25">
                  <c:v>75449.870892857129</c:v>
                </c:pt>
                <c:pt idx="26">
                  <c:v>78467.865728571414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AC-4856-B48D-B28A585A957C}"/>
            </c:ext>
          </c:extLst>
        </c:ser>
        <c:ser>
          <c:idx val="4"/>
          <c:order val="3"/>
          <c:tx>
            <c:strRef>
              <c:f>График!$A$5</c:f>
              <c:strCache>
                <c:ptCount val="1"/>
                <c:pt idx="0">
                  <c:v>Полная себестоимость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График!$B$1:$AB$1</c:f>
              <c:numCache>
                <c:formatCode>General</c:formatCode>
                <c:ptCount val="27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</c:numCache>
            </c:numRef>
          </c:cat>
          <c:val>
            <c:numRef>
              <c:f>График!$B$5:$AB$5</c:f>
              <c:numCache>
                <c:formatCode>#,##0.00</c:formatCode>
                <c:ptCount val="27"/>
                <c:pt idx="0">
                  <c:v>9519.7660676470587</c:v>
                </c:pt>
                <c:pt idx="1">
                  <c:v>12537.760903361344</c:v>
                </c:pt>
                <c:pt idx="2">
                  <c:v>15555.75573907563</c:v>
                </c:pt>
                <c:pt idx="3">
                  <c:v>18573.750574789912</c:v>
                </c:pt>
                <c:pt idx="4">
                  <c:v>21591.745410504198</c:v>
                </c:pt>
                <c:pt idx="5">
                  <c:v>24609.740246218484</c:v>
                </c:pt>
                <c:pt idx="6">
                  <c:v>27627.735081932769</c:v>
                </c:pt>
                <c:pt idx="7">
                  <c:v>30645.729917647055</c:v>
                </c:pt>
                <c:pt idx="8">
                  <c:v>33663.724753361341</c:v>
                </c:pt>
                <c:pt idx="9">
                  <c:v>36681.719589075627</c:v>
                </c:pt>
                <c:pt idx="10">
                  <c:v>39699.714424789912</c:v>
                </c:pt>
                <c:pt idx="11">
                  <c:v>42717.709260504198</c:v>
                </c:pt>
                <c:pt idx="12">
                  <c:v>45735.704096218484</c:v>
                </c:pt>
                <c:pt idx="13">
                  <c:v>48753.698931932769</c:v>
                </c:pt>
                <c:pt idx="14">
                  <c:v>51771.693767647055</c:v>
                </c:pt>
                <c:pt idx="15">
                  <c:v>54789.688603361341</c:v>
                </c:pt>
                <c:pt idx="16">
                  <c:v>57807.683439075627</c:v>
                </c:pt>
                <c:pt idx="17">
                  <c:v>60825.678274789912</c:v>
                </c:pt>
                <c:pt idx="18">
                  <c:v>63843.673110504198</c:v>
                </c:pt>
                <c:pt idx="19">
                  <c:v>66861.667946218484</c:v>
                </c:pt>
                <c:pt idx="20">
                  <c:v>69879.662781932755</c:v>
                </c:pt>
                <c:pt idx="21">
                  <c:v>72897.657617647041</c:v>
                </c:pt>
                <c:pt idx="22">
                  <c:v>75915.652453361326</c:v>
                </c:pt>
                <c:pt idx="23">
                  <c:v>78933.647289075612</c:v>
                </c:pt>
                <c:pt idx="24">
                  <c:v>81951.642124789898</c:v>
                </c:pt>
                <c:pt idx="25">
                  <c:v>84969.636960504184</c:v>
                </c:pt>
                <c:pt idx="26">
                  <c:v>87987.631796218469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AC-4856-B48D-B28A585A957C}"/>
            </c:ext>
          </c:extLst>
        </c:ser>
        <c:ser>
          <c:idx val="5"/>
          <c:order val="4"/>
          <c:tx>
            <c:strRef>
              <c:f>График!$A$6</c:f>
              <c:strCache>
                <c:ptCount val="1"/>
                <c:pt idx="0">
                  <c:v>критический объём производства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График!$B$1:$AB$1</c:f>
              <c:numCache>
                <c:formatCode>General</c:formatCode>
                <c:ptCount val="27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</c:numCache>
            </c:numRef>
          </c:cat>
          <c:val>
            <c:numRef>
              <c:f>График!$B$6:$AB$6</c:f>
              <c:numCache>
                <c:formatCode>General</c:formatCode>
                <c:ptCount val="27"/>
                <c:pt idx="0" formatCode="0.00">
                  <c:v>90.932769499263799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AC-4856-B48D-B28A585A9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3088"/>
        <c:axId val="83114624"/>
      </c:lineChart>
      <c:catAx>
        <c:axId val="8311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114624"/>
        <c:crosses val="autoZero"/>
        <c:auto val="1"/>
        <c:lblAlgn val="ctr"/>
        <c:lblOffset val="100"/>
        <c:tickMarkSkip val="1"/>
        <c:noMultiLvlLbl val="0"/>
      </c:catAx>
      <c:valAx>
        <c:axId val="8311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11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304800</xdr:rowOff>
    </xdr:to>
    <xdr:sp macro="" textlink="">
      <xdr:nvSpPr>
        <xdr:cNvPr id="2" name="AutoShape 1" descr="data:image/png;base64,iVBORw0KGgoAAAANSUhEUgAAAeAAAAEgCAYAAABsPKAhAAAgAElEQVR4Xu2dbWxdV7nnH7/EzlvbJE7r0pa2NDEtCR2oSKIAhg6ixF8GwstMo2RQFaHOjOR88ZiRAHEjk4mYGTRDZF2UcAdxuVY+2IQZpqQFjZLLiKGkndIYSm+hNLhWKaVp08Z2aUvj2I4zerb7OOtsn33Ofjn7nL3P+W3J8jl7r9ffetb6r2ftdfZueu655y7PzMwIBwQgAAEIQAACVSPwTNOZM2cuv/vd765ajmQEAQhAAAIQaHQCf/jDHwQBbnQroP4QgAAEIFB1Aghw1ZGTIQQgAAEIQEAEAcYKIAABCEAAAjUggADXADpZQgACEIAABBBgbAACEIAABCBQAwIIcA2gkyUEIAABCEAAAcYGIAABCEAAAjUgEEmA9+zZs1jEAwcOSFdXlwwNDcnJkycXz+/YsUP27t3rfd+3b59MTU15n3t7e6W7u3tJFYPCRD1fA3ZkCQEIQAACEIhNILQAq9Bu3LjRE1H9PD4+LgcPHvQ+62GiayXR85OTk9Lf3y+nTp2SkZEROXz4cEFBg8JEPR+79kSEAAQgAAEI1IhAaAF2y6eCeuLEiZICrB7s7t27F71e/d7X1+d5zXYEhRkcHCwaN+i8m2aNOJItBCAAAQhAIBKBWAJ86NAhWbdunef1+pegbanZL7j79++Xnp6egmXooDDqLbtibXGDzhdb2o5EgcAQgAAEIACBKhOILMBBy8la7uPHj3v3g3WpGQGuckuSHQQgAAEI5IpAJAEeGxuTgYEBGR4eDqykbtTS61lcgp6YmBD944AABCAAAQhUgkBHR4foX5wjtACb+Nru52KZqQc8Ojrq3RvWZWo9Sm3CCgoT9XycihMHAhCAAAQgUEsCoQVY78Pqzmf3UDE+evRowXnXOy72syV/ZYPCRD1fS4jkDQEIQAACEIhKILQAR02Y8BCAAAQgAAEIBBNAgLEOCEAAAhCAQA0IIMA1gE6WEIAABCAAAQQYG4AABCAAAQjUgAACXAPoZAkBCEAAAhBAgLEBCEAAAhCAQA0IIMA1gE6WEIAABCAAAQQYG4AABCAAAQjUgAACXAPoZAkBCEAAAhBAgLEBCEAAAhCAQA0IIMA1gE6WEIAABCAAAQQYG4AABCAAAQjUgAACXAPoZAkBCEAAAhBAgLEBCEAAAhCAQA0IIMA1gE6WEIAABCAAAQQYG4AABCAAAQjUgAACXAPoZAkBCEAAAhBAgLEBCEAAAhCAQA0IIMA1gE6WEIAABCCQXQKXZ96S2d//X5l5+v/I3EtnZPkH93h/lT4Q4EoTJT0IQAACEMgdAVd0Z8cekctzM4t1aF5zg6zp/3HF64QAVxwpCUIAAhCAQB4IlBJdt/wrPt4rK+6+v+JVQoArjpQEIQABCEAgqwTCim7rLe+Xtk33SNvmj0vz1Z2pVAcBTgUriUIAAhCAQFYIZEl0XSaRBHjPnis3oQ8cOCBdXV1eWvv27ZOpqSnvc29vr3R3d5c87xYgatyg8FlpaMoBAQhAAAK1J5BV0Y0lwENDQ7Jx40ZPXPXz+Pi4HDx40Ps8OTkp/f39curUKRkZGZHDhw8Hnnczjxo3KHztm5oSQAACEIBArQnkQXRjCbAbSYX2xIkTngCrR7p79+4Cr7evr08GBweLnjev2TznKHHDpFlrAyB/CEAAAhCoHoG8iW5iAT506JCsW7dO9u7d6wmwCq4J6/79+6Wnp8fzhIudt+VpE+AoccOkWb1mJycIQAACEKgFgTyLbiIBdpeZ44goAlwLcyVPCEAAAvkmUC+iG1uAx8bGZGBgQIaHhxfTyNMS9MTEhOgfBwQgAAEIZJ9A09y0tL8wKm1/+qW0nf2NyKXZooWeve52mbl5u1y8eZvMr+yoasU6OjpE/+IcoXdBm/i6u581Q12O1sO/CSvovFvIqHHDpBkHAnEgAAEIQCAbBOrR0w0iG1qA9d6u7nx2DxPjoJ8nBZ1304gaN0ya2TAjSgEBCEAAAmEINJLoujxCC3AYiISBAAQgAAEIhCHQqKKLAIexDsJAAAIQgEBFCSC6hTjxgCtqXiQGAQhAAAIuAUQ32B4QYPoKBCAAAQhUlACiGw4nAhyOE6EgAAEIQKAEAUQ3unkgwNGZEQMCEIAABEQE0U1mBghwMn7EhgAEINBQBBDdyjU3Alw5lqQEAQhAoC4JILrpNCsCnA5XUoUABCCQawKIbvrNhwCnz5gcIAABCOSCAKJb3WZCgKvLm9wgAAEIZIoAolu75kCAa8eenCEAAQjUhACiWxPsSzJFgLPRDpQCAhCAQOoEZscelYu//pHMnnlYLs/NFM2v9Zb3S9ume6Rt88el+erO1MvUyBkgwI3c+tQdAhCoewLzb07IzBMPyvTpH8r8a2cR3Qy1OAKcocagKBCAAAQqRcC83Znf/0xk/tKSZPF0K0U6fjoIcHx2xIQABCCQKQLlvN2mlWuk/a5PSfsHPi0t62/NVNkbsTAIcCO2OnWGAATqikA5b3fZu7ZI+5bPybL3fEyaWtvqqu55rgwCnOfWo+wQgEDDEsDbzX/TI8D5b0NqAAEINAgB9+dDM2ceLnpvF283P8aAAOenrSgpBCDQgATC/GaXe7v5NAwEOJ/tRqkhAIE6JhBGdLX6eLv5NgIEON/tR+khAIE6IRBWdPn5UJ00uIggwPXTltQEAhDIGQFEN2cNVuHiRhLgsbExGRgYkB07dsjevXu9ogwNDcnJkycXi+Ve27dvn0xNTXnXent7pbu7e0nxg8JEPV9hLiQHAQhAIBUCiG4qWHOZaGgBPnXqlIyMjMjWrVu9iroC7H43CirMk5OT0t/fLxb38OHDBZCCwkQ9n0vyFBoCEGgYAohuwzR1pIqGFmBXWMMIsHqwu3fvXvR69XtfX590dXUtFjAozODgYNG4QefdNCPVnsAQgAAEUiKA6KYEto6SrYgAu0vQttTsF9z9+/dLT09PwTJ0UBj1tF2xtrhB54stbddRG1EVCEAgJwQQ3Zw0VEaKmViA3XocP37cux+sS80IcEZamGJAAAKpEkB0U8Vb14lXVICV1J49e2R4eNgT4KwtQU9MTIj+cUAAAhBIQqBpblraXxiVtj/9UtrO/kbk0mzR5Gavu11mbt4uF2/eJvMrO5JkSdyMEujo6BD9i3NUVIDVAx4dHZWDBw/KoUOHvPKU2oQVFCbq+TgVJw4EIACBKATwdKPQImwYAqEFWMX12LFjBWmqp6v3Z8fHxxfP6zk71Bu248CBAwUbsMqFCYobJs0wFScMBCAAgXIEEN1yhLiehEBoAU6SCXEhAAEI5IUAopuXlsp/ORHg/LchNYAABBISQHQTAiR6LAIIcCxsRIIABPJOANHNewvmv/wIcP7bkBpAAAIhCSC6IUERrCoEEOCqYCYTCECgVgQQ3VqRJ99yBBDgcoS4DgEI5I4Aopu7JmvIAiPADdnsVBoC9UcA0a2/Nq33GiHA9d7C1A8CdUwA0a3jxm2AqiHADdDIVBEC9UQA0a2n1mzsuiDAjd3+1B4CuSCA6OaimShkRAIIcERgBIcABKpDANGtDmdyEZmZm5ez56fl5clp7/+5qYuL3/Xav/jg9fKv/vmNFUeFAFccKQlCAAJxCSC6cckRrxyByTdmFsR18qK8eP6CnJ1Y+Kzn9Fqp45pVy+R//sdt5bKIfB0BjoyMCBCAQCUJILqVpNm4aZXyYlVk9Xqco6W5Sfbcc5Pc13NznOgl4yDAFUdKghCAQDkCiG45QlwvRiCJF1uKaFtrs9ywfrlcv265979zbXvBd72exoEAp0GVNCEAgSUEEF2MwgiokM7OXpZX/3JRLs1f9paC9f+rr12U2bnL3pLw9MVL8pe/zsmb03Py5oU5mXp9NrYXq/muu6ptQVzXtcsNHcvlxvUrFj6vX+5dq8WBANeCOnlCoEEIILoN0tBONdNaCi5HslZebLlylbqOACehR1wIQABPtwFtIK2l4HIos+jFliszApyEEHEhAIFQBGbHHpWLv/6RzJ55WC7PFd9V2nrL+6Vt0z3Stvnj0nx1Z6h0CVR9Aml6satXtMqqFS2iO4tXtLXIuquXybLWZrl2Tbs0N4l3H1Y3Pq1f0ybq1aroLm9v9sLX24EHXG8tSn0gUEUC829OyMwTD8r06R/K/Gtni+aM6FaxQSJklZYXm8el4AjYKhoUAa4oThKDQGMQMG935vc/E5m/tKTSiG7t7SBNL7beloJr1VoIcK3Iky8EckagnLfbtHKNtN/1KWn/wKelZf2tOatdPouLF5vPdrNSI8D5bj9KD4HUCZTzdpe9a4u0b/mcLHvPx6SptTY/50gdQo0ywIutEfgqZYsAVwk02UAgTwTwdqvXWnix1WOdtZwiCfDY2JgMDAzIjh07ZO/evYt12bdvn0xNTXnfe3t7pbu72/scdN6FEDVumDSzBpnyQCAPBNzf7M6cebjovV283egtiRcbnVmjxAgtwKdOnZKRkRHZunWrx8YEeGhoSCYnJ6W/v18szOHDhyXovAs2atwwaTZKw1FPCFSCQJgHZXBvtzxpvNjyjAixlEBoAbaoKoKuAKtHunv37gKvt6+vTwYHB4ue7+rqKvCco8QNkyaNDAEIlCYQRnQ1hUb0dnlEIr2nmgQqIsAquCas+/fvl56eHs9bLnbelqdtiTpK3DBpVhMeeUEgLwTCim49/3wozaXgUnbA72Lz0kuqX04EuPrMyRECVSHQiKKb1lJwuQbjd7HlCHG9GIGKCHCUZeRaLkFPTEyI/nFAoF4JNM1NS/sLo9L2p19K29nfiFyaLVrV2etul5mbt8vFm7fJ/MqO3OCYvXRZzr8+L+dfn/P+T7xxqeC7Xo97rGxvluVtIquXN0t7a5Ncs6pZWluaZO3qFmmSy9JxVYv3iMQ1q5tF3053zcoWaVu2EJ6jcQl0dHSI/sU5EgvwoUOHvHz9m7CCzruFjBo3TJpxIBAHAnkmUG+eblpeLEvBebby+ix7aAE+fvy4HDt2rIDC8PCw933Pnj2L5w8cOLB4PzjovJtI1Lhh0qzPpqJWELhCIM+im+a9WJaC6SV5IhBagPNUKcoKgXokkCfRxYutRwukTpUmgABXmijpQaCCBLIqunixFWxkkmpYAghwwzY9Fc8qgayILl5sVi2EctULAQS4XlqSeuSaQJqiy8Mlcm0aFL6OCSDAddy4VC3bBCohumkuBZeix47ibNsWpcsHAQQ4H+1EKeuEQBzRfa1prZw9Py3nJi/Ki+cvyNmJhc96Tr3btA52FKdFlnQhsEAAAcYSIJAygXKiOyut8vL8dTJx7Qfk/Nqtcn7Fu+Sl15vl5clpT2TVy417rF7RKqtWtMg1q5bJirYWWXf1MlnW2izXrmmX5iaR69ct9x4usX5Nm6hXq6K7vL3ZC88BAQikSwABTpcvqTcoAb/oTs22y8uXr5VX5zvk5fn1cu7tz+ea3yFTcytiU2IpODY6IkKg5gQQ4Jo3AQWoBwLqpb740mvy4j+Nygtj43Luldfk5bkOeeXyWs+7VS837sFScFxyxINAtgkgwNluH0qXIQJFf5YzcUFePPeGTF1oil1SvNjY6IgIgVwTQIBz3XwUvpIE0txRjBdbyZYiLQjUBwEEuD7akVqEJJDWwyWWyZxc3/yKdK68JDe84xq54bbb5MabrvU2Od2wfrm3wYkDAhDIKIH5aZELz4pM/3Hh/8Xnr3zXa+/4dyLv/A8VLzwCXHGkJFgNArV4uMSapjfk+qZX5drmCelselWubz7vfb7xnZ3S+c8+LG2bPy7NV3dWo/rkAQEIRCUw83KhyE6PXxFcvVbqWLZe5EOvRs2xbHgEuCwiAlSbQJpLwaXq4t2L7WiT65a9KZ2zf5R1f/mddMpLcl3TlOfdqpdrR+st75e2TfcgutU2DvKDQBCBUl6serV6Pc7R1Cpy81dFbv1anNgl4yDAFUdKgmEIpLUUXC7vYvdir7vqslw3+StZ9dxPZXbsEbk8V/zhFohuObpch0DKBJJ4saWK1rxcZMVGkeW3Lvxvv6Xwu15P4UCAU4BKkuI9PEIfImEPkzg3tfDkpqw8XKLcwzHwdLFiCNSAQFperFal7fororp8Q6HA6rUaHAhwDaDXS5ZpebFp/SwH0a0Xy6MeuSZQZ15skrZAgJPQq/O4aXqx1fpZDqJb50ZK9bJHoMG82CQNgAAnoVcHcfPmxYZBjuiGoUQYCCQggBebAN6VqAhwRTBmN5F68GLD0EV0w1AiDAR8BFRI1WO9+GeRy3MLP8vR/973iyJ6/dKbIrPnReZeW/izOHFhZvBebNyqJI2HACclmIH49ejFhsGK6IahRJiGJZDmUnApqDXaUZzHdkaAM9RqtXi4RLXuxVYKM6JbKZKkUxcE0loKLgcHL7YcoVDXEeBQmJIHSnMpuFTp0tpRnJxItBRmxx6Vi7/+kcyeeZjf6UZDR+g8E0jTi21dI6J/+pSnltULP9NR77X9JhFpWfhNrD6EQr/reb2u4TQ8R0UIJBbg48ePy7FjxxYLs2XLFunv7/e+79+/X8bHx73Pu3btkp07dy4pdFCYqOcrQiNhImktBZcrVt682HL1sevzb07IzBMPyvTpH8r8a2eLRuPhGGFpEi6zBNLyYlkKzmyTW8EqIsAqsia6lrAK8+joqBw8eFDGxsZkYGBAhoeHC4AEhYl6vlqU0/RiV69olVUrWuSaVctkRVuLrLt6mSxrbZZr17RLc5N4D/VvaW6S9WvavAf7q+gub2/2wtfbYd7uzO9/JjJ/aUn1EN16a/E6r0+aXixLwbk2ntQEWD1Y9YbN69XvPT090t3dvQgsKMyJEyeKxg0676aZtDXS8mLrZSk4Kd+g+OW83aaVa6T9rk9J+wc+LS3rb02rGKQLgXgE8GLjcWvwWBURYHcJ2paa/YJ76NAh2bBhQ8EydFAY9Zxdsba4QeeLLW1Hbdd/ePB38j9OTcnspfgvVl+5bF6uap+V1e1zclXbrFzdPrfwuX1W9BoHBCCQTwItTbNyVes5WdXyqvd/5dv/7btej3tMz6+RN+Y65a+XrpU3Zq+78nmuU/QaR20JtLe3y+bNm+WOO+6oeEESC7BbolOnTsmRI0e8pea8CfC//JuH5S8XWkoCbmm67InpVe2Xiv7X6xwQgEA+CSxvfq1AZK9a9sqi4Oq1uMely8sKRPUtFVoT3LlO0esc2SbQ2toq9957b8ULWVEB1tLt27dP+vr65OjRo5lbgp6YmBD9K3b86JFX5Oe/vyz63nS82IrbGQlCoGoEVCzVI13ZMinNTfOeiDbJJe97S/Oc6PXWpmlpb35D2prf8v4sTtxC4sXGJZePeNdff73cdJPuDl96dHR0iP7FOSoqwOoBj4yMyOHDh2VoaMjbAV1qE1ZQmKjn41ScOOkTCPObXe7tpt8OdZVDmhuaSoFiR3FdmVFWKpNYgPX+rN6btePAgQPS1dXlfVVveGpqyvvc29tbsAHLwgeFiXo+K0AbvRxhRFcZLXvXFmnf8jlZ9p6PSVNrW6Njo/4ugbQ2NJWjzI7icoS4XmECiQW4wuUhuRwSCCu6/Hwoh42bRpHT9GJ5uEQaLUaaKRFAgFMCW+/JIrr13sIJ65eWF8tScMKGIXqWCCDAWWqNjJcF0c14A1WzeGl6sSwFV7MlyauGBBDgGsLPQ9aIbh5aKaUy4sWmBJZkIbBAAAHGEpYQQHQbxCjwYhukoalmVgkgwFltmSqXC9GtMvBqZYcXWy3S5AOByAQQ4MjI6icCopujtlQhVY/14p9FLs+JTP9x4b/3/aKIXr/0psjseZG51xb+LE7canIvNi454kEgFAEEOBSm+gmE6GawLdNcCi5VXXYUZ9AYKFIjEUCAG6C1Ed0MNHJaS8HlqoYXW44Q1yFQMwIIcM3Qp5sxopsu3yWpp+nF8nCJKjcm2UGgOgQQ4OpwrkouiG7KmNPyYlkKTrnhSB4C2SSAAGezXUKXCtENjap8wDS9WJaCy/MnBAQajAACnMMGR3QTNBpebAJ4RIUABCpJAAGuJM0U00J0Q8LFiw0JimAQgECtCSDAtW6BEvkjugFw8GIzbLUUDQIQCEsAAQ5LqkrhGkp0ebhElayKbCAAgSwSQIAz0Cp1KbppLgWXajN2FGfAoikCBCAQhgACHIZSCmHqQnTTWgoux5sdxeUIcR0CEMgBAQS4io2UO9FN04vl4RJVtDyyggAEskgAAU65VTIvuml5sSwFp2xZJA8BCOSdAAKcQgtmSnTT9GJZCk7BekgSAhBoFAIIcIVauqaiixdboVYkGQhAAALVI4AAJ2BdNdHFi03QSkSFAAQgkE0CuRPg/fv3y/j4uEdz165dsnPnzqqSTU108WKr2o5kBgEIQKDWBHIlwMePH5fR0VE5ePCgjI2NycDAgAwPD6fOsCKiixebejuRAQQgAIE8EciVAKv3u2XLlkWvV7/39PRId3d3xZnHEt3ll0UuPCsy/ce3/49f+awebtyDHcVxyREPAhCAQGYJ5E6AXcE9dOiQbNiwoWLL0Ca6s888KHPP/1KaWv8qTU0izctnRJouS3P7jDS1XJaWdVdL8zVrpXllqzTJWyJzr4nYYxXjNjU7iuOSIx4EIACBXBJAgN9utrnH9knLX/+7NLVeSqch8WLT4UqqEIAABHJKIHcCnGQJemJiQvSv2HHb+AekdeWbiZpxrnm9zLbeIrMtN8psy81XPrfeInqNAwIQgAAE6otAR0eH6F+cI1cCPDQ05O2ArvYmrDhgiQMBCEAAAhAoRSBXAqwV2bdvn0xNTXl16u3tTWUDFiYDAQhAAAIQSJtA7gQ4bSCkDwEIQAACEKgGAQS4GpTJAwIQgAAEIOAjgABjEhCAAAQgAIEaEECAawCdLCEAAQhAAAIIMDYAAQhAAAIQqAEBBLgG0Mmy/gk88cQT8uSTTxZU9IYbbpAdO3aUrTxxRWBV3EywjezbRtkO7gRoeAHGoLNv0Hlro5MnT8r3v/992bp1q6xYsWKxu9lbvPR37EEHcRfIwGqphWAb2beNKOKrYRtagDHo7Bt0HttIXxLykY98pKi3+8UvflE+//nPy1133VW0rxL3ChZYFZoItpF920CAIxDAoLNv0Hlso69//evy3ve+t+hLQvRBMrt37w58gAxxr9gkrAoHM2wj+7YRQX68oA3tAWPQ2TfoPLaRLpl/61vf8kR43bp1i5Cfeuop7/M3v/nNwH5K3AU0sFpqIthG9m0DAY5AAIPOvkHnsY2U6quvviqPPvro4mNT9VzYjUXEhVXQMIZtZN82IkhQY3vADJQLpoIwFO8ySQa7vG0cUwKUOXxfgBWsoghtUNiGXoJOCpBOSCcsZkN53DhGmRdakt3XSy0a2whvG1E1BQGOSuzt8BhleKNsNFZ53DhGma8MBOy+LhwUsY3wthFVThDgqMTeDo9RhjfKRmOVx41jlPmKPbP7unBQxDbC20ZUOUGAoxJ7OzxGGd4oG41VHjeOUeYFe2b39dIBEdsIbxtR5QQBjkrs7fAYZXijbDRWSibJBi7iht9bACtYBQ3htbKNKJKCAEeh5QtbqwYm3+wPOkk26AWZpN5L1ydoXXvttZGt9vjx47Jp0ybp6uoKFVdt7MyZM17Y7u7uUHHcQN/+9rdl+/btgU/8CkpwbGxMzp07J6tWrSobV8PqYXUaGRmRixcvSnt7u9xzzz0lOSkPPXbu3Bm5bhrh1KlTBWws7/e9732hyv30008v/kRt7dq18qEPfShUu2JX2barqMaEAEclFiI8A2UhpEYbKJNsOitlXnovvaenJ1AQbaVhenpali9fLp/4xCe8p27pUS6ulVnDfuELX5Dvfe97cuONN8rk5KRs2LBB+vv7A4s2NDS0uHvYAr344ouiwrJy5Uq57777AoXfFWorQ9h83VsbWgZdPr7zzju9Mmv+pR54ojzeeustTwQ/+tGPyoc//OHQkxMVWxVg5aKHPu9b89SHrpw+fdpjV2oSpWXdvHnzYnh9Zvhvf/tb79GlpSYE2JV47ZpluwohDwVBEOCoxEKELzfYMVDW90CZZNOZCtLZs2eLWpkOPiqOQR6pCtJtt93mia5Oen7wgx944qDiWc4mLa56jl/72te8F0ns3bvXK4duSrr//vsDPTuNq8fdd9+9WO4HHnhAtmzZIu985zvl9ttvD/Tu3HK5gqoe+Je+9CX5yle+EiiMblx//XQn82c+85lAVha+s7NTfvrTn3rCqYKqdSjn8bvta8JvYl+Os15XLia0tuN69erVMjg46LEPWuHArkSyblch5AEBjgqpWHgGyoVnHTNQLrWOJJvO1MtRMXDFzHLQwaeUqGi+KpzuKw/VW3vppZc8T6+U9+wO7n4RKScqagM/+clPPA/UylcujtWplIiWS0PFTyclX/3qV+XQoUOegJpNqpCVmjT407bbOspfj76+vkDhdznrZ11xsDdclRN+fxu54cvVF7vqLjuRrLVdRdUWPOCoxN4Oz0B5ZSm03MDRaANlkk1nal460N57771LBKAcZ7XJEydOyJe//OUCL0r567Xe3t5A786Nq4/QtPvFVpdvfOMbZe9Rqtd99OhRb4lQhbHUZMEdKO3hF3rOLaPW97Of/Wyg562i+Z3vfKdgxUCXgcMsm5diqcvL6hkH3S+3pWCtpy6Xq/CPjo569dal5HJL0PaqygsXLnjhja2uNJQSfuwq+3YVVU4Q4KjEnPAMlAubcxgolxpRko1yCUzSe5zkTTfdtEQsVVRKLQVrnsXi6jldHg27eUvTUYH6xS9+UVI8w9RR03G9+aA4tnHLrofZwBV1U5o/b8vTlquV77PPPhvqXrJtpNLNYrocbWz1fNBrKi1/7CrbdhXGrt0wCHBUYhUKz0ApoXa65nWgrJCZkAwEIFDHBBDgOm5cqgYBCEAAAtklgABnt20oGQQgAAEI1DEBBLiOG5eqZY9Akt+IEzd8ezYaq7BpFCEAABU8SURBVCS3aogb3q6SsCqWCwIcnj0hIZCYQLmdzKUyIG54/PXIKsnzA4gb/qE0SViFt9CFkAhwVGKEh0AZAkl+I07cK3DLPXik0VhV4kErSR7SQtzyD7SJOjgiwFGJER4CZQgk+Y04ca/ALffgkUZjleRBK8QVCftQmiSsog6OCHBUYoSHQAgCcX8jrkkTdwFwmGXkRmJVqQetuI+6jPqQFuKWfqBNiKGhIAgCHJUY4SEAAQjUiEClnx+g1Yj7kBbiJjcCBDg5Q1KAAAQgAAEIRCaAAEdGRgQIQAACEIBAcgIIcHKGpAABCEAAAhCITAABjoyMCBCAAAQgAIHkBBDg5AxJAQIQgAAEIBCZAAIcGRkRIAABCEAAAskJIMDJGZICBCAAAQhAIDIBBDgyMiJAAAIQgAAEkhNAgJMzJAUIQAACEIBAZAIIcGRkRIAABCAAAQgkJ4AAJ2dIChCAAAQgAIHIBBDgyMiIAAEIQAACEEhOAAFOzpAUIAABCEAAApEJIMCRkREBAhCAAAQgkJwAApycISlAAAIQgAAEIhNAgH3I9uzZU3BmeHg4MlQiQKCRCIyNjcnAwMCSKu/atUt27tzZSCioKwQiEUCAiwiwie6hQ4dk3bp1snfv3khQCQyBRiKgAjw4OCiHDx9erLb2nQ0bNiDAjWQI1DUyAQS4jADbIFJsQDl+/LiMj49Lf3+/mFifPHnSS3HHjh2ecO/bt092794t3d3d3nn1sNUzsHh2TkX/1KlTcuLECTl48GDBZ017dHTUi7927dqCgc6Kr2U5duxYQZj9+/d7+djhjzs0NORdsjJv2bLFq4sebnp2Xst35MiRxfR6e3sX61Usf5ePRlIWymXTpk0FHpN5Sm55lbtycPnoZyuzsnU/Wzgrk3K2iZSGUw6WXuReQoSSBMoJsN9DPnDggHR1dXlpqk1MTU15n7dv3y6PPfZYQV5mG+7KlLWxP13Xjnp6ejzbdMvmt0e1Nwvn2osVwL3u2r5rmxZWrz/++OOenWl93L7mlt3GBY3n9mvtYzrZn5yc9PqgllX7vI0Fbr9zV+XUtq3/aprGVrn29fUtcrb8mBRlqzMjwL72CFqCDiPA2vG0w9jAoB3FFQkTWO1s5QTY7fxuEYuVw83POpr+NzEt1hlNzE6fPr0o6Fp37cB6HD16dFGwNM9t27Ytiq1edycLlpYOOiqu5g25A54NFP5lSf+gWGzw84uphvELsA1mfgE2NsUGzWx1xfyWppwAu5NQbW8VDPWW1SZMcNzaFxNK7TO6nG1CqH1L+4idd/uZ23cqJcBaB/PwNS+1dXd53cplAuiWza2b2bKGHxkZWTKZNlZ6zQTU+qVOWvyTSXc8cPs5ApyP/pRJAZ556oS89b//m8y/OZE6xaaVa2TF3ffL8g8u3Pt1B3t3sHBnqxpOBwC/B+zOLm0Q6OzsXBQk6ywa32a3bp7uLNsVKr/nWU7E/OJYSoBNzNwZsn42b9oawPXozWNxRa1YfY2PircOKBreGLkzd5vRu1605hvkzfoFWAdDWyHwezRa961btzaEB/z888/Lr371K5menk6937S3t8vmzZvljjvuKPAyLWOzdXdCZtesjwVNMv0C7PdOzZ51khgkwMVWfvz25bcxK5+t+Fj59Lzrgep3d7Wo2ITUPzaYfdrY4V+9sbytjNbf/H3ZP9lxGfoF2N9PuS2QereInEEmBfgvf/tZuXT+j5ErEzdCU9tKWfs3p5YIsCuOrvHazF3FxF2CLibAugxmncSd8bpLb9Yp3c7meg3u53KeeLHBII4Aux66cXU9lmIirx5CMY9D09LZ/EMPPbTkvqC71ObO9IOWB4stQatHZR6RK8A6iOmxcePGxaX9uDaSh3g//vGP5fXXX69aUVtbW+Xee++tmQCrR1hseTepB2z9TW8HqT3pYbeGguD6+4N/8mnes00mygmwe9vHzdsvwO7kJMgDNm9c+yFL0FXrHqEyyqQAT/+/Ybnwj38rl+dmQlUiUaDmFln+wX8tK3v6lgiw3wN2vTcNrJ6XK8DFlqA1nC0baXhbFnbL7C5LWWdzZ9D+jqXCUmz5K2jzWNQl6HPnznkzfv8OcL/42X1VV0T9AqyetHnsQZMHWw1wBxP9HMYDVvG1cH7RNg/dPzgmspcMR37mmWfkySeflEuXLqVeyqamJs/7veuuu0oKsNqp25aurag96OHvE0F7B2wJ2iay/lscmpbemqiEAOuEUT1sFWBdxdJd3u69az/goCXojo6Ogn0d1q/csaXYWGCTAH/e7iS4GCdbtnb7vPHQe9QIcOpdI1IGmRTgSDWocGD/PWDrdMU2QvmXmbQottTkLhPbfcign2UUE2D3vq5/g5NfgE3kbTOG/35nKQHWe3BWZneDiH9zhyuGNvnQTSM6QOmgYpz8AuwutZsA66DkLulZXDdPnazY5jV/m2j+5t269xD9AmzpNooAV7grhE6u3D1g/y0Ud2Lntq31D7+wBG3i8t8bTSrAVmHrB649+Zev/X3ZbEztUSfi/tsztiTubs5yNx2qx6uH/erCFeigDY7+20RWfuXrrrCZN80SdGiTrlpABLhCqMsZd7FdlhXKOnYyQctgsROsUkQdkHSQ4+dhVQJONmUJVHuSF9QH3M1iZQtNgJoTQIAr1ASlBDhot2eFso6dDAIcGx0RIVBAAAHGIOIQQIDjUCMOBCAAAQhAICEBBDghQKJDAAIQgAAE4hBAgONQIw4EIAABCEAgIQEEOCFAokMAAhCAAATiEECA41AjDgQgAAEIQCAhAQQ4IUCiQwACEIAABOIQQIDjUCMOBCAAAQhAICEBBDghQKJDAAIQgAAE4hBAgONQIw4EIAABCEAgIQEEOCFAokMAAhCAAATiEECA41AjDgQgAAEIQCAhAQQ4IUCiQwACEIAABOIQQIB91IJefcebd+KYF3EagYD/dYFW56DXb+aBifsKRfcVgnkoO2XMDwEEuIgAu+8rzesbg/JjgpQ07wTKvQ84b/XTV/2577HOW/kpb34IIMARBdh90bW98F1fRagv0j558qSXmvtie71mL7w3j8A8BjecpqtpHDx40EvDfTm9hfO/8sx9BaLG7+vrk66uLnHDFZtA+NNxXwze29sr3d3dBVT0ur5g3Opn9XDLqBFs4lLsBeoDAwNivLSsu3fv9vJx83Z5aHruaoS9VNz/snYNV0wA8tMF81/ScgJczB7UTvUIetm8vsC+v7/fC6M20tPT49mLaxP+/qPviNbDbMUl63q0rq266Zn9an7q9fr7rcYr1p+tjFpmPe6880556qmnChrW+oybn/U1v01r/9C67dy5czE/K5vxcvtpsTQ1c3es2r59uzz22GNLyqR1NLb5t8T81QABjiDA2vm2bdvmDQQ6qBw9etQTTD2vnV8/22CjHcb/0mx7WbYJ4OTkpBw+fHgxLfuu1x9//PGCAei+++6Tc+fOyYkTJxZFuhICrCKqg412duu0Wib3sAFJB0Qt28jIiFdu93CFXsPrIGhp2kCrnV3P2+Dqf0+yDiQ2sLiDujtAIcDZG2TKCbA74dL204mc2Y/Z36ZNm2RwcNA7729jV4Dd2qu9aD9z7SjovbxuGSwNTVf7lU1arc9pWJ1wqr2H6c9BHnOxeli/sAmBjRNun1A+JthaRptUmCDrWGPpuH3NTTPoHeRh2WbPyuqzRNkU4Fe+LzL+70VmXk6f+rL1Ijd/VeSmPi8v69SWsSss7ozSrmsHcoXQZsM6q9QObbNoC68Co4de046kA8AjjzziieCxY8cWBxTzNi2edsiOjg45cuRI0Zm1v2w6gOiEwO+lqhfqCrnrgVrC5qm6A5U7SzZvW6+rZ2uHeSR+hnbdyuh6Gm66Lkd3IPULsHJyeXZ2di4O3ukbTHZz+NkT5+Xvjj8nk2/MpF7Ia1Ytkz333CSf/egNRVcgrC1dYbVCufZh4uq2oesVu+2sE1/XA9VrYQQ4aIXEv9/D7vW6q0mah31/6KGHivZn7cva39wJp8bzi52/X1i6Tz/9tDcp1cm9Tm41LUvPBNYEWuNs3brVw6L7UoLSVOegmGdbTIDNczeeqRsPGSwSyKYAn36PyFvPVK+ZWlaLdL/h5VdOgG2Z1y1cKQEO6pgqvtrh9f/p06e9mb91SBVk62BuPkmXoG2mrh3TPOkg78LN1x/Gyqmd3Gbi7kSlnACbwPvTdTm66QV5wOaNa5uY91Q9o8leTl/4xq/lhVcuVK1gK9pb5MH/tD2RANuqUNCKh1bG7EQ/u6svfiE3IbHJp4EoJcDufg93ouj2c1eAi/Vnf/+3dKIKsJZf81Wht3yMjy1L27hhglwJATahDvKaq2ZQDZhRNgX4z4Miz31FZH46/SZpal3wfm/7r2UF2O6F+ndEBy1Bq0FrR7H7ulYZ/7Kb3fu1gWZiYqJgmc7iVUKAbaZtAqxl18PutxUDHrQE7Qqoy8a9h+XWWT/bvTVbunfz1sHEvU9sg2ApAdZ66CoCAizyvx4+K3//k+dlZm4+9X7T0tzkeb//9pO3lhRg9QrdWwvucq37OawAm926y61u3KAlaLcMrtDavVb/hFMFUPu5e8ulVH8u1s9L3dt10zWP35ad/beWdHKu5zQP3Tuhh3Fw+5qbZlC/LrUEzYbT1LvNkgyyKcDV57CYYykPWAO5y1Y20zZjL7Zpw7/Ea0vWdi/ZvYfjdjz/Upt/6VjLEvYesLucrfn7Byl3+brYTy78m1LsPq3/pxq6NGaDlrtUfv/998t3v/vdxU1a7qDh5m0DULGlfq2vDpa2VG8Nplz0QIBr12nK3QMutgHKztmEK4wA+zftma3674O6+yRcb9S9daH9wL85zN285fZz95ZMsf6sebg2a7di/GIXtBnNfw/ZXb63fSauuLqsSm1wc+tgfavUEjQ/t6p+H0KAK8A8aAmqAklnIokwy9SVLKgtu7lp+je0VTI/0oIABCBQCwIIcAWoI8AVgOgkgQBXliepQQAC2SSAAGezXSgVBCAAAQjUOQEEuM4bmOpBAAIQgEA2CSDA2WwXSgUBCEAAAnVOAAGu8wamehCAAAQgkE0CCHA224VSQQACEIBAnRNAgOu8gakeBCAAAQhkkwACnM12oVQQgAAEIFDnBBDgOm9gqgcBCEAAAtkkgABns10oFQQgAAEI1DkBBLjOG5jqQQACEIBANgkgwNlsF0oFAQhAAAJ1TgABrvMGpnoQgAAEIJBNAghwNtsl9VK5rySs95dJpA6TDCAAAQjEIIAAx4BWL1Hs3aZx3wPqvgPV3hFcio2G1xeK6/ta9d2r+rJ2DghAAAKNSgABbtSWT1hvfdm3+6LyhMkRHQIQgEDDEUCAnSYfGxuTwcFBOXz4sLifh4aGvFAnT570/qv31t/fL+4yrp5Xj3LDhg0yOTkpo6OjBcakYmVp6wVd9tXjk5/8ZMF5TaOnp0e6u7u99I8cOeKF03QPHjzofdaX0x87dsz7bN6repd9fX3S1dUl9vnpp5+W8fFxr6x66PkdO3Z4nqcbXtPTumm9/Yfr5e7atcuLq+E1Xaujla2cR23XNQ/zmK2OlrZeU3E3xm553Pguk6D2CWJlLIyXW39tF6uXsXXbQeMqw71793pFc8vknlf7GRgYWCy+e81lun37dnnssccKsCsLLYMytmN4eNj7qGzscNNc0nCcgAAEMk8AAXaayBVd976oDvCnT59eFCjz/s6dO+ctp6owmij6B2cTUzdtG9BVZEoJsPtiei2DCoIKYDHvs5jomlCqAGt8FVkTOleANb1iy9DKYN26dZ7YmKDoROKRRx7x0jJRUBGyJWW3nq71u+U3AVTB1zKa4ClHm9RoGJtwWDr+yYmxD2ofjaciaOW0SY/yCFN/C+O2s9bv6NGjXtk0X51s2QRHOboTC7d8Whbl6I9jdXPbyoTdbEfLvW3bNm9S5h6an9Ut8yMNBYQABJYQyKQAP/Hnn8sD//R38sb0VOpNtqrtavnEHbvl7o2fWRQZzdQVUvOwzOsxce7o6PAE+L777vMGeo1jA61/EHWFSQdODauDtwqwKxImMhrfvF+DoCKnA7EN7C4c86r8nrJ6URpnZGTE86L1z/WAVUz0nDvBsHRdkXLr8+yzzxbU0+Xj9/zMk/V7r5qAirl66VNTU4v5G9tiHnkpAXa5Wxp6zl0BcFcsrG7F6m9eptmA3wO2SYxbHs3LnbT5Jz9WPn+cUgJsHrA7OXI9dI2LAKc+RJABBFIjkEkB/s//+G/klTdeSK3S/oTbW1fIf/nUAwXLzq5XV06ANT31VvzC5A62JsAmgq44+AdV9aL0KCa0/mVvv1iqd2pemYmADuS63PrQQw8VCPDWrVsXJwHu8nhSAXbTMm9dhc48Ope/ecYqwio0JrzFvLtKC3CY+uumMX9bWNlKCbB/BSWOABsvs7+NGzd6Eym7VYAHXLUhgowgkAqBTArwz599QH78u3+QuUszqVTaTbS5qcXzfj915/0FAuwKXaklaPVSzVPyC7VfgNXTNY/Qv+RoZbI4nZ2dnmfs3+jkLgXr/d5iYmkDsy2Lm8fmioJ6gHr473e7bOyetrsErR6X/56x7W7WJVL/ErQJsIq/HrZca/nY8qp+Ny/dv0TsZ2P3x8stQevSsbaPuwRtS+ph6m/1ChJgd0lbw7i3BlxxdO3CH8fqVmoJ2hVgq7N55XjAqQ8RZACB1AhkUoBTq22ZhIPEw7xKu1fpLk26HkkYAbYBs5wAq8i4m6206Cakdj9XzxXbhGXeu17XMtu9VL8Aq3dXTDRdTO6mH/enRq7XHmfzkZVby6pL+LZ5zMpUbKm2lAfsbnzz3z6wzXPu8nzQpMFdKnc327m3A9wNY8U2qbnMXJYWz73u39hmExS3HO4SdND5WvUZ8oUABOITQIBDsPMLa4goBKkigay1j7t5zjD4N6FVEQ9ZQQACGSWAAIdomKwN8CGK3FBBstY+CHBDmR+VhUBsAghwbHREhAAEIAABCMQngADHZ0dMCEAAAhCAQGwCCHBsdESEAAQgAAEIxCeAAMdnR0wIQAACEIBAbAIIcGx0RIQABCAAAQjEJ4AAx2dHTAhAAAIQgEBsAghwbHREhAAEIAABCMQngADHZ0dMCEAAAhCAQGwCCHBsdESEAAQgAAEIxCeAAMdnR0wIQAACEIBAbAIIcGx0RIQABCAAAQjEJ4AAx2dHTAhAAAIQgEBsAghwbHREhAAEIAABCMQnYAL8kohcHz8ZYkIAAhCAAAQgEJHAy/8f/sAl4UAhEBwAAAAASUVORK5CYII=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304800</xdr:rowOff>
    </xdr:to>
    <xdr:sp macro="" textlink="">
      <xdr:nvSpPr>
        <xdr:cNvPr id="3" name="AutoShape 2" descr="data:image/png;base64,iVBORw0KGgoAAAANSUhEUgAAAeAAAAEgCAYAAABsPKAhAAAgAElEQVR4Xu2dbWxdV7nnH7/EzlvbJE7r0pa2NDEtCR2oSKIAhg6ixF8GwstMo2RQFaHOjOR88ZiRAHEjk4mYGTRDZF2UcAdxuVY+2IQZpqQFjZLLiKGkndIYSm+hNLhWKaVp08Z2aUvj2I4zerb7OOtsn33Ofjn7nL3P+W3J8jl7r9ffetb6r2ftdfZueu655y7PzMwIBwQgAAEIQAACVSPwTNOZM2cuv/vd765ajmQEAQhAAAIQaHQCf/jDHwQBbnQroP4QgAAEIFB1Aghw1ZGTIQQgAAEIQEAEAcYKIAABCEAAAjUggADXADpZQgACEIAABBBgbAACEIAABCBQAwIIcA2gkyUEIAABCEAAAcYGIAABCEAAAjUgEEmA9+zZs1jEAwcOSFdXlwwNDcnJkycXz+/YsUP27t3rfd+3b59MTU15n3t7e6W7u3tJFYPCRD1fA3ZkCQEIQAACEIhNILQAq9Bu3LjRE1H9PD4+LgcPHvQ+62GiayXR85OTk9Lf3y+nTp2SkZEROXz4cEFBg8JEPR+79kSEAAQgAAEI1IhAaAF2y6eCeuLEiZICrB7s7t27F71e/d7X1+d5zXYEhRkcHCwaN+i8m2aNOJItBCAAAQhAIBKBWAJ86NAhWbdunef1+pegbanZL7j79++Xnp6egmXooDDqLbtibXGDzhdb2o5EgcAQgAAEIACBKhOILMBBy8la7uPHj3v3g3WpGQGuckuSHQQgAAEI5IpAJAEeGxuTgYEBGR4eDqykbtTS61lcgp6YmBD944AABCAAAQhUgkBHR4foX5wjtACb+Nru52KZqQc8Ojrq3RvWZWo9Sm3CCgoT9XycihMHAhCAAAQgUEsCoQVY78Pqzmf3UDE+evRowXnXOy72syV/ZYPCRD1fS4jkDQEIQAACEIhKILQAR02Y8BCAAAQgAAEIBBNAgLEOCEAAAhCAQA0IIMA1gE6WEIAABCAAAQQYG4AABCAAAQjUgAACXAPoZAkBCEAAAhBAgLEBCEAAAhCAQA0IIMA1gE6WEIAABCAAAQQYG4AABCAAAQjUgAACXAPoZAkBCEAAAhBAgLEBCEAAAhCAQA0IIMA1gE6WEIAABCAAAQQYG4AABCAAAQjUgAACXAPoZAkBCEAAAhBAgLEBCEAAAhCAQA0IIMA1gE6WEIAABCAAAQQYG4AABCAAAQjUgAACXAPoZAkBCEAAAhBAgLEBCEAAAhCAQA0IIMA1gE6WEIAABCCQXQKXZ96S2d//X5l5+v/I3EtnZPkH93h/lT4Q4EoTJT0IQAACEMgdAVd0Z8cekctzM4t1aF5zg6zp/3HF64QAVxwpCUIAAhCAQB4IlBJdt/wrPt4rK+6+v+JVQoArjpQEIQABCEAgqwTCim7rLe+Xtk33SNvmj0vz1Z2pVAcBTgUriUIAAhCAQFYIZEl0XSaRBHjPnis3oQ8cOCBdXV1eWvv27ZOpqSnvc29vr3R3d5c87xYgatyg8FlpaMoBAQhAAAK1J5BV0Y0lwENDQ7Jx40ZPXPXz+Pi4HDx40Ps8OTkp/f39curUKRkZGZHDhw8Hnnczjxo3KHztm5oSQAACEIBArQnkQXRjCbAbSYX2xIkTngCrR7p79+4Cr7evr08GBweLnjev2TznKHHDpFlrAyB/CEAAAhCoHoG8iW5iAT506JCsW7dO9u7d6wmwCq4J6/79+6Wnp8fzhIudt+VpE+AoccOkWb1mJycIQAACEKgFgTyLbiIBdpeZ44goAlwLcyVPCEAAAvkmUC+iG1uAx8bGZGBgQIaHhxfTyNMS9MTEhOgfBwQgAAEIZJ9A09y0tL8wKm1/+qW0nf2NyKXZooWeve52mbl5u1y8eZvMr+yoasU6OjpE/+IcoXdBm/i6u581Q12O1sO/CSvovFvIqHHDpBkHAnEgAAEIQCAbBOrR0w0iG1qA9d6u7nx2DxPjoJ8nBZ1304gaN0ya2TAjSgEBCEAAAmEINJLoujxCC3AYiISBAAQgAAEIhCHQqKKLAIexDsJAAAIQgEBFCSC6hTjxgCtqXiQGAQhAAAIuAUQ32B4QYPoKBCAAAQhUlACiGw4nAhyOE6EgAAEIQKAEAUQ3unkgwNGZEQMCEIAABEQE0U1mBghwMn7EhgAEINBQBBDdyjU3Alw5lqQEAQhAoC4JILrpNCsCnA5XUoUABCCQawKIbvrNhwCnz5gcIAABCOSCAKJb3WZCgKvLm9wgAAEIZIoAolu75kCAa8eenCEAAQjUhACiWxPsSzJFgLPRDpQCAhCAQOoEZscelYu//pHMnnlYLs/NFM2v9Zb3S9ume6Rt88el+erO1MvUyBkgwI3c+tQdAhCoewLzb07IzBMPyvTpH8r8a2cR3Qy1OAKcocagKBCAAAQqRcC83Znf/0xk/tKSZPF0K0U6fjoIcHx2xIQABCCQKQLlvN2mlWuk/a5PSfsHPi0t62/NVNkbsTAIcCO2OnWGAATqikA5b3fZu7ZI+5bPybL3fEyaWtvqqu55rgwCnOfWo+wQgEDDEsDbzX/TI8D5b0NqAAEINAgB9+dDM2ceLnpvF283P8aAAOenrSgpBCDQgATC/GaXe7v5NAwEOJ/tRqkhAIE6JhBGdLX6eLv5NgIEON/tR+khAIE6IRBWdPn5UJ00uIggwPXTltQEAhDIGQFEN2cNVuHiRhLgsbExGRgYkB07dsjevXu9ogwNDcnJkycXi+Ve27dvn0xNTXnXent7pbu7e0nxg8JEPV9hLiQHAQhAIBUCiG4qWHOZaGgBPnXqlIyMjMjWrVu9iroC7H43CirMk5OT0t/fLxb38OHDBZCCwkQ9n0vyFBoCEGgYAohuwzR1pIqGFmBXWMMIsHqwu3fvXvR69XtfX590dXUtFjAozODgYNG4QefdNCPVnsAQgAAEUiKA6KYEto6SrYgAu0vQttTsF9z9+/dLT09PwTJ0UBj1tF2xtrhB54stbddRG1EVCEAgJwQQ3Zw0VEaKmViA3XocP37cux+sS80IcEZamGJAAAKpEkB0U8Vb14lXVICV1J49e2R4eNgT4KwtQU9MTIj+cUAAAhBIQqBpblraXxiVtj/9UtrO/kbk0mzR5Gavu11mbt4uF2/eJvMrO5JkSdyMEujo6BD9i3NUVIDVAx4dHZWDBw/KoUOHvPKU2oQVFCbq+TgVJw4EIACBKATwdKPQImwYAqEFWMX12LFjBWmqp6v3Z8fHxxfP6zk71Bu248CBAwUbsMqFCYobJs0wFScMBCAAgXIEEN1yhLiehEBoAU6SCXEhAAEI5IUAopuXlsp/ORHg/LchNYAABBISQHQTAiR6LAIIcCxsRIIABPJOANHNewvmv/wIcP7bkBpAAAIhCSC6IUERrCoEEOCqYCYTCECgVgQQ3VqRJ99yBBDgcoS4DgEI5I4Aopu7JmvIAiPADdnsVBoC9UcA0a2/Nq33GiHA9d7C1A8CdUwA0a3jxm2AqiHADdDIVBEC9UQA0a2n1mzsuiDAjd3+1B4CuSCA6OaimShkRAIIcERgBIcABKpDANGtDmdyEZmZm5ez56fl5clp7/+5qYuL3/Xav/jg9fKv/vmNFUeFAFccKQlCAAJxCSC6cckRrxyByTdmFsR18qK8eP6CnJ1Y+Kzn9Fqp45pVy+R//sdt5bKIfB0BjoyMCBCAQCUJILqVpNm4aZXyYlVk9Xqco6W5Sfbcc5Pc13NznOgl4yDAFUdKghCAQDkCiG45QlwvRiCJF1uKaFtrs9ywfrlcv265979zbXvBd72exoEAp0GVNCEAgSUEEF2MwgiokM7OXpZX/3JRLs1f9paC9f+rr12U2bnL3pLw9MVL8pe/zsmb03Py5oU5mXp9NrYXq/muu6ptQVzXtcsNHcvlxvUrFj6vX+5dq8WBANeCOnlCoEEIILoN0tBONdNaCi5HslZebLlylbqOACehR1wIQABPtwFtIK2l4HIos+jFliszApyEEHEhAIFQBGbHHpWLv/6RzJ55WC7PFd9V2nrL+6Vt0z3Stvnj0nx1Z6h0CVR9Aml6satXtMqqFS2iO4tXtLXIuquXybLWZrl2Tbs0N4l3H1Y3Pq1f0ybq1aroLm9v9sLX24EHXG8tSn0gUEUC829OyMwTD8r06R/K/Gtni+aM6FaxQSJklZYXm8el4AjYKhoUAa4oThKDQGMQMG935vc/E5m/tKTSiG7t7SBNL7beloJr1VoIcK3Iky8EckagnLfbtHKNtN/1KWn/wKelZf2tOatdPouLF5vPdrNSI8D5bj9KD4HUCZTzdpe9a4u0b/mcLHvPx6SptTY/50gdQo0ywIutEfgqZYsAVwk02UAgTwTwdqvXWnix1WOdtZwiCfDY2JgMDAzIjh07ZO/evYt12bdvn0xNTXnfe3t7pbu72/scdN6FEDVumDSzBpnyQCAPBNzf7M6cebjovV283egtiRcbnVmjxAgtwKdOnZKRkRHZunWrx8YEeGhoSCYnJ6W/v18szOHDhyXovAs2atwwaTZKw1FPCFSCQJgHZXBvtzxpvNjyjAixlEBoAbaoKoKuAKtHunv37gKvt6+vTwYHB4ue7+rqKvCco8QNkyaNDAEIlCYQRnQ1hUb0dnlEIr2nmgQqIsAquCas+/fvl56eHs9bLnbelqdtiTpK3DBpVhMeeUEgLwTCim49/3wozaXgUnbA72Lz0kuqX04EuPrMyRECVSHQiKKb1lJwuQbjd7HlCHG9GIGKCHCUZeRaLkFPTEyI/nFAoF4JNM1NS/sLo9L2p19K29nfiFyaLVrV2etul5mbt8vFm7fJ/MqO3OCYvXRZzr8+L+dfn/P+T7xxqeC7Xo97rGxvluVtIquXN0t7a5Ncs6pZWluaZO3qFmmSy9JxVYv3iMQ1q5tF3053zcoWaVu2EJ6jcQl0dHSI/sU5EgvwoUOHvHz9m7CCzruFjBo3TJpxIBAHAnkmUG+eblpeLEvBebby+ix7aAE+fvy4HDt2rIDC8PCw933Pnj2L5w8cOLB4PzjovJtI1Lhh0qzPpqJWELhCIM+im+a9WJaC6SV5IhBagPNUKcoKgXokkCfRxYutRwukTpUmgABXmijpQaCCBLIqunixFWxkkmpYAghwwzY9Fc8qgayILl5sVi2EctULAQS4XlqSeuSaQJqiy8Mlcm0aFL6OCSDAddy4VC3bBCohumkuBZeix47ibNsWpcsHAQQ4H+1EKeuEQBzRfa1prZw9Py3nJi/Ki+cvyNmJhc96Tr3btA52FKdFlnQhsEAAAcYSIJAygXKiOyut8vL8dTJx7Qfk/Nqtcn7Fu+Sl15vl5clpT2TVy417rF7RKqtWtMg1q5bJirYWWXf1MlnW2izXrmmX5iaR69ct9x4usX5Nm6hXq6K7vL3ZC88BAQikSwABTpcvqTcoAb/oTs22y8uXr5VX5zvk5fn1cu7tz+ea3yFTcytiU2IpODY6IkKg5gQQ4Jo3AQWoBwLqpb740mvy4j+Nygtj43Luldfk5bkOeeXyWs+7VS837sFScFxyxINAtgkgwNluH0qXIQJFf5YzcUFePPeGTF1oil1SvNjY6IgIgVwTQIBz3XwUvpIE0txRjBdbyZYiLQjUBwEEuD7akVqEJJDWwyWWyZxc3/yKdK68JDe84xq54bbb5MabrvU2Od2wfrm3wYkDAhDIKIH5aZELz4pM/3Hh/8Xnr3zXa+/4dyLv/A8VLzwCXHGkJFgNArV4uMSapjfk+qZX5drmCelselWubz7vfb7xnZ3S+c8+LG2bPy7NV3dWo/rkAQEIRCUw83KhyE6PXxFcvVbqWLZe5EOvRs2xbHgEuCwiAlSbQJpLwaXq4t2L7WiT65a9KZ2zf5R1f/mddMpLcl3TlOfdqpdrR+st75e2TfcgutU2DvKDQBCBUl6serV6Pc7R1Cpy81dFbv1anNgl4yDAFUdKgmEIpLUUXC7vYvdir7vqslw3+StZ9dxPZXbsEbk8V/zhFohuObpch0DKBJJ4saWK1rxcZMVGkeW3Lvxvv6Xwu15P4UCAU4BKkuI9PEIfImEPkzg3tfDkpqw8XKLcwzHwdLFiCNSAQFperFal7fororp8Q6HA6rUaHAhwDaDXS5ZpebFp/SwH0a0Xy6MeuSZQZ15skrZAgJPQq/O4aXqx1fpZDqJb50ZK9bJHoMG82CQNgAAnoVcHcfPmxYZBjuiGoUQYCCQggBebAN6VqAhwRTBmN5F68GLD0EV0w1AiDAR8BFRI1WO9+GeRy3MLP8vR/973iyJ6/dKbIrPnReZeW/izOHFhZvBebNyqJI2HACclmIH49ejFhsGK6IahRJiGJZDmUnApqDXaUZzHdkaAM9RqtXi4RLXuxVYKM6JbKZKkUxcE0loKLgcHL7YcoVDXEeBQmJIHSnMpuFTp0tpRnJxItBRmxx6Vi7/+kcyeeZjf6UZDR+g8E0jTi21dI6J/+pSnltULP9NR77X9JhFpWfhNrD6EQr/reb2u4TQ8R0UIJBbg48ePy7FjxxYLs2XLFunv7/e+79+/X8bHx73Pu3btkp07dy4pdFCYqOcrQiNhImktBZcrVt682HL1sevzb07IzBMPyvTpH8r8a2eLRuPhGGFpEi6zBNLyYlkKzmyTW8EqIsAqsia6lrAK8+joqBw8eFDGxsZkYGBAhoeHC4AEhYl6vlqU0/RiV69olVUrWuSaVctkRVuLrLt6mSxrbZZr17RLc5N4D/VvaW6S9WvavAf7q+gub2/2wtfbYd7uzO9/JjJ/aUn1EN16a/E6r0+aXixLwbk2ntQEWD1Y9YbN69XvPT090t3dvQgsKMyJEyeKxg0676aZtDXS8mLrZSk4Kd+g+OW83aaVa6T9rk9J+wc+LS3rb02rGKQLgXgE8GLjcWvwWBURYHcJ2paa/YJ76NAh2bBhQ8EydFAY9Zxdsba4QeeLLW1Hbdd/ePB38j9OTcnspfgvVl+5bF6uap+V1e1zclXbrFzdPrfwuX1W9BoHBCCQTwItTbNyVes5WdXyqvd/5dv/7btej3tMz6+RN+Y65a+XrpU3Zq+78nmuU/QaR20JtLe3y+bNm+WOO+6oeEESC7BbolOnTsmRI0e8pea8CfC//JuH5S8XWkoCbmm67InpVe2Xiv7X6xwQgEA+CSxvfq1AZK9a9sqi4Oq1uMely8sKRPUtFVoT3LlO0esc2SbQ2toq9957b8ULWVEB1tLt27dP+vr65OjRo5lbgp6YmBD9K3b86JFX5Oe/vyz63nS82IrbGQlCoGoEVCzVI13ZMinNTfOeiDbJJe97S/Oc6PXWpmlpb35D2prf8v4sTtxC4sXGJZePeNdff73cdJPuDl96dHR0iP7FOSoqwOoBj4yMyOHDh2VoaMjbAV1qE1ZQmKjn41ScOOkTCPObXe7tpt8OdZVDmhuaSoFiR3FdmVFWKpNYgPX+rN6btePAgQPS1dXlfVVveGpqyvvc29tbsAHLwgeFiXo+K0AbvRxhRFcZLXvXFmnf8jlZ9p6PSVNrW6Njo/4ugbQ2NJWjzI7icoS4XmECiQW4wuUhuRwSCCu6/Hwoh42bRpHT9GJ5uEQaLUaaKRFAgFMCW+/JIrr13sIJ65eWF8tScMKGIXqWCCDAWWqNjJcF0c14A1WzeGl6sSwFV7MlyauGBBDgGsLPQ9aIbh5aKaUy4sWmBJZkIbBAAAHGEpYQQHQbxCjwYhukoalmVgkgwFltmSqXC9GtMvBqZYcXWy3S5AOByAQQ4MjI6icCopujtlQhVY/14p9FLs+JTP9x4b/3/aKIXr/0psjseZG51xb+LE7canIvNi454kEgFAEEOBSm+gmE6GawLdNcCi5VXXYUZ9AYKFIjEUCAG6C1Ed0MNHJaS8HlqoYXW44Q1yFQMwIIcM3Qp5sxopsu3yWpp+nF8nCJKjcm2UGgOgQQ4OpwrkouiG7KmNPyYlkKTrnhSB4C2SSAAGezXUKXCtENjap8wDS9WJaCy/MnBAQajAACnMMGR3QTNBpebAJ4RIUABCpJAAGuJM0U00J0Q8LFiw0JimAQgECtCSDAtW6BEvkjugFw8GIzbLUUDQIQCEsAAQ5LqkrhGkp0ebhElayKbCAAgSwSQIAz0Cp1KbppLgWXajN2FGfAoikCBCAQhgACHIZSCmHqQnTTWgoux5sdxeUIcR0CEMgBAQS4io2UO9FN04vl4RJVtDyyggAEskgAAU65VTIvuml5sSwFp2xZJA8BCOSdAAKcQgtmSnTT9GJZCk7BekgSAhBoFAIIcIVauqaiixdboVYkGQhAAALVI4AAJ2BdNdHFi03QSkSFAAQgkE0CuRPg/fv3y/j4uEdz165dsnPnzqqSTU108WKr2o5kBgEIQKDWBHIlwMePH5fR0VE5ePCgjI2NycDAgAwPD6fOsCKiixebejuRAQQgAIE8EciVAKv3u2XLlkWvV7/39PRId3d3xZnHEt3ll0UuPCsy/ce3/49f+awebtyDHcVxyREPAhCAQGYJ5E6AXcE9dOiQbNiwoWLL0Ca6s888KHPP/1KaWv8qTU0izctnRJouS3P7jDS1XJaWdVdL8zVrpXllqzTJWyJzr4nYYxXjNjU7iuOSIx4EIACBXBJAgN9utrnH9knLX/+7NLVeSqch8WLT4UqqEIAABHJKIHcCnGQJemJiQvSv2HHb+AekdeWbiZpxrnm9zLbeIrMtN8psy81XPrfeInqNAwIQgAAE6otAR0eH6F+cI1cCPDQ05O2ArvYmrDhgiQMBCEAAAhAoRSBXAqwV2bdvn0xNTXl16u3tTWUDFiYDAQhAAAIQSJtA7gQ4bSCkDwEIQAACEKgGAQS4GpTJAwIQgAAEIOAjgABjEhCAAAQgAIEaEECAawCdLCEAAQhAAAIIMDYAAQhAAAIQqAEBBLgG0Mmy/gk88cQT8uSTTxZU9IYbbpAdO3aUrTxxRWBV3EywjezbRtkO7gRoeAHGoLNv0Hlro5MnT8r3v/992bp1q6xYsWKxu9lbvPR37EEHcRfIwGqphWAb2beNKOKrYRtagDHo7Bt0HttIXxLykY98pKi3+8UvflE+//nPy1133VW0rxL3ChZYFZoItpF920CAIxDAoLNv0Hlso69//evy3ve+t+hLQvRBMrt37w58gAxxr9gkrAoHM2wj+7YRQX68oA3tAWPQ2TfoPLaRLpl/61vf8kR43bp1i5Cfeuop7/M3v/nNwH5K3AU0sFpqIthG9m0DAY5AAIPOvkHnsY2U6quvviqPPvro4mNT9VzYjUXEhVXQMIZtZN82IkhQY3vADJQLpoIwFO8ySQa7vG0cUwKUOXxfgBWsoghtUNiGXoJOCpBOSCcsZkN53DhGmRdakt3XSy0a2whvG1E1BQGOSuzt8BhleKNsNFZ53DhGma8MBOy+LhwUsY3wthFVThDgqMTeDo9RhjfKRmOVx41jlPmKPbP7unBQxDbC20ZUOUGAoxJ7OzxGGd4oG41VHjeOUeYFe2b39dIBEdsIbxtR5QQBjkrs7fAYZXijbDRWSibJBi7iht9bACtYBQ3htbKNKJKCAEeh5QtbqwYm3+wPOkk26AWZpN5L1ydoXXvttZGt9vjx47Jp0ybp6uoKFVdt7MyZM17Y7u7uUHHcQN/+9rdl+/btgU/8CkpwbGxMzp07J6tWrSobV8PqYXUaGRmRixcvSnt7u9xzzz0lOSkPPXbu3Bm5bhrh1KlTBWws7/e9732hyv30008v/kRt7dq18qEPfShUu2JX2barqMaEAEclFiI8A2UhpEYbKJNsOitlXnovvaenJ1AQbaVhenpali9fLp/4xCe8p27pUS6ulVnDfuELX5Dvfe97cuONN8rk5KRs2LBB+vv7A4s2NDS0uHvYAr344ouiwrJy5Uq57777AoXfFWorQ9h83VsbWgZdPr7zzju9Mmv+pR54ojzeeustTwQ/+tGPyoc//OHQkxMVWxVg5aKHPu9b89SHrpw+fdpjV2oSpWXdvHnzYnh9Zvhvf/tb79GlpSYE2JV47ZpluwohDwVBEOCoxEKELzfYMVDW90CZZNOZCtLZs2eLWpkOPiqOQR6pCtJtt93mia5Oen7wgx944qDiWc4mLa56jl/72te8F0ns3bvXK4duSrr//vsDPTuNq8fdd9+9WO4HHnhAtmzZIu985zvl9ttvD/Tu3HK5gqoe+Je+9CX5yle+EiiMblx//XQn82c+85lAVha+s7NTfvrTn3rCqYKqdSjn8bvta8JvYl+Os15XLia0tuN69erVMjg46LEPWuHArkSyblch5AEBjgqpWHgGyoVnHTNQLrWOJJvO1MtRMXDFzHLQwaeUqGi+KpzuKw/VW3vppZc8T6+U9+wO7n4RKScqagM/+clPPA/UylcujtWplIiWS0PFTyclX/3qV+XQoUOegJpNqpCVmjT407bbOspfj76+vkDhdznrZ11xsDdclRN+fxu54cvVF7vqLjuRrLVdRdUWPOCoxN4Oz0B5ZSm03MDRaANlkk1nal460N57771LBKAcZ7XJEydOyJe//OUCL0r567Xe3t5A786Nq4/QtPvFVpdvfOMbZe9Rqtd99OhRb4lQhbHUZMEdKO3hF3rOLaPW97Of/Wyg562i+Z3vfKdgxUCXgcMsm5diqcvL6hkH3S+3pWCtpy6Xq/CPjo569dal5HJL0PaqygsXLnjhja2uNJQSfuwq+3YVVU4Q4KjEnPAMlAubcxgolxpRko1yCUzSe5zkTTfdtEQsVVRKLQVrnsXi6jldHg27eUvTUYH6xS9+UVI8w9RR03G9+aA4tnHLrofZwBV1U5o/b8vTlquV77PPPhvqXrJtpNLNYrocbWz1fNBrKi1/7CrbdhXGrt0wCHBUYhUKz0ApoXa65nWgrJCZkAwEIFDHBBDgOm5cqgYBCEAAAtklgABnt20oGQQgAAEI1DEBBLiOG5eqZY9Akt+IEzd8ezYaq7BpFCEAABU8SURBVCS3aogb3q6SsCqWCwIcnj0hIZCYQLmdzKUyIG54/PXIKsnzA4gb/qE0SViFt9CFkAhwVGKEh0AZAkl+I07cK3DLPXik0VhV4kErSR7SQtzyD7SJOjgiwFGJER4CZQgk+Y04ca/ALffgkUZjleRBK8QVCftQmiSsog6OCHBUYoSHQAgCcX8jrkkTdwFwmGXkRmJVqQetuI+6jPqQFuKWfqBNiKGhIAgCHJUY4SEAAQjUiEClnx+g1Yj7kBbiJjcCBDg5Q1KAAAQgAAEIRCaAAEdGRgQIQAACEIBAcgIIcHKGpAABCEAAAhCITAABjoyMCBCAAAQgAIHkBBDg5AxJAQIQgAAEIBCZAAIcGRkRIAABCEAAAskJIMDJGZICBCAAAQhAIDIBBDgyMiJAAAIQgAAEkhNAgJMzJAUIQAACEIBAZAIIcGRkRIAABCAAAQgkJ4AAJ2dIChCAAAQgAIHIBBDgyMiIAAEIQAACEEhOAAFOzpAUIAABCEAAApEJIMCRkREBAhCAAAQgkJwAApycISlAAAIQgAAEIhNAgH3I9uzZU3BmeHg4MlQiQKCRCIyNjcnAwMCSKu/atUt27tzZSCioKwQiEUCAiwiwie6hQ4dk3bp1snfv3khQCQyBRiKgAjw4OCiHDx9erLb2nQ0bNiDAjWQI1DUyAQS4jADbIFJsQDl+/LiMj49Lf3+/mFifPHnSS3HHjh2ecO/bt092794t3d3d3nn1sNUzsHh2TkX/1KlTcuLECTl48GDBZ017dHTUi7927dqCgc6Kr2U5duxYQZj9+/d7+djhjzs0NORdsjJv2bLFq4sebnp2Xst35MiRxfR6e3sX61Usf5ePRlIWymXTpk0FHpN5Sm55lbtycPnoZyuzsnU/Wzgrk3K2iZSGUw6WXuReQoSSBMoJsN9DPnDggHR1dXlpqk1MTU15n7dv3y6PPfZYQV5mG+7KlLWxP13Xjnp6ejzbdMvmt0e1Nwvn2osVwL3u2r5rmxZWrz/++OOenWl93L7mlt3GBY3n9mvtYzrZn5yc9PqgllX7vI0Fbr9zV+XUtq3/aprGVrn29fUtcrb8mBRlqzMjwL72CFqCDiPA2vG0w9jAoB3FFQkTWO1s5QTY7fxuEYuVw83POpr+NzEt1hlNzE6fPr0o6Fp37cB6HD16dFGwNM9t27Ytiq1edycLlpYOOiqu5g25A54NFP5lSf+gWGzw84uphvELsA1mfgE2NsUGzWx1xfyWppwAu5NQbW8VDPWW1SZMcNzaFxNK7TO6nG1CqH1L+4idd/uZ23cqJcBaB/PwNS+1dXd53cplAuiWza2b2bKGHxkZWTKZNlZ6zQTU+qVOWvyTSXc8cPs5ApyP/pRJAZ556oS89b//m8y/OZE6xaaVa2TF3ffL8g8u3Pt1B3t3sHBnqxpOBwC/B+zOLm0Q6OzsXBQk6ywa32a3bp7uLNsVKr/nWU7E/OJYSoBNzNwZsn42b9oawPXozWNxRa1YfY2PircOKBreGLkzd5vRu1605hvkzfoFWAdDWyHwezRa961btzaEB/z888/Lr371K5menk6937S3t8vmzZvljjvuKPAyLWOzdXdCZtesjwVNMv0C7PdOzZ51khgkwMVWfvz25bcxK5+t+Fj59Lzrgep3d7Wo2ITUPzaYfdrY4V+9sbytjNbf/H3ZP9lxGfoF2N9PuS2QereInEEmBfgvf/tZuXT+j5ErEzdCU9tKWfs3p5YIsCuOrvHazF3FxF2CLibAugxmncSd8bpLb9Yp3c7meg3u53KeeLHBII4Aux66cXU9lmIirx5CMY9D09LZ/EMPPbTkvqC71ObO9IOWB4stQatHZR6RK8A6iOmxcePGxaX9uDaSh3g//vGP5fXXX69aUVtbW+Xee++tmQCrR1hseTepB2z9TW8HqT3pYbeGguD6+4N/8mnes00mygmwe9vHzdsvwO7kJMgDNm9c+yFL0FXrHqEyyqQAT/+/Ybnwj38rl+dmQlUiUaDmFln+wX8tK3v6lgiw3wN2vTcNrJ6XK8DFlqA1nC0baXhbFnbL7C5LWWdzZ9D+jqXCUmz5K2jzWNQl6HPnznkzfv8OcL/42X1VV0T9AqyetHnsQZMHWw1wBxP9HMYDVvG1cH7RNg/dPzgmspcMR37mmWfkySeflEuXLqVeyqamJs/7veuuu0oKsNqp25aurag96OHvE0F7B2wJ2iay/lscmpbemqiEAOuEUT1sFWBdxdJd3u69az/goCXojo6Ogn0d1q/csaXYWGCTAH/e7iS4GCdbtnb7vPHQe9QIcOpdI1IGmRTgSDWocGD/PWDrdMU2QvmXmbQottTkLhPbfcign2UUE2D3vq5/g5NfgE3kbTOG/35nKQHWe3BWZneDiH9zhyuGNvnQTSM6QOmgYpz8AuwutZsA66DkLulZXDdPnazY5jV/m2j+5t269xD9AmzpNooAV7grhE6u3D1g/y0Ud2Lntq31D7+wBG3i8t8bTSrAVmHrB649+Zev/X3ZbEztUSfi/tsztiTubs5yNx2qx6uH/erCFeigDY7+20RWfuXrrrCZN80SdGiTrlpABLhCqMsZd7FdlhXKOnYyQctgsROsUkQdkHSQ4+dhVQJONmUJVHuSF9QH3M1iZQtNgJoTQIAr1ASlBDhot2eFso6dDAIcGx0RIVBAAAHGIOIQQIDjUCMOBCAAAQhAICEBBDghQKJDAAIQgAAE4hBAgONQIw4EIAABCEAgIQEEOCFAokMAAhCAAATiEECA41AjDgQgAAEIQCAhAQQ4IUCiQwACEIAABOIQQIDjUCMOBCAAAQhAICEBBDghQKJDAAIQgAAE4hBAgONQIw4EIAABCEAgIQEEOCFAokMAAhCAAATiEECA41AjDgQgAAEIQCAhAQQ4IUCiQwACEIAABOIQQIB91IJefcebd+KYF3EagYD/dYFW56DXb+aBifsKRfcVgnkoO2XMDwEEuIgAu+8rzesbg/JjgpQ07wTKvQ84b/XTV/2577HOW/kpb34IIMARBdh90bW98F1fRagv0j558qSXmvtie71mL7w3j8A8BjecpqtpHDx40EvDfTm9hfO/8sx9BaLG7+vrk66uLnHDFZtA+NNxXwze29sr3d3dBVT0ur5g3Opn9XDLqBFs4lLsBeoDAwNivLSsu3fv9vJx83Z5aHruaoS9VNz/snYNV0wA8tMF81/ScgJczB7UTvUIetm8vsC+v7/fC6M20tPT49mLaxP+/qPviNbDbMUl63q0rq266Zn9an7q9fr7rcYr1p+tjFpmPe6880556qmnChrW+oybn/U1v01r/9C67dy5czE/K5vxcvtpsTQ1c3es2r59uzz22GNLyqR1NLb5t8T81QABjiDA2vm2bdvmDQQ6qBw9etQTTD2vnV8/22CjHcb/0mx7WbYJ4OTkpBw+fHgxLfuu1x9//PGCAei+++6Tc+fOyYkTJxZFuhICrCKqg412duu0Wib3sAFJB0Qt28jIiFdu93CFXsPrIGhp2kCrnV3P2+Dqf0+yDiQ2sLiDujtAIcDZG2TKCbA74dL204mc2Y/Z36ZNm2RwcNA7729jV4Dd2qu9aD9z7SjovbxuGSwNTVf7lU1arc9pWJ1wqr2H6c9BHnOxeli/sAmBjRNun1A+JthaRptUmCDrWGPpuH3NTTPoHeRh2WbPyuqzRNkU4Fe+LzL+70VmXk6f+rL1Ijd/VeSmPi8v69SWsSss7ozSrmsHcoXQZsM6q9QObbNoC68Co4de046kA8AjjzziieCxY8cWBxTzNi2edsiOjg45cuRI0Zm1v2w6gOiEwO+lqhfqCrnrgVrC5qm6A5U7SzZvW6+rZ2uHeSR+hnbdyuh6Gm66Lkd3IPULsHJyeXZ2di4O3ukbTHZz+NkT5+Xvjj8nk2/MpF7Ia1Ytkz333CSf/egNRVcgrC1dYbVCufZh4uq2oesVu+2sE1/XA9VrYQQ4aIXEv9/D7vW6q0mah31/6KGHivZn7cva39wJp8bzi52/X1i6Tz/9tDcp1cm9Tm41LUvPBNYEWuNs3brVw6L7UoLSVOegmGdbTIDNczeeqRsPGSwSyKYAn36PyFvPVK+ZWlaLdL/h5VdOgG2Z1y1cKQEO6pgqvtrh9f/p06e9mb91SBVk62BuPkmXoG2mrh3TPOkg78LN1x/Gyqmd3Gbi7kSlnACbwPvTdTm66QV5wOaNa5uY91Q9o8leTl/4xq/lhVcuVK1gK9pb5MH/tD2RANuqUNCKh1bG7EQ/u6svfiE3IbHJp4EoJcDufg93ouj2c1eAi/Vnf/+3dKIKsJZf81Wht3yMjy1L27hhglwJATahDvKaq2ZQDZhRNgX4z4Miz31FZH46/SZpal3wfm/7r2UF2O6F+ndEBy1Bq0FrR7H7ulYZ/7Kb3fu1gWZiYqJgmc7iVUKAbaZtAqxl18PutxUDHrQE7Qqoy8a9h+XWWT/bvTVbunfz1sHEvU9sg2ApAdZ66CoCAizyvx4+K3//k+dlZm4+9X7T0tzkeb//9pO3lhRg9QrdWwvucq37OawAm926y61u3KAlaLcMrtDavVb/hFMFUPu5e8ulVH8u1s9L3dt10zWP35ad/beWdHKu5zQP3Tuhh3Fw+5qbZlC/LrUEzYbT1LvNkgyyKcDV57CYYykPWAO5y1Y20zZjL7Zpw7/Ea0vWdi/ZvYfjdjz/Upt/6VjLEvYesLucrfn7Byl3+brYTy78m1LsPq3/pxq6NGaDlrtUfv/998t3v/vdxU1a7qDh5m0DULGlfq2vDpa2VG8Nplz0QIBr12nK3QMutgHKztmEK4wA+zftma3674O6+yRcb9S9daH9wL85zN285fZz95ZMsf6sebg2a7di/GIXtBnNfw/ZXb63fSauuLqsSm1wc+tgfavUEjQ/t6p+H0KAK8A8aAmqAklnIokwy9SVLKgtu7lp+je0VTI/0oIABCBQCwIIcAWoI8AVgOgkgQBXliepQQAC2SSAAGezXSgVBCAAAQjUOQEEuM4bmOpBAAIQgEA2CSDA2WwXSgUBCEAAAnVOAAGu8wamehCAAAQgkE0CCHA224VSQQACEIBAnRNAgOu8gakeBCAAAQhkkwACnM12oVQQgAAEIFDnBBDgOm9gqgcBCEAAAtkkgABns10oFQQgAAEI1DkBBLjOG5jqQQACEIBANgkgwNlsF0oFAQhAAAJ1TgABrvMGpnoQgAAEIJBNAghwNtsl9VK5rySs95dJpA6TDCAAAQjEIIAAx4BWL1Hs3aZx3wPqvgPV3hFcio2G1xeK6/ta9d2r+rJ2DghAAAKNSgABbtSWT1hvfdm3+6LyhMkRHQIQgEDDEUCAnSYfGxuTwcFBOXz4sLifh4aGvFAnT570/qv31t/fL+4yrp5Xj3LDhg0yOTkpo6OjBcakYmVp6wVd9tXjk5/8ZMF5TaOnp0e6u7u99I8cOeKF03QPHjzofdaX0x87dsz7bN6repd9fX3S1dUl9vnpp5+W8fFxr6x66PkdO3Z4nqcbXtPTumm9/Yfr5e7atcuLq+E1Xaujla2cR23XNQ/zmK2OlrZeU3E3xm553Pguk6D2CWJlLIyXW39tF6uXsXXbQeMqw71793pFc8vknlf7GRgYWCy+e81lun37dnnssccKsCsLLYMytmN4eNj7qGzscNNc0nCcgAAEMk8AAXaayBVd976oDvCnT59eFCjz/s6dO+ctp6owmij6B2cTUzdtG9BVZEoJsPtiei2DCoIKYDHvs5jomlCqAGt8FVkTOleANb1iy9DKYN26dZ7YmKDoROKRRx7x0jJRUBGyJWW3nq71u+U3AVTB1zKa4ClHm9RoGJtwWDr+yYmxD2ofjaciaOW0SY/yCFN/C+O2s9bv6NGjXtk0X51s2QRHOboTC7d8Whbl6I9jdXPbyoTdbEfLvW3bNm9S5h6an9Ut8yMNBYQABJYQyKQAP/Hnn8sD//R38sb0VOpNtqrtavnEHbvl7o2fWRQZzdQVUvOwzOsxce7o6PAE+L777vMGeo1jA61/EHWFSQdODauDtwqwKxImMhrfvF+DoCKnA7EN7C4c86r8nrJ6URpnZGTE86L1z/WAVUz0nDvBsHRdkXLr8+yzzxbU0+Xj9/zMk/V7r5qAirl66VNTU4v5G9tiHnkpAXa5Wxp6zl0BcFcsrG7F6m9eptmA3wO2SYxbHs3LnbT5Jz9WPn+cUgJsHrA7OXI9dI2LAKc+RJABBFIjkEkB/s//+G/klTdeSK3S/oTbW1fIf/nUAwXLzq5XV06ANT31VvzC5A62JsAmgq44+AdV9aL0KCa0/mVvv1iqd2pemYmADuS63PrQQw8VCPDWrVsXJwHu8nhSAXbTMm9dhc48Ope/ecYqwio0JrzFvLtKC3CY+uumMX9bWNlKCbB/BSWOABsvs7+NGzd6Eym7VYAHXLUhgowgkAqBTArwz599QH78u3+QuUszqVTaTbS5qcXzfj915/0FAuwKXaklaPVSzVPyC7VfgNXTNY/Qv+RoZbI4nZ2dnmfs3+jkLgXr/d5iYmkDsy2Lm8fmioJ6gHr473e7bOyetrsErR6X/56x7W7WJVL/ErQJsIq/HrZca/nY8qp+Ny/dv0TsZ2P3x8stQevSsbaPuwRtS+ph6m/1ChJgd0lbw7i3BlxxdO3CH8fqVmoJ2hVgq7N55XjAqQ8RZACB1AhkUoBTq22ZhIPEw7xKu1fpLk26HkkYAbYBs5wAq8i4m6206Cakdj9XzxXbhGXeu17XMtu9VL8Aq3dXTDRdTO6mH/enRq7XHmfzkZVby6pL+LZ5zMpUbKm2lAfsbnzz3z6wzXPu8nzQpMFdKnc327m3A9wNY8U2qbnMXJYWz73u39hmExS3HO4SdND5WvUZ8oUABOITQIBDsPMLa4goBKkigay1j7t5zjD4N6FVEQ9ZQQACGSWAAIdomKwN8CGK3FBBstY+CHBDmR+VhUBsAghwbHREhAAEIAABCMQngADHZ0dMCEAAAhCAQGwCCHBsdESEAAQgAAEIxCeAAMdnR0wIQAACEIBAbAIIcGx0RIQABCAAAQjEJ4AAx2dHTAhAAAIQgEBsAghwbHREhAAEIAABCMQngADHZ0dMCEAAAhCAQGwCCHBsdESEAAQgAAEIxCeAAMdnR0wIQAACEIBAbAIIcGx0RIQABCAAAQjEJ4AAx2dHTAhAAAIQgEBsAghwbHREhAAEIAABCMQnYAL8kohcHz8ZYkIAAhCAAAQgEJHAy/8f/sAl4UAhEBwAAAAASUVORK5CYII=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612321</xdr:colOff>
      <xdr:row>5</xdr:row>
      <xdr:rowOff>0</xdr:rowOff>
    </xdr:from>
    <xdr:to>
      <xdr:col>11</xdr:col>
      <xdr:colOff>17007</xdr:colOff>
      <xdr:row>17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gey/Desktop/LSTU%20STUFF/.&#1054;&#1057;&#1045;&#1053;&#1053;&#1048;&#1049;%20&#1057;&#1045;&#1052;&#1045;&#1057;&#1058;&#1056;%202021/&#1075;&#1091;&#1084;&#1072;&#1085;&#1080;&#1090;&#1088;&#1085;&#1072;&#1103;%20&#1098;&#1077;&#1088;&#1085;&#1103;/&#1101;&#1082;&#1086;&#1085;&#1086;&#1084;&#1080;&#1082;&#1072;/Kniga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  <sheetName val="Лист4"/>
      <sheetName val="Лист5"/>
      <sheetName val="Лист6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  <sheetName val="Лист17"/>
      <sheetName val="График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>
        <row r="11">
          <cell r="C11">
            <v>34.026368571428577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zoomScale="115" zoomScaleNormal="115" workbookViewId="0">
      <selection activeCell="D10" sqref="D10"/>
    </sheetView>
  </sheetViews>
  <sheetFormatPr defaultRowHeight="15" x14ac:dyDescent="0.25"/>
  <cols>
    <col min="1" max="1" width="73.5703125" customWidth="1"/>
    <col min="4" max="4" width="9.140625" customWidth="1"/>
  </cols>
  <sheetData>
    <row r="1" spans="1:4" x14ac:dyDescent="0.25">
      <c r="A1" s="1" t="s">
        <v>7</v>
      </c>
      <c r="B1" s="1">
        <v>1200</v>
      </c>
      <c r="D1" t="s">
        <v>211</v>
      </c>
    </row>
    <row r="2" spans="1:4" x14ac:dyDescent="0.25">
      <c r="A2" s="1" t="s">
        <v>8</v>
      </c>
      <c r="B2" s="1">
        <v>5</v>
      </c>
    </row>
    <row r="3" spans="1:4" x14ac:dyDescent="0.25">
      <c r="A3" s="31" t="s">
        <v>9</v>
      </c>
      <c r="B3" s="31"/>
    </row>
    <row r="4" spans="1:4" x14ac:dyDescent="0.25">
      <c r="A4" s="31" t="s">
        <v>10</v>
      </c>
      <c r="B4" s="31"/>
    </row>
    <row r="5" spans="1:4" x14ac:dyDescent="0.25">
      <c r="A5" s="1" t="s">
        <v>11</v>
      </c>
      <c r="B5" s="1">
        <v>80</v>
      </c>
    </row>
    <row r="6" spans="1:4" x14ac:dyDescent="0.25">
      <c r="A6" s="1" t="s">
        <v>12</v>
      </c>
      <c r="B6" s="1">
        <v>32.5</v>
      </c>
    </row>
    <row r="7" spans="1:4" x14ac:dyDescent="0.25">
      <c r="A7" s="1" t="s">
        <v>0</v>
      </c>
      <c r="B7" s="1">
        <v>10</v>
      </c>
    </row>
    <row r="8" spans="1:4" x14ac:dyDescent="0.25">
      <c r="A8" s="1" t="s">
        <v>13</v>
      </c>
      <c r="B8" s="1">
        <v>4.5</v>
      </c>
    </row>
    <row r="9" spans="1:4" x14ac:dyDescent="0.25">
      <c r="A9" s="32" t="s">
        <v>14</v>
      </c>
      <c r="B9" s="33"/>
    </row>
    <row r="10" spans="1:4" x14ac:dyDescent="0.25">
      <c r="A10" s="1" t="s">
        <v>11</v>
      </c>
      <c r="B10" s="1">
        <v>60</v>
      </c>
    </row>
    <row r="11" spans="1:4" x14ac:dyDescent="0.25">
      <c r="A11" s="1" t="s">
        <v>12</v>
      </c>
      <c r="B11" s="1">
        <v>105</v>
      </c>
    </row>
    <row r="12" spans="1:4" x14ac:dyDescent="0.25">
      <c r="A12" s="1" t="s">
        <v>0</v>
      </c>
      <c r="B12" s="1">
        <v>6</v>
      </c>
    </row>
    <row r="13" spans="1:4" x14ac:dyDescent="0.25">
      <c r="A13" s="1" t="s">
        <v>13</v>
      </c>
      <c r="B13" s="1">
        <v>8.6999999999999993</v>
      </c>
    </row>
    <row r="14" spans="1:4" x14ac:dyDescent="0.25">
      <c r="A14" s="1" t="s">
        <v>15</v>
      </c>
      <c r="B14" s="1">
        <v>6600</v>
      </c>
    </row>
    <row r="15" spans="1:4" x14ac:dyDescent="0.25">
      <c r="A15" s="32" t="s">
        <v>16</v>
      </c>
      <c r="B15" s="33"/>
    </row>
    <row r="16" spans="1:4" x14ac:dyDescent="0.25">
      <c r="A16" s="1" t="s">
        <v>1</v>
      </c>
      <c r="B16" s="1" t="s">
        <v>199</v>
      </c>
    </row>
    <row r="17" spans="1:2" x14ac:dyDescent="0.25">
      <c r="A17" s="1" t="s">
        <v>2</v>
      </c>
      <c r="B17" s="1" t="s">
        <v>200</v>
      </c>
    </row>
    <row r="18" spans="1:2" x14ac:dyDescent="0.25">
      <c r="A18" s="1" t="s">
        <v>3</v>
      </c>
      <c r="B18" s="1" t="s">
        <v>201</v>
      </c>
    </row>
    <row r="19" spans="1:2" x14ac:dyDescent="0.25">
      <c r="A19" s="1" t="s">
        <v>4</v>
      </c>
      <c r="B19" s="1" t="s">
        <v>202</v>
      </c>
    </row>
    <row r="20" spans="1:2" x14ac:dyDescent="0.25">
      <c r="A20" s="1" t="s">
        <v>5</v>
      </c>
      <c r="B20" s="1" t="s">
        <v>6</v>
      </c>
    </row>
    <row r="21" spans="1:2" x14ac:dyDescent="0.25">
      <c r="A21" s="32" t="s">
        <v>17</v>
      </c>
      <c r="B21" s="33"/>
    </row>
    <row r="22" spans="1:2" x14ac:dyDescent="0.25">
      <c r="A22" s="1" t="s">
        <v>1</v>
      </c>
      <c r="B22" s="20" t="s">
        <v>198</v>
      </c>
    </row>
    <row r="23" spans="1:2" x14ac:dyDescent="0.25">
      <c r="A23" s="1" t="s">
        <v>2</v>
      </c>
      <c r="B23" s="20" t="s">
        <v>203</v>
      </c>
    </row>
    <row r="24" spans="1:2" x14ac:dyDescent="0.25">
      <c r="A24" s="1" t="s">
        <v>3</v>
      </c>
      <c r="B24" s="5" t="s">
        <v>204</v>
      </c>
    </row>
    <row r="25" spans="1:2" x14ac:dyDescent="0.25">
      <c r="A25" s="1" t="s">
        <v>4</v>
      </c>
      <c r="B25" s="5" t="s">
        <v>205</v>
      </c>
    </row>
    <row r="26" spans="1:2" x14ac:dyDescent="0.25">
      <c r="A26" s="1" t="s">
        <v>5</v>
      </c>
      <c r="B26" s="5" t="s">
        <v>206</v>
      </c>
    </row>
    <row r="27" spans="1:2" x14ac:dyDescent="0.25">
      <c r="A27" s="1" t="s">
        <v>18</v>
      </c>
      <c r="B27" s="6">
        <v>1.2</v>
      </c>
    </row>
    <row r="28" spans="1:2" x14ac:dyDescent="0.25">
      <c r="A28" s="1" t="s">
        <v>207</v>
      </c>
      <c r="B28" s="1">
        <v>394.2</v>
      </c>
    </row>
    <row r="29" spans="1:2" x14ac:dyDescent="0.25">
      <c r="A29" s="1" t="s">
        <v>208</v>
      </c>
      <c r="B29" s="1">
        <v>7128.3</v>
      </c>
    </row>
    <row r="30" spans="1:2" x14ac:dyDescent="0.25">
      <c r="A30" s="8" t="s">
        <v>209</v>
      </c>
      <c r="B30" s="1">
        <v>228.3</v>
      </c>
    </row>
    <row r="31" spans="1:2" x14ac:dyDescent="0.25">
      <c r="A31" s="1" t="s">
        <v>210</v>
      </c>
      <c r="B31" s="1">
        <v>1141.5</v>
      </c>
    </row>
    <row r="32" spans="1:2" x14ac:dyDescent="0.25">
      <c r="A32" s="1" t="s">
        <v>19</v>
      </c>
      <c r="B32" s="1">
        <v>142.30000000000001</v>
      </c>
    </row>
  </sheetData>
  <mergeCells count="5">
    <mergeCell ref="A3:B3"/>
    <mergeCell ref="A4:B4"/>
    <mergeCell ref="A9:B9"/>
    <mergeCell ref="A15:B15"/>
    <mergeCell ref="A21:B2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2"/>
  <sheetViews>
    <sheetView workbookViewId="0">
      <selection activeCell="B4" sqref="B4"/>
    </sheetView>
  </sheetViews>
  <sheetFormatPr defaultRowHeight="15" x14ac:dyDescent="0.25"/>
  <cols>
    <col min="1" max="1" width="29.42578125" customWidth="1"/>
    <col min="2" max="2" width="18.140625" customWidth="1"/>
    <col min="3" max="3" width="24.42578125" customWidth="1"/>
  </cols>
  <sheetData>
    <row r="1" spans="1:3" x14ac:dyDescent="0.25">
      <c r="A1" s="1" t="s">
        <v>97</v>
      </c>
      <c r="B1" s="1" t="s">
        <v>98</v>
      </c>
      <c r="C1" s="1" t="s">
        <v>66</v>
      </c>
    </row>
    <row r="2" spans="1:3" x14ac:dyDescent="0.25">
      <c r="A2" s="1" t="s">
        <v>99</v>
      </c>
      <c r="B2" s="1"/>
      <c r="C2" s="1"/>
    </row>
    <row r="3" spans="1:3" x14ac:dyDescent="0.25">
      <c r="A3" s="1" t="s">
        <v>100</v>
      </c>
      <c r="B3" s="11">
        <f>Лист9!E8</f>
        <v>30.898876404494384</v>
      </c>
      <c r="C3" s="1">
        <v>45</v>
      </c>
    </row>
    <row r="4" spans="1:3" x14ac:dyDescent="0.25">
      <c r="A4" s="1" t="s">
        <v>101</v>
      </c>
      <c r="B4" s="11">
        <f>ROUNDUP($B$3/$C$3*C4,  0)</f>
        <v>7</v>
      </c>
      <c r="C4" s="1">
        <v>10</v>
      </c>
    </row>
    <row r="5" spans="1:3" x14ac:dyDescent="0.25">
      <c r="A5" s="1" t="s">
        <v>102</v>
      </c>
      <c r="B5" s="11">
        <f>ROUNDUP($B$3/$C$3*C5,  0)</f>
        <v>18</v>
      </c>
      <c r="C5" s="1">
        <v>25</v>
      </c>
    </row>
    <row r="6" spans="1:3" x14ac:dyDescent="0.25">
      <c r="A6" s="1" t="s">
        <v>103</v>
      </c>
      <c r="B6" s="11">
        <f t="shared" ref="B6:B8" si="0">ROUNDUP($B$3/$C$3*C6,  0)</f>
        <v>7</v>
      </c>
      <c r="C6" s="1">
        <v>10</v>
      </c>
    </row>
    <row r="7" spans="1:3" x14ac:dyDescent="0.25">
      <c r="A7" s="1" t="s">
        <v>104</v>
      </c>
      <c r="B7" s="11">
        <f t="shared" si="0"/>
        <v>6</v>
      </c>
      <c r="C7" s="1">
        <v>8</v>
      </c>
    </row>
    <row r="8" spans="1:3" x14ac:dyDescent="0.25">
      <c r="A8" s="1" t="s">
        <v>105</v>
      </c>
      <c r="B8" s="11">
        <f t="shared" si="0"/>
        <v>2</v>
      </c>
      <c r="C8" s="1">
        <v>2</v>
      </c>
    </row>
    <row r="9" spans="1:3" x14ac:dyDescent="0.25">
      <c r="A9" s="1" t="s">
        <v>57</v>
      </c>
      <c r="B9" s="11">
        <f>SUM(B3:B8)</f>
        <v>70.898876404494388</v>
      </c>
      <c r="C9" s="1">
        <v>100</v>
      </c>
    </row>
    <row r="11" spans="1:3" x14ac:dyDescent="0.25">
      <c r="B11" s="12"/>
    </row>
    <row r="12" spans="1:3" x14ac:dyDescent="0.25">
      <c r="B12" s="1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8"/>
  <sheetViews>
    <sheetView tabSelected="1" workbookViewId="0">
      <selection activeCell="C15" sqref="C15"/>
    </sheetView>
  </sheetViews>
  <sheetFormatPr defaultRowHeight="15" x14ac:dyDescent="0.25"/>
  <cols>
    <col min="1" max="1" width="18.42578125" customWidth="1"/>
    <col min="2" max="2" width="18.28515625" customWidth="1"/>
    <col min="3" max="3" width="18.42578125" customWidth="1"/>
    <col min="4" max="4" width="11.85546875" customWidth="1"/>
    <col min="5" max="5" width="13.28515625" customWidth="1"/>
    <col min="6" max="6" width="18.28515625" customWidth="1"/>
    <col min="7" max="7" width="17.5703125" customWidth="1"/>
    <col min="8" max="8" width="17.42578125" customWidth="1"/>
    <col min="9" max="9" width="17.140625" customWidth="1"/>
    <col min="10" max="10" width="16.5703125" customWidth="1"/>
    <col min="11" max="11" width="18" customWidth="1"/>
    <col min="12" max="12" width="27.28515625" customWidth="1"/>
  </cols>
  <sheetData>
    <row r="1" spans="1:12" ht="30" customHeight="1" x14ac:dyDescent="0.25">
      <c r="A1" s="34" t="s">
        <v>106</v>
      </c>
      <c r="B1" s="31" t="s">
        <v>107</v>
      </c>
      <c r="C1" s="31"/>
      <c r="D1" s="31"/>
      <c r="E1" s="31"/>
      <c r="F1" s="34" t="s">
        <v>111</v>
      </c>
      <c r="G1" s="35" t="s">
        <v>187</v>
      </c>
    </row>
    <row r="2" spans="1:12" ht="94.5" customHeight="1" x14ac:dyDescent="0.25">
      <c r="A2" s="34"/>
      <c r="B2" s="3" t="s">
        <v>108</v>
      </c>
      <c r="C2" s="3" t="s">
        <v>109</v>
      </c>
      <c r="D2" s="3" t="s">
        <v>110</v>
      </c>
      <c r="E2" s="3" t="s">
        <v>112</v>
      </c>
      <c r="F2" s="34"/>
      <c r="G2" s="35"/>
      <c r="H2" s="42" t="s">
        <v>218</v>
      </c>
      <c r="I2" s="42" t="s">
        <v>219</v>
      </c>
      <c r="J2" s="42" t="s">
        <v>220</v>
      </c>
      <c r="K2" s="42" t="s">
        <v>221</v>
      </c>
      <c r="L2" s="42" t="s">
        <v>222</v>
      </c>
    </row>
    <row r="3" spans="1:12" x14ac:dyDescent="0.25">
      <c r="A3" s="1">
        <v>1</v>
      </c>
      <c r="B3" s="1">
        <v>2</v>
      </c>
      <c r="C3" s="1">
        <v>3</v>
      </c>
      <c r="D3" s="1">
        <v>4</v>
      </c>
      <c r="E3" s="1">
        <v>5</v>
      </c>
      <c r="F3" s="1">
        <v>6</v>
      </c>
      <c r="G3" s="15">
        <v>68</v>
      </c>
      <c r="H3" s="43">
        <v>1</v>
      </c>
      <c r="I3" s="43">
        <v>2</v>
      </c>
      <c r="J3" s="43">
        <v>3</v>
      </c>
      <c r="K3" s="43">
        <v>4</v>
      </c>
      <c r="L3" s="43">
        <v>5</v>
      </c>
    </row>
    <row r="4" spans="1:12" ht="75" x14ac:dyDescent="0.25">
      <c r="A4" s="3" t="s">
        <v>113</v>
      </c>
      <c r="B4" s="1">
        <f>Лист1!B1*J4*(I4*L4+I5*L5+I6*L6+I7*L7+I8*L8)</f>
        <v>6917615.9999999991</v>
      </c>
      <c r="C4" s="1" t="s">
        <v>31</v>
      </c>
      <c r="D4" s="1">
        <f>B4*0.25</f>
        <v>1729403.9999999998</v>
      </c>
      <c r="E4" s="1">
        <f>(B4+D4)*0.1</f>
        <v>864701.99999999988</v>
      </c>
      <c r="F4" s="1">
        <f>B4+D4+E4</f>
        <v>9511721.9999999981</v>
      </c>
      <c r="G4" s="15">
        <v>8</v>
      </c>
      <c r="H4" s="44" t="s">
        <v>223</v>
      </c>
      <c r="I4" s="45">
        <v>8</v>
      </c>
      <c r="J4" s="46">
        <v>67</v>
      </c>
      <c r="K4" s="45">
        <v>6</v>
      </c>
      <c r="L4" s="43">
        <v>1.8</v>
      </c>
    </row>
    <row r="5" spans="1:12" x14ac:dyDescent="0.25">
      <c r="A5" s="1" t="s">
        <v>102</v>
      </c>
      <c r="B5" s="1" t="s">
        <v>31</v>
      </c>
      <c r="C5" s="1">
        <f>$B$4/$G$3*G4</f>
        <v>813837.17647058808</v>
      </c>
      <c r="D5" s="1">
        <f>C5*0.25</f>
        <v>203459.29411764702</v>
      </c>
      <c r="E5" s="1">
        <f>(C5+D5)*0.1</f>
        <v>101729.64705882351</v>
      </c>
      <c r="F5" s="1">
        <f>C5+D5+E5</f>
        <v>1119026.1176470586</v>
      </c>
      <c r="G5" s="15">
        <v>12</v>
      </c>
      <c r="H5" s="44" t="s">
        <v>224</v>
      </c>
      <c r="I5" s="45">
        <v>18</v>
      </c>
      <c r="J5" s="46">
        <v>67</v>
      </c>
      <c r="K5" s="45">
        <v>6</v>
      </c>
      <c r="L5" s="43">
        <v>1.53</v>
      </c>
    </row>
    <row r="6" spans="1:12" x14ac:dyDescent="0.25">
      <c r="A6" s="1" t="s">
        <v>103</v>
      </c>
      <c r="B6" s="1" t="s">
        <v>31</v>
      </c>
      <c r="C6" s="1">
        <f>$B$4/$G$3*G5</f>
        <v>1220755.7647058822</v>
      </c>
      <c r="D6" s="1">
        <f>C6*0.25</f>
        <v>305188.94117647054</v>
      </c>
      <c r="E6" s="1">
        <f>(C6+D6)*0.1</f>
        <v>152594.47058823527</v>
      </c>
      <c r="F6" s="1">
        <f>C6+D6+E6</f>
        <v>1678539.176470588</v>
      </c>
      <c r="G6" s="15">
        <v>8</v>
      </c>
      <c r="H6" s="44" t="s">
        <v>225</v>
      </c>
      <c r="I6" s="45">
        <v>10</v>
      </c>
      <c r="J6" s="46">
        <v>67</v>
      </c>
      <c r="K6" s="45">
        <v>5</v>
      </c>
      <c r="L6" s="43">
        <v>1.53</v>
      </c>
    </row>
    <row r="7" spans="1:12" ht="30" x14ac:dyDescent="0.25">
      <c r="A7" s="1" t="s">
        <v>104</v>
      </c>
      <c r="B7" s="1" t="s">
        <v>31</v>
      </c>
      <c r="C7" s="1">
        <f>$B$4/$G$3*G6</f>
        <v>813837.17647058808</v>
      </c>
      <c r="D7" s="1">
        <f t="shared" ref="D6:D8" si="0">C7*0.25</f>
        <v>203459.29411764702</v>
      </c>
      <c r="E7" s="1">
        <f t="shared" ref="E6:E8" si="1">(C7+D7)*0.1</f>
        <v>101729.64705882351</v>
      </c>
      <c r="F7" s="1">
        <f t="shared" ref="F6:F8" si="2">C7+D7+E7</f>
        <v>1119026.1176470586</v>
      </c>
      <c r="G7" s="15">
        <v>3</v>
      </c>
      <c r="H7" s="44" t="s">
        <v>226</v>
      </c>
      <c r="I7" s="45">
        <v>12</v>
      </c>
      <c r="J7" s="46">
        <v>67</v>
      </c>
      <c r="K7" s="45">
        <v>4</v>
      </c>
      <c r="L7" s="43">
        <v>1.35</v>
      </c>
    </row>
    <row r="8" spans="1:12" x14ac:dyDescent="0.25">
      <c r="A8" s="1" t="s">
        <v>114</v>
      </c>
      <c r="B8" s="1" t="s">
        <v>31</v>
      </c>
      <c r="C8" s="1">
        <f>$B$4/$G$3*G7</f>
        <v>305188.94117647054</v>
      </c>
      <c r="D8" s="1">
        <f t="shared" si="0"/>
        <v>76297.235294117636</v>
      </c>
      <c r="E8" s="1">
        <f t="shared" si="1"/>
        <v>38148.617647058818</v>
      </c>
      <c r="F8" s="1">
        <f>C8+D8+E8</f>
        <v>419634.79411764699</v>
      </c>
      <c r="G8" s="15">
        <v>1</v>
      </c>
      <c r="H8" s="44" t="s">
        <v>227</v>
      </c>
      <c r="I8" s="45">
        <v>7</v>
      </c>
      <c r="J8" s="46">
        <v>67</v>
      </c>
      <c r="K8" s="45">
        <v>6</v>
      </c>
      <c r="L8" s="43">
        <v>1.8</v>
      </c>
    </row>
    <row r="9" spans="1:12" x14ac:dyDescent="0.25">
      <c r="A9" s="1" t="s">
        <v>115</v>
      </c>
      <c r="B9" s="1">
        <f>B4</f>
        <v>6917615.9999999991</v>
      </c>
      <c r="C9" s="1">
        <f>C5+C6+C7+C8</f>
        <v>3153619.0588235287</v>
      </c>
      <c r="D9" s="1">
        <f>D4+D5+D6+D7+D8</f>
        <v>2517808.7647058819</v>
      </c>
      <c r="E9" s="1">
        <f>E4+E5+E6+E7+E8</f>
        <v>1258904.382352941</v>
      </c>
      <c r="F9" s="1">
        <f>F4+F5+F6+F7+F8</f>
        <v>13847948.20588235</v>
      </c>
      <c r="G9" s="21">
        <f>G3+G5+G6+G7+G8+G4</f>
        <v>100</v>
      </c>
    </row>
    <row r="10" spans="1:12" x14ac:dyDescent="0.25">
      <c r="A10" s="9"/>
      <c r="B10" s="9"/>
      <c r="C10" s="9"/>
      <c r="D10" s="9"/>
      <c r="E10" s="9"/>
      <c r="F10" s="9"/>
      <c r="G10" s="9"/>
    </row>
    <row r="12" spans="1:12" x14ac:dyDescent="0.25">
      <c r="A12" s="47" t="s">
        <v>228</v>
      </c>
      <c r="B12" s="47" t="s">
        <v>229</v>
      </c>
    </row>
    <row r="13" spans="1:12" x14ac:dyDescent="0.25">
      <c r="A13" s="48" t="s">
        <v>230</v>
      </c>
      <c r="B13" s="47">
        <f>Лист1!$B$1*I4*J4*L4</f>
        <v>1157760</v>
      </c>
    </row>
    <row r="14" spans="1:12" x14ac:dyDescent="0.25">
      <c r="A14" s="48" t="s">
        <v>231</v>
      </c>
      <c r="B14" s="47">
        <f>Лист1!$B$1*I5*J5*L5</f>
        <v>2214216</v>
      </c>
    </row>
    <row r="15" spans="1:12" x14ac:dyDescent="0.25">
      <c r="A15" s="48" t="s">
        <v>232</v>
      </c>
      <c r="B15" s="47">
        <f>Лист1!$B$1*I6*J6*L6</f>
        <v>1230120</v>
      </c>
    </row>
    <row r="16" spans="1:12" x14ac:dyDescent="0.25">
      <c r="A16" s="48" t="s">
        <v>233</v>
      </c>
      <c r="B16" s="47">
        <f>Лист1!$B$1*I7*J7*L7</f>
        <v>1302480</v>
      </c>
    </row>
    <row r="17" spans="1:2" x14ac:dyDescent="0.25">
      <c r="A17" s="48" t="s">
        <v>234</v>
      </c>
      <c r="B17" s="47">
        <f>Лист1!$B$1*I8*J8*L8</f>
        <v>1013040</v>
      </c>
    </row>
    <row r="18" spans="1:2" x14ac:dyDescent="0.25">
      <c r="A18" s="48" t="s">
        <v>115</v>
      </c>
      <c r="B18" s="47">
        <f>B13+B14+B15+B16+B17</f>
        <v>6917616</v>
      </c>
    </row>
  </sheetData>
  <mergeCells count="4">
    <mergeCell ref="A1:A2"/>
    <mergeCell ref="B1:E1"/>
    <mergeCell ref="F1:F2"/>
    <mergeCell ref="G1:G2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8"/>
  <sheetViews>
    <sheetView workbookViewId="0">
      <selection activeCell="B8" sqref="B8"/>
    </sheetView>
  </sheetViews>
  <sheetFormatPr defaultRowHeight="15" x14ac:dyDescent="0.25"/>
  <cols>
    <col min="1" max="1" width="45.85546875" customWidth="1"/>
    <col min="2" max="3" width="18.28515625" customWidth="1"/>
  </cols>
  <sheetData>
    <row r="1" spans="1:3" x14ac:dyDescent="0.25">
      <c r="A1" s="1" t="s">
        <v>40</v>
      </c>
      <c r="B1" s="1" t="s">
        <v>34</v>
      </c>
      <c r="C1" s="1" t="s">
        <v>116</v>
      </c>
    </row>
    <row r="2" spans="1:3" x14ac:dyDescent="0.25">
      <c r="A2" s="1">
        <v>1</v>
      </c>
      <c r="B2" s="1">
        <v>2</v>
      </c>
      <c r="C2" s="1">
        <v>3</v>
      </c>
    </row>
    <row r="3" spans="1:3" x14ac:dyDescent="0.25">
      <c r="A3" s="1" t="s">
        <v>117</v>
      </c>
      <c r="B3" s="1">
        <f>Лист4!B8</f>
        <v>27733.371428571427</v>
      </c>
      <c r="C3" s="1">
        <f>B3/$B$8*100</f>
        <v>49.98432332602188</v>
      </c>
    </row>
    <row r="4" spans="1:3" x14ac:dyDescent="0.25">
      <c r="A4" s="1" t="s">
        <v>118</v>
      </c>
      <c r="B4" s="1">
        <f>Лист11!F9/1000</f>
        <v>13847.948205882351</v>
      </c>
      <c r="C4" s="1">
        <f t="shared" ref="C4:C6" si="0">B4/$B$8*100</f>
        <v>24.958390735420334</v>
      </c>
    </row>
    <row r="5" spans="1:3" ht="30" x14ac:dyDescent="0.25">
      <c r="A5" s="3" t="s">
        <v>119</v>
      </c>
      <c r="B5" s="1">
        <f>B4*0.3</f>
        <v>4154.3844617647046</v>
      </c>
      <c r="C5" s="1">
        <f t="shared" si="0"/>
        <v>7.4875172206260983</v>
      </c>
    </row>
    <row r="6" spans="1:3" x14ac:dyDescent="0.25">
      <c r="A6" s="1" t="s">
        <v>120</v>
      </c>
      <c r="B6" s="1">
        <f>Лист8!D14</f>
        <v>6696.8072515065587</v>
      </c>
      <c r="C6" s="1">
        <f t="shared" si="0"/>
        <v>12.069768717931685</v>
      </c>
    </row>
    <row r="7" spans="1:3" x14ac:dyDescent="0.25">
      <c r="A7" s="1" t="s">
        <v>121</v>
      </c>
      <c r="B7" s="1">
        <f>(B3+B4+B5+B6)/94.5*5.5</f>
        <v>3051.6276445765898</v>
      </c>
      <c r="C7" s="1">
        <v>5.5</v>
      </c>
    </row>
    <row r="8" spans="1:3" x14ac:dyDescent="0.25">
      <c r="A8" s="1" t="s">
        <v>122</v>
      </c>
      <c r="B8" s="1">
        <f>B3+B4+B5+B6+B7</f>
        <v>55484.138992301632</v>
      </c>
      <c r="C8" s="1">
        <v>100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8"/>
  <sheetViews>
    <sheetView workbookViewId="0">
      <selection activeCell="D25" sqref="D25"/>
    </sheetView>
  </sheetViews>
  <sheetFormatPr defaultRowHeight="15" x14ac:dyDescent="0.25"/>
  <cols>
    <col min="1" max="1" width="33.85546875" customWidth="1"/>
    <col min="2" max="2" width="15.42578125" customWidth="1"/>
    <col min="3" max="3" width="14.85546875" customWidth="1"/>
    <col min="4" max="4" width="16.5703125" customWidth="1"/>
  </cols>
  <sheetData>
    <row r="1" spans="1:4" x14ac:dyDescent="0.25">
      <c r="A1" s="31" t="s">
        <v>40</v>
      </c>
      <c r="B1" s="31" t="s">
        <v>123</v>
      </c>
      <c r="C1" s="31"/>
      <c r="D1" s="31"/>
    </row>
    <row r="2" spans="1:4" x14ac:dyDescent="0.25">
      <c r="A2" s="31"/>
      <c r="B2" s="31" t="s">
        <v>124</v>
      </c>
      <c r="C2" s="31" t="s">
        <v>43</v>
      </c>
      <c r="D2" s="31"/>
    </row>
    <row r="3" spans="1:4" ht="30" x14ac:dyDescent="0.25">
      <c r="A3" s="31"/>
      <c r="B3" s="31"/>
      <c r="C3" s="3" t="s">
        <v>45</v>
      </c>
      <c r="D3" s="3" t="s">
        <v>44</v>
      </c>
    </row>
    <row r="4" spans="1:4" x14ac:dyDescent="0.25">
      <c r="A4" s="1">
        <v>1</v>
      </c>
      <c r="B4" s="1">
        <v>5</v>
      </c>
      <c r="C4" s="1">
        <v>6</v>
      </c>
      <c r="D4" s="1">
        <v>7</v>
      </c>
    </row>
    <row r="5" spans="1:4" ht="30" x14ac:dyDescent="0.25">
      <c r="A5" s="3" t="s">
        <v>129</v>
      </c>
      <c r="B5" s="1">
        <f>C5+D5</f>
        <v>27733.371428571427</v>
      </c>
      <c r="C5" s="1">
        <f>C6+C7+C8</f>
        <v>23850.699428571428</v>
      </c>
      <c r="D5" s="1">
        <f>D7+D8</f>
        <v>3882.6719999999996</v>
      </c>
    </row>
    <row r="6" spans="1:4" ht="45" x14ac:dyDescent="0.25">
      <c r="A6" s="3" t="s">
        <v>125</v>
      </c>
      <c r="B6" s="1">
        <f>C6</f>
        <v>19413.36</v>
      </c>
      <c r="C6" s="1">
        <f>Лист4!D5</f>
        <v>19413.36</v>
      </c>
      <c r="D6" s="1" t="s">
        <v>188</v>
      </c>
    </row>
    <row r="7" spans="1:4" x14ac:dyDescent="0.25">
      <c r="A7" s="1" t="s">
        <v>126</v>
      </c>
      <c r="B7" s="1">
        <f>C7+D7</f>
        <v>1386.6685714285713</v>
      </c>
      <c r="C7" s="1">
        <f>Лист4!D6</f>
        <v>277.33371428571428</v>
      </c>
      <c r="D7" s="1">
        <f>Лист4!C6</f>
        <v>1109.3348571428571</v>
      </c>
    </row>
    <row r="8" spans="1:4" x14ac:dyDescent="0.25">
      <c r="A8" s="1" t="s">
        <v>127</v>
      </c>
      <c r="B8" s="1">
        <f>C8+D8</f>
        <v>6933.3428571428567</v>
      </c>
      <c r="C8" s="1">
        <f>Лист4!D7</f>
        <v>4160.005714285714</v>
      </c>
      <c r="D8" s="1">
        <f>Лист4!C7</f>
        <v>2773.3371428571427</v>
      </c>
    </row>
    <row r="9" spans="1:4" x14ac:dyDescent="0.25">
      <c r="A9" s="1" t="s">
        <v>128</v>
      </c>
      <c r="B9" s="1">
        <f>C9+D9</f>
        <v>13847.948205882351</v>
      </c>
      <c r="C9" s="1">
        <f>C10</f>
        <v>9511.7219999999979</v>
      </c>
      <c r="D9" s="1">
        <f>D11+D12+D13+D14</f>
        <v>4336.2262058823526</v>
      </c>
    </row>
    <row r="10" spans="1:4" x14ac:dyDescent="0.25">
      <c r="A10" s="1" t="s">
        <v>130</v>
      </c>
      <c r="B10" s="1">
        <f>C10</f>
        <v>9511.7219999999979</v>
      </c>
      <c r="C10" s="1">
        <f>Лист11!F4/1000</f>
        <v>9511.7219999999979</v>
      </c>
      <c r="D10" s="1" t="s">
        <v>188</v>
      </c>
    </row>
    <row r="11" spans="1:4" x14ac:dyDescent="0.25">
      <c r="A11" s="1" t="s">
        <v>189</v>
      </c>
      <c r="B11" s="1">
        <f>D11</f>
        <v>1119.0261176470585</v>
      </c>
      <c r="C11" s="1" t="s">
        <v>188</v>
      </c>
      <c r="D11" s="1">
        <f>Лист11!F5/1000</f>
        <v>1119.0261176470585</v>
      </c>
    </row>
    <row r="12" spans="1:4" x14ac:dyDescent="0.25">
      <c r="A12" s="1" t="s">
        <v>131</v>
      </c>
      <c r="B12" s="1">
        <f>D12</f>
        <v>1678.539176470588</v>
      </c>
      <c r="C12" s="1" t="s">
        <v>188</v>
      </c>
      <c r="D12" s="1">
        <f>Лист11!F6/1000</f>
        <v>1678.539176470588</v>
      </c>
    </row>
    <row r="13" spans="1:4" x14ac:dyDescent="0.25">
      <c r="A13" s="1" t="s">
        <v>132</v>
      </c>
      <c r="B13" s="1">
        <f>D13</f>
        <v>1119.0261176470585</v>
      </c>
      <c r="C13" s="1" t="s">
        <v>188</v>
      </c>
      <c r="D13" s="1">
        <f>Лист11!F7/1000</f>
        <v>1119.0261176470585</v>
      </c>
    </row>
    <row r="14" spans="1:4" x14ac:dyDescent="0.25">
      <c r="A14" s="1" t="s">
        <v>133</v>
      </c>
      <c r="B14" s="1">
        <f>D14</f>
        <v>419.634794117647</v>
      </c>
      <c r="C14" s="1" t="s">
        <v>188</v>
      </c>
      <c r="D14" s="1">
        <f>Лист11!F8/1000</f>
        <v>419.634794117647</v>
      </c>
    </row>
    <row r="15" spans="1:4" ht="30" x14ac:dyDescent="0.25">
      <c r="A15" s="3" t="s">
        <v>134</v>
      </c>
      <c r="B15" s="1">
        <f>C15+D15</f>
        <v>4154.3844617647046</v>
      </c>
      <c r="C15" s="1">
        <f>C9/100*30</f>
        <v>2853.516599999999</v>
      </c>
      <c r="D15" s="1">
        <f>D9/100*30</f>
        <v>1300.8678617647058</v>
      </c>
    </row>
    <row r="16" spans="1:4" x14ac:dyDescent="0.25">
      <c r="A16" s="1" t="s">
        <v>120</v>
      </c>
      <c r="B16" s="1">
        <f>D16</f>
        <v>6696.8072515065587</v>
      </c>
      <c r="C16" s="1" t="s">
        <v>188</v>
      </c>
      <c r="D16" s="1">
        <f>Лист8!D14</f>
        <v>6696.8072515065587</v>
      </c>
    </row>
    <row r="17" spans="1:4" x14ac:dyDescent="0.25">
      <c r="A17" s="1" t="s">
        <v>121</v>
      </c>
      <c r="B17" s="1">
        <f>D17</f>
        <v>3051.6276445765898</v>
      </c>
      <c r="C17" s="1" t="s">
        <v>188</v>
      </c>
      <c r="D17" s="1">
        <f>Лист12!B7</f>
        <v>3051.6276445765898</v>
      </c>
    </row>
    <row r="18" spans="1:4" x14ac:dyDescent="0.25">
      <c r="A18" s="1" t="s">
        <v>135</v>
      </c>
      <c r="B18" s="1">
        <f>B5+B9+B15+B16+B17</f>
        <v>55484.138992301632</v>
      </c>
      <c r="C18" s="1">
        <f>C5+C9+C15</f>
        <v>36215.938028571429</v>
      </c>
      <c r="D18" s="1">
        <f>D5+D9+D15</f>
        <v>9519.7660676470587</v>
      </c>
    </row>
  </sheetData>
  <mergeCells count="4">
    <mergeCell ref="B1:D1"/>
    <mergeCell ref="A1:A3"/>
    <mergeCell ref="B2:B3"/>
    <mergeCell ref="C2:D2"/>
  </mergeCells>
  <pageMargins left="0.7" right="0.7" top="0.75" bottom="0.75" header="0.3" footer="0.3"/>
  <ignoredErrors>
    <ignoredError sqref="B6 B15" formula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0"/>
  <sheetViews>
    <sheetView workbookViewId="0">
      <selection activeCell="D10" sqref="D10"/>
    </sheetView>
  </sheetViews>
  <sheetFormatPr defaultRowHeight="15" x14ac:dyDescent="0.25"/>
  <cols>
    <col min="1" max="1" width="24.28515625" customWidth="1"/>
    <col min="2" max="2" width="10.85546875" customWidth="1"/>
    <col min="3" max="3" width="13" customWidth="1"/>
    <col min="4" max="4" width="15.28515625" customWidth="1"/>
  </cols>
  <sheetData>
    <row r="1" spans="1:4" x14ac:dyDescent="0.25">
      <c r="A1" s="31" t="s">
        <v>40</v>
      </c>
      <c r="B1" s="31" t="s">
        <v>123</v>
      </c>
      <c r="C1" s="31"/>
      <c r="D1" s="31"/>
    </row>
    <row r="2" spans="1:4" x14ac:dyDescent="0.25">
      <c r="A2" s="31"/>
      <c r="B2" s="34" t="s">
        <v>141</v>
      </c>
      <c r="C2" s="31" t="s">
        <v>142</v>
      </c>
      <c r="D2" s="31"/>
    </row>
    <row r="3" spans="1:4" ht="30" x14ac:dyDescent="0.25">
      <c r="A3" s="31"/>
      <c r="B3" s="34"/>
      <c r="C3" s="3" t="s">
        <v>45</v>
      </c>
      <c r="D3" s="3" t="s">
        <v>143</v>
      </c>
    </row>
    <row r="4" spans="1:4" x14ac:dyDescent="0.25">
      <c r="A4" s="1">
        <v>1</v>
      </c>
      <c r="B4" s="1">
        <v>5</v>
      </c>
      <c r="C4" s="1">
        <v>6</v>
      </c>
      <c r="D4" s="1">
        <v>7</v>
      </c>
    </row>
    <row r="5" spans="1:4" x14ac:dyDescent="0.25">
      <c r="A5" s="1" t="s">
        <v>136</v>
      </c>
      <c r="B5" s="1">
        <f>C5+D5</f>
        <v>23.111142857142855</v>
      </c>
      <c r="C5" s="1">
        <f>Лист13!C5/Лист1!B1</f>
        <v>19.875582857142856</v>
      </c>
      <c r="D5" s="1">
        <f>Лист13!D5/Лист1!B1</f>
        <v>3.2355599999999995</v>
      </c>
    </row>
    <row r="6" spans="1:4" x14ac:dyDescent="0.25">
      <c r="A6" s="1" t="s">
        <v>137</v>
      </c>
      <c r="B6" s="1">
        <f t="shared" ref="B6:B7" si="0">C6+D6</f>
        <v>11.539956838235291</v>
      </c>
      <c r="C6" s="1">
        <f>Лист13!C9/Лист1!B1</f>
        <v>7.9264349999999979</v>
      </c>
      <c r="D6" s="1">
        <f>Лист13!D9/Лист1!B1</f>
        <v>3.6135218382352936</v>
      </c>
    </row>
    <row r="7" spans="1:4" ht="30" x14ac:dyDescent="0.25">
      <c r="A7" s="3" t="s">
        <v>138</v>
      </c>
      <c r="B7" s="1">
        <f t="shared" si="0"/>
        <v>3.4619870514705875</v>
      </c>
      <c r="C7" s="1">
        <f>Лист13!C15/Лист1!B1</f>
        <v>2.3779304999999993</v>
      </c>
      <c r="D7" s="1">
        <f>Лист13!D15/Лист1!B1</f>
        <v>1.0840565514705882</v>
      </c>
    </row>
    <row r="8" spans="1:4" ht="30" x14ac:dyDescent="0.25">
      <c r="A8" s="3" t="s">
        <v>139</v>
      </c>
      <c r="B8" s="1">
        <f>D8</f>
        <v>5.5806727095887991</v>
      </c>
      <c r="C8" s="1" t="s">
        <v>188</v>
      </c>
      <c r="D8" s="1">
        <f>Лист13!D16/Лист1!B1</f>
        <v>5.5806727095887991</v>
      </c>
    </row>
    <row r="9" spans="1:4" x14ac:dyDescent="0.25">
      <c r="A9" s="1" t="s">
        <v>140</v>
      </c>
      <c r="B9" s="1">
        <f>D9</f>
        <v>2.543023037147158</v>
      </c>
      <c r="C9" s="1" t="s">
        <v>188</v>
      </c>
      <c r="D9" s="1">
        <f>Лист13!D17/Лист1!B1</f>
        <v>2.543023037147158</v>
      </c>
    </row>
    <row r="10" spans="1:4" x14ac:dyDescent="0.25">
      <c r="A10" s="1" t="s">
        <v>115</v>
      </c>
      <c r="B10" s="1">
        <f>B5+B6+B7+B8+B9</f>
        <v>46.236782493584691</v>
      </c>
      <c r="C10" s="1">
        <f>C5+C6+C7</f>
        <v>30.179948357142852</v>
      </c>
      <c r="D10" s="1">
        <f>D5+D6+D7+D8+D9</f>
        <v>16.056834136441839</v>
      </c>
    </row>
  </sheetData>
  <mergeCells count="4">
    <mergeCell ref="B1:D1"/>
    <mergeCell ref="B2:B3"/>
    <mergeCell ref="C2:D2"/>
    <mergeCell ref="A1:A3"/>
  </mergeCells>
  <pageMargins left="0.7" right="0.7" top="0.75" bottom="0.75" header="0.3" footer="0.3"/>
  <ignoredErrors>
    <ignoredError sqref="C10" formula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7"/>
  <sheetViews>
    <sheetView workbookViewId="0">
      <selection activeCell="C11" sqref="C11"/>
    </sheetView>
  </sheetViews>
  <sheetFormatPr defaultRowHeight="15" x14ac:dyDescent="0.25"/>
  <cols>
    <col min="1" max="1" width="56.28515625" customWidth="1"/>
    <col min="2" max="2" width="18.28515625" customWidth="1"/>
  </cols>
  <sheetData>
    <row r="1" spans="1:2" x14ac:dyDescent="0.25">
      <c r="A1" s="1" t="s">
        <v>144</v>
      </c>
      <c r="B1" s="1" t="s">
        <v>145</v>
      </c>
    </row>
    <row r="2" spans="1:2" x14ac:dyDescent="0.25">
      <c r="A2" s="1" t="s">
        <v>146</v>
      </c>
      <c r="B2" s="1">
        <f>B7*Лист1!B1</f>
        <v>99871.450186142931</v>
      </c>
    </row>
    <row r="3" spans="1:2" x14ac:dyDescent="0.25">
      <c r="A3" s="1" t="s">
        <v>147</v>
      </c>
      <c r="B3" s="1">
        <f>Лист13!B18</f>
        <v>55484.138992301632</v>
      </c>
    </row>
    <row r="4" spans="1:2" x14ac:dyDescent="0.25">
      <c r="A4" s="1" t="s">
        <v>148</v>
      </c>
      <c r="B4" s="1">
        <f>B2-B3</f>
        <v>44387.311193841299</v>
      </c>
    </row>
    <row r="5" spans="1:2" x14ac:dyDescent="0.25">
      <c r="A5" s="1" t="s">
        <v>149</v>
      </c>
      <c r="B5" s="1">
        <f>B4*0.2</f>
        <v>8877.4622387682593</v>
      </c>
    </row>
    <row r="6" spans="1:2" x14ac:dyDescent="0.25">
      <c r="A6" s="1" t="s">
        <v>150</v>
      </c>
      <c r="B6" s="1">
        <f>B4-B5</f>
        <v>35509.848955073037</v>
      </c>
    </row>
    <row r="7" spans="1:2" x14ac:dyDescent="0.25">
      <c r="A7" s="1" t="s">
        <v>190</v>
      </c>
      <c r="B7" s="1">
        <f>Лист14!B10+Лист14!B10*0.8</f>
        <v>83.226208488452443</v>
      </c>
    </row>
  </sheetData>
  <pageMargins left="0.7" right="0.7" top="0.75" bottom="0.75" header="0.3" footer="0.3"/>
  <ignoredErrors>
    <ignoredError sqref="B5" formula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B7"/>
  <sheetViews>
    <sheetView zoomScale="112" zoomScaleNormal="112" workbookViewId="0">
      <selection activeCell="M9" sqref="M9"/>
    </sheetView>
  </sheetViews>
  <sheetFormatPr defaultRowHeight="15" x14ac:dyDescent="0.25"/>
  <cols>
    <col min="1" max="16" width="9.140625" style="24"/>
    <col min="17" max="17" width="8.85546875" style="24" customWidth="1"/>
    <col min="18" max="23" width="9.140625" style="24"/>
    <col min="24" max="24" width="10.7109375" style="24" customWidth="1"/>
    <col min="25" max="25" width="10" style="24" customWidth="1"/>
    <col min="26" max="26" width="11.140625" style="24" customWidth="1"/>
    <col min="27" max="27" width="9.85546875" style="24" customWidth="1"/>
    <col min="28" max="28" width="9.7109375" style="24" customWidth="1"/>
    <col min="29" max="16384" width="9.140625" style="24"/>
  </cols>
  <sheetData>
    <row r="1" spans="1:28" ht="45" x14ac:dyDescent="0.25">
      <c r="A1" s="22" t="s">
        <v>212</v>
      </c>
      <c r="B1" s="23">
        <v>0</v>
      </c>
      <c r="C1" s="23">
        <f>B1+100</f>
        <v>100</v>
      </c>
      <c r="D1" s="23">
        <f t="shared" ref="D1:AB1" si="0">C1+100</f>
        <v>200</v>
      </c>
      <c r="E1" s="23">
        <f t="shared" si="0"/>
        <v>300</v>
      </c>
      <c r="F1" s="23">
        <f t="shared" si="0"/>
        <v>400</v>
      </c>
      <c r="G1" s="23">
        <f t="shared" si="0"/>
        <v>500</v>
      </c>
      <c r="H1" s="23">
        <f t="shared" si="0"/>
        <v>600</v>
      </c>
      <c r="I1" s="23">
        <f t="shared" si="0"/>
        <v>700</v>
      </c>
      <c r="J1" s="23">
        <f t="shared" si="0"/>
        <v>800</v>
      </c>
      <c r="K1" s="23">
        <f t="shared" si="0"/>
        <v>900</v>
      </c>
      <c r="L1" s="23">
        <f t="shared" si="0"/>
        <v>1000</v>
      </c>
      <c r="M1" s="23">
        <f t="shared" si="0"/>
        <v>1100</v>
      </c>
      <c r="N1" s="23">
        <f t="shared" si="0"/>
        <v>1200</v>
      </c>
      <c r="O1" s="23">
        <f t="shared" si="0"/>
        <v>1300</v>
      </c>
      <c r="P1" s="23">
        <f t="shared" si="0"/>
        <v>1400</v>
      </c>
      <c r="Q1" s="23">
        <f t="shared" si="0"/>
        <v>1500</v>
      </c>
      <c r="R1" s="23">
        <f t="shared" si="0"/>
        <v>1600</v>
      </c>
      <c r="S1" s="23">
        <f t="shared" si="0"/>
        <v>1700</v>
      </c>
      <c r="T1" s="23">
        <f t="shared" si="0"/>
        <v>1800</v>
      </c>
      <c r="U1" s="23">
        <f t="shared" si="0"/>
        <v>1900</v>
      </c>
      <c r="V1" s="23">
        <f t="shared" si="0"/>
        <v>2000</v>
      </c>
      <c r="W1" s="23">
        <f t="shared" si="0"/>
        <v>2100</v>
      </c>
      <c r="X1" s="23">
        <f t="shared" si="0"/>
        <v>2200</v>
      </c>
      <c r="Y1" s="23">
        <f t="shared" si="0"/>
        <v>2300</v>
      </c>
      <c r="Z1" s="23">
        <f t="shared" si="0"/>
        <v>2400</v>
      </c>
      <c r="AA1" s="23">
        <f t="shared" si="0"/>
        <v>2500</v>
      </c>
      <c r="AB1" s="23">
        <f t="shared" si="0"/>
        <v>2600</v>
      </c>
    </row>
    <row r="2" spans="1:28" ht="60" x14ac:dyDescent="0.25">
      <c r="A2" s="22" t="s">
        <v>213</v>
      </c>
      <c r="B2" s="23">
        <v>0</v>
      </c>
      <c r="C2" s="25">
        <f>C1*(Лист14!$B$10+70*Лист14!$B$10/100)</f>
        <v>7860.2530239093967</v>
      </c>
      <c r="D2" s="25">
        <f>D1*(Лист14!$B$10+70*Лист14!$B$10/100)</f>
        <v>15720.506047818793</v>
      </c>
      <c r="E2" s="25">
        <f>E1*(Лист14!$B$10+70*Лист14!$B$10/100)</f>
        <v>23580.759071728189</v>
      </c>
      <c r="F2" s="25">
        <f>F1*(Лист14!$B$10+70*Лист14!$B$10/100)</f>
        <v>31441.012095637587</v>
      </c>
      <c r="G2" s="25">
        <f>G1*(Лист14!$B$10+70*Лист14!$B$10/100)</f>
        <v>39301.265119546981</v>
      </c>
      <c r="H2" s="25">
        <f>H1*(Лист14!$B$10+70*Лист14!$B$10/100)</f>
        <v>47161.518143456378</v>
      </c>
      <c r="I2" s="25">
        <f>I1*(Лист14!$B$10+70*Лист14!$B$10/100)</f>
        <v>55021.771167365776</v>
      </c>
      <c r="J2" s="25">
        <f>J1*(Лист14!$B$10+70*Лист14!$B$10/100)</f>
        <v>62882.024191275174</v>
      </c>
      <c r="K2" s="25">
        <f>K1*(Лист14!$B$10+70*Лист14!$B$10/100)</f>
        <v>70742.277215184571</v>
      </c>
      <c r="L2" s="25">
        <f>L1*(Лист14!$B$10+70*Лист14!$B$10/100)</f>
        <v>78602.530239093961</v>
      </c>
      <c r="M2" s="25">
        <f>M1*(Лист14!$B$10+70*Лист14!$B$10/100)</f>
        <v>86462.783263003366</v>
      </c>
      <c r="N2" s="25">
        <f>N1*(Лист14!$B$10+70*Лист14!$B$10/100)</f>
        <v>94323.036286912757</v>
      </c>
      <c r="O2" s="25">
        <f>O1*(Лист14!$B$10+70*Лист14!$B$10/100)</f>
        <v>102183.28931082216</v>
      </c>
      <c r="P2" s="25">
        <f>P1*(Лист14!$B$10+70*Лист14!$B$10/100)</f>
        <v>110043.54233473155</v>
      </c>
      <c r="Q2" s="25">
        <f>Q1*(Лист14!$B$10+70*Лист14!$B$10/100)</f>
        <v>117903.79535864094</v>
      </c>
      <c r="R2" s="25">
        <f>R1*(Лист14!$B$10+70*Лист14!$B$10/100)</f>
        <v>125764.04838255035</v>
      </c>
      <c r="S2" s="25">
        <f>S1*(Лист14!$B$10+70*Лист14!$B$10/100)</f>
        <v>133624.30140645974</v>
      </c>
      <c r="T2" s="25">
        <f>T1*(Лист14!$B$10+70*Лист14!$B$10/100)</f>
        <v>141484.55443036914</v>
      </c>
      <c r="U2" s="25">
        <f>U1*(Лист14!$B$10+70*Лист14!$B$10/100)</f>
        <v>149344.80745427855</v>
      </c>
      <c r="V2" s="25">
        <f>V1*(Лист14!$B$10+70*Лист14!$B$10/100)</f>
        <v>157205.06047818792</v>
      </c>
      <c r="W2" s="25">
        <f>W1*(Лист14!$B$10+70*Лист14!$B$10/100)</f>
        <v>165065.31350209733</v>
      </c>
      <c r="X2" s="25">
        <f>X1*(Лист14!$B$10+70*Лист14!$B$10/100)</f>
        <v>172925.56652600673</v>
      </c>
      <c r="Y2" s="25">
        <f>Y1*(Лист14!$B$10+70*Лист14!$B$10/100)</f>
        <v>180785.81954991611</v>
      </c>
      <c r="Z2" s="25">
        <f>Z1*(Лист14!$B$10+70*Лист14!$B$10/100)</f>
        <v>188646.07257382551</v>
      </c>
      <c r="AA2" s="25">
        <f>AA1*(Лист14!$B$10+70*Лист14!$B$10/100)</f>
        <v>196506.32559773492</v>
      </c>
      <c r="AB2" s="25">
        <f>AB1*(Лист14!$B$10+70*Лист14!$B$10/100)</f>
        <v>204366.57862164432</v>
      </c>
    </row>
    <row r="3" spans="1:28" ht="45" x14ac:dyDescent="0.25">
      <c r="A3" s="22" t="s">
        <v>214</v>
      </c>
      <c r="B3" s="26">
        <f>Лист13!$D$18</f>
        <v>9519.7660676470587</v>
      </c>
      <c r="C3" s="26">
        <f>Лист13!$D$18</f>
        <v>9519.7660676470587</v>
      </c>
      <c r="D3" s="26">
        <f>Лист13!$D$18</f>
        <v>9519.7660676470587</v>
      </c>
      <c r="E3" s="26">
        <f>Лист13!$D$18</f>
        <v>9519.7660676470587</v>
      </c>
      <c r="F3" s="26">
        <f>Лист13!$D$18</f>
        <v>9519.7660676470587</v>
      </c>
      <c r="G3" s="26">
        <f>Лист13!$D$18</f>
        <v>9519.7660676470587</v>
      </c>
      <c r="H3" s="26">
        <f>Лист13!$D$18</f>
        <v>9519.7660676470587</v>
      </c>
      <c r="I3" s="26">
        <f>Лист13!$D$18</f>
        <v>9519.7660676470587</v>
      </c>
      <c r="J3" s="26">
        <f>Лист13!$D$18</f>
        <v>9519.7660676470587</v>
      </c>
      <c r="K3" s="26">
        <f>Лист13!$D$18</f>
        <v>9519.7660676470587</v>
      </c>
      <c r="L3" s="26">
        <f>Лист13!$D$18</f>
        <v>9519.7660676470587</v>
      </c>
      <c r="M3" s="26">
        <f>Лист13!$D$18</f>
        <v>9519.7660676470587</v>
      </c>
      <c r="N3" s="26">
        <f>Лист13!$D$18</f>
        <v>9519.7660676470587</v>
      </c>
      <c r="O3" s="26">
        <f>Лист13!$D$18</f>
        <v>9519.7660676470587</v>
      </c>
      <c r="P3" s="26">
        <f>Лист13!$D$18</f>
        <v>9519.7660676470587</v>
      </c>
      <c r="Q3" s="26">
        <f>Лист13!$D$18</f>
        <v>9519.7660676470587</v>
      </c>
      <c r="R3" s="26">
        <f>Лист13!$D$18</f>
        <v>9519.7660676470587</v>
      </c>
      <c r="S3" s="26">
        <f>Лист13!$D$18</f>
        <v>9519.7660676470587</v>
      </c>
      <c r="T3" s="26">
        <f>Лист13!$D$18</f>
        <v>9519.7660676470587</v>
      </c>
      <c r="U3" s="26">
        <f>Лист13!$D$18</f>
        <v>9519.7660676470587</v>
      </c>
      <c r="V3" s="26">
        <f>Лист13!$D$18</f>
        <v>9519.7660676470587</v>
      </c>
      <c r="W3" s="26">
        <f>Лист13!$D$18</f>
        <v>9519.7660676470587</v>
      </c>
      <c r="X3" s="26">
        <f>Лист13!$D$18</f>
        <v>9519.7660676470587</v>
      </c>
      <c r="Y3" s="26">
        <f>Лист13!$D$18</f>
        <v>9519.7660676470587</v>
      </c>
      <c r="Z3" s="26">
        <f>Лист13!$D$18</f>
        <v>9519.7660676470587</v>
      </c>
      <c r="AA3" s="26">
        <f>Лист13!$D$18</f>
        <v>9519.7660676470587</v>
      </c>
      <c r="AB3" s="26">
        <f>Лист13!$D$18</f>
        <v>9519.7660676470587</v>
      </c>
    </row>
    <row r="4" spans="1:28" ht="45" x14ac:dyDescent="0.25">
      <c r="A4" s="22" t="s">
        <v>215</v>
      </c>
      <c r="B4" s="23">
        <f>B1*[1]Лист13!$C$11</f>
        <v>0</v>
      </c>
      <c r="C4" s="23">
        <f>C1*Лист14!$C$10</f>
        <v>3017.9948357142853</v>
      </c>
      <c r="D4" s="23">
        <f>D1*Лист14!$C$10</f>
        <v>6035.9896714285705</v>
      </c>
      <c r="E4" s="23">
        <f>E1*Лист14!$C$10</f>
        <v>9053.9845071428554</v>
      </c>
      <c r="F4" s="23">
        <f>F1*Лист14!$C$10</f>
        <v>12071.979342857141</v>
      </c>
      <c r="G4" s="23">
        <f>G1*Лист14!$C$10</f>
        <v>15089.974178571425</v>
      </c>
      <c r="H4" s="23">
        <f>H1*Лист14!$C$10</f>
        <v>18107.969014285711</v>
      </c>
      <c r="I4" s="23">
        <f>I1*Лист14!$C$10</f>
        <v>21125.963849999996</v>
      </c>
      <c r="J4" s="23">
        <f>J1*Лист14!$C$10</f>
        <v>24143.958685714282</v>
      </c>
      <c r="K4" s="23">
        <f>K1*Лист14!$C$10</f>
        <v>27161.953521428568</v>
      </c>
      <c r="L4" s="23">
        <f>L1*Лист14!$C$10</f>
        <v>30179.94835714285</v>
      </c>
      <c r="M4" s="23">
        <f>M1*Лист14!$C$10</f>
        <v>33197.943192857136</v>
      </c>
      <c r="N4" s="23">
        <f>N1*Лист14!$C$10</f>
        <v>36215.938028571421</v>
      </c>
      <c r="O4" s="23">
        <f>O1*Лист14!$C$10</f>
        <v>39233.932864285707</v>
      </c>
      <c r="P4" s="23">
        <f>P1*Лист14!$C$10</f>
        <v>42251.927699999993</v>
      </c>
      <c r="Q4" s="23">
        <f>Q1*Лист14!$C$10</f>
        <v>45269.922535714279</v>
      </c>
      <c r="R4" s="23">
        <f>R1*Лист14!$C$10</f>
        <v>48287.917371428564</v>
      </c>
      <c r="S4" s="23">
        <f>S1*Лист14!$C$10</f>
        <v>51305.91220714285</v>
      </c>
      <c r="T4" s="23">
        <f>T1*Лист14!$C$10</f>
        <v>54323.907042857136</v>
      </c>
      <c r="U4" s="23">
        <f>U1*Лист14!$C$10</f>
        <v>57341.901878571422</v>
      </c>
      <c r="V4" s="23">
        <f>V1*Лист14!$C$10</f>
        <v>60359.8967142857</v>
      </c>
      <c r="W4" s="23">
        <f>W1*Лист14!$C$10</f>
        <v>63377.891549999986</v>
      </c>
      <c r="X4" s="23">
        <f>X1*Лист14!$C$10</f>
        <v>66395.886385714271</v>
      </c>
      <c r="Y4" s="23">
        <f>Y1*Лист14!$C$10</f>
        <v>69413.881221428557</v>
      </c>
      <c r="Z4" s="23">
        <f>Z1*Лист14!$C$10</f>
        <v>72431.876057142843</v>
      </c>
      <c r="AA4" s="23">
        <f>AA1*Лист14!$C$10</f>
        <v>75449.870892857129</v>
      </c>
      <c r="AB4" s="23">
        <f>AB1*Лист14!$C$10</f>
        <v>78467.865728571414</v>
      </c>
    </row>
    <row r="5" spans="1:28" ht="45" x14ac:dyDescent="0.25">
      <c r="A5" s="22" t="s">
        <v>216</v>
      </c>
      <c r="B5" s="26">
        <f>B4+B3</f>
        <v>9519.7660676470587</v>
      </c>
      <c r="C5" s="26">
        <f>C4+C3</f>
        <v>12537.760903361344</v>
      </c>
      <c r="D5" s="26">
        <f t="shared" ref="D5:G5" si="1">D4+D3</f>
        <v>15555.75573907563</v>
      </c>
      <c r="E5" s="26">
        <f t="shared" si="1"/>
        <v>18573.750574789912</v>
      </c>
      <c r="F5" s="26">
        <f t="shared" si="1"/>
        <v>21591.745410504198</v>
      </c>
      <c r="G5" s="26">
        <f t="shared" si="1"/>
        <v>24609.740246218484</v>
      </c>
      <c r="H5" s="26">
        <f t="shared" ref="H5:AB5" si="2">H4+H3</f>
        <v>27627.735081932769</v>
      </c>
      <c r="I5" s="26">
        <f t="shared" si="2"/>
        <v>30645.729917647055</v>
      </c>
      <c r="J5" s="26">
        <f t="shared" si="2"/>
        <v>33663.724753361341</v>
      </c>
      <c r="K5" s="26">
        <f t="shared" si="2"/>
        <v>36681.719589075627</v>
      </c>
      <c r="L5" s="26">
        <f t="shared" si="2"/>
        <v>39699.714424789912</v>
      </c>
      <c r="M5" s="26">
        <f t="shared" si="2"/>
        <v>42717.709260504198</v>
      </c>
      <c r="N5" s="26">
        <f t="shared" si="2"/>
        <v>45735.704096218484</v>
      </c>
      <c r="O5" s="26">
        <f t="shared" si="2"/>
        <v>48753.698931932769</v>
      </c>
      <c r="P5" s="26">
        <f t="shared" si="2"/>
        <v>51771.693767647055</v>
      </c>
      <c r="Q5" s="26">
        <f t="shared" si="2"/>
        <v>54789.688603361341</v>
      </c>
      <c r="R5" s="26">
        <f t="shared" si="2"/>
        <v>57807.683439075627</v>
      </c>
      <c r="S5" s="26">
        <f t="shared" si="2"/>
        <v>60825.678274789912</v>
      </c>
      <c r="T5" s="26">
        <f t="shared" si="2"/>
        <v>63843.673110504198</v>
      </c>
      <c r="U5" s="26">
        <f t="shared" si="2"/>
        <v>66861.667946218484</v>
      </c>
      <c r="V5" s="26">
        <f t="shared" si="2"/>
        <v>69879.662781932755</v>
      </c>
      <c r="W5" s="26">
        <f t="shared" si="2"/>
        <v>72897.657617647041</v>
      </c>
      <c r="X5" s="26">
        <f t="shared" si="2"/>
        <v>75915.652453361326</v>
      </c>
      <c r="Y5" s="26">
        <f t="shared" si="2"/>
        <v>78933.647289075612</v>
      </c>
      <c r="Z5" s="26">
        <f t="shared" si="2"/>
        <v>81951.642124789898</v>
      </c>
      <c r="AA5" s="26">
        <f t="shared" si="2"/>
        <v>84969.636960504184</v>
      </c>
      <c r="AB5" s="26">
        <f t="shared" si="2"/>
        <v>87987.631796218469</v>
      </c>
    </row>
    <row r="6" spans="1:28" ht="75" x14ac:dyDescent="0.25">
      <c r="A6" s="27" t="s">
        <v>217</v>
      </c>
      <c r="B6" s="28">
        <f>B3/(Лист14!$B$10+70*Лист14!$B$10/100)-Лист14!C10</f>
        <v>90.932769499263799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</row>
    <row r="7" spans="1:28" x14ac:dyDescent="0.25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7"/>
  <sheetViews>
    <sheetView workbookViewId="0">
      <selection activeCell="F5" sqref="F5:G5"/>
    </sheetView>
  </sheetViews>
  <sheetFormatPr defaultRowHeight="15" x14ac:dyDescent="0.25"/>
  <cols>
    <col min="10" max="10" width="13.140625" bestFit="1" customWidth="1"/>
  </cols>
  <sheetData>
    <row r="1" spans="1:10" ht="30" x14ac:dyDescent="0.25">
      <c r="A1" s="36" t="s">
        <v>191</v>
      </c>
      <c r="B1" s="36"/>
      <c r="C1" s="36"/>
      <c r="D1" s="36" t="s">
        <v>192</v>
      </c>
      <c r="E1" s="36"/>
      <c r="F1" s="36" t="s">
        <v>153</v>
      </c>
      <c r="G1" s="36"/>
      <c r="H1" s="36" t="s">
        <v>154</v>
      </c>
      <c r="I1" s="36"/>
      <c r="J1" s="16" t="s">
        <v>155</v>
      </c>
    </row>
    <row r="2" spans="1:10" x14ac:dyDescent="0.25">
      <c r="A2" s="37">
        <v>1</v>
      </c>
      <c r="B2" s="38"/>
      <c r="C2" s="39"/>
      <c r="D2" s="37">
        <v>2</v>
      </c>
      <c r="E2" s="39"/>
      <c r="F2" s="37">
        <v>3</v>
      </c>
      <c r="G2" s="39"/>
      <c r="H2" s="37">
        <v>4</v>
      </c>
      <c r="I2" s="39"/>
      <c r="J2" s="17">
        <v>5</v>
      </c>
    </row>
    <row r="3" spans="1:10" x14ac:dyDescent="0.25">
      <c r="A3" s="36" t="s">
        <v>193</v>
      </c>
      <c r="B3" s="36"/>
      <c r="C3" s="36"/>
      <c r="D3" s="40">
        <f>Лист15!$B$3</f>
        <v>55484.138992301632</v>
      </c>
      <c r="E3" s="40"/>
      <c r="F3" s="40" t="s">
        <v>188</v>
      </c>
      <c r="G3" s="40"/>
      <c r="H3" s="41">
        <v>45</v>
      </c>
      <c r="I3" s="41"/>
      <c r="J3" s="18">
        <f>D3*H3/360</f>
        <v>6935.517374037704</v>
      </c>
    </row>
    <row r="4" spans="1:10" x14ac:dyDescent="0.25">
      <c r="A4" s="36" t="s">
        <v>194</v>
      </c>
      <c r="B4" s="36"/>
      <c r="C4" s="36"/>
      <c r="D4" s="40">
        <f>Лист15!$B$3</f>
        <v>55484.138992301632</v>
      </c>
      <c r="E4" s="40"/>
      <c r="F4" s="40" t="s">
        <v>188</v>
      </c>
      <c r="G4" s="40"/>
      <c r="H4" s="41">
        <v>10</v>
      </c>
      <c r="I4" s="41"/>
      <c r="J4" s="18">
        <f t="shared" ref="J4:J5" si="0">D4*H4/360</f>
        <v>1541.2260831194897</v>
      </c>
    </row>
    <row r="5" spans="1:10" x14ac:dyDescent="0.25">
      <c r="A5" s="36" t="s">
        <v>195</v>
      </c>
      <c r="B5" s="36"/>
      <c r="C5" s="36"/>
      <c r="D5" s="40">
        <f>Лист15!$B$3</f>
        <v>55484.138992301632</v>
      </c>
      <c r="E5" s="40"/>
      <c r="F5" s="40" t="s">
        <v>188</v>
      </c>
      <c r="G5" s="40"/>
      <c r="H5" s="41">
        <v>10</v>
      </c>
      <c r="I5" s="41"/>
      <c r="J5" s="18">
        <f t="shared" si="0"/>
        <v>1541.2260831194897</v>
      </c>
    </row>
    <row r="6" spans="1:10" x14ac:dyDescent="0.25">
      <c r="A6" s="36" t="s">
        <v>196</v>
      </c>
      <c r="B6" s="36"/>
      <c r="C6" s="36"/>
      <c r="D6" s="40" t="s">
        <v>188</v>
      </c>
      <c r="E6" s="40"/>
      <c r="F6" s="40">
        <f>Лист15!B2/360</f>
        <v>277.42069496150816</v>
      </c>
      <c r="G6" s="40"/>
      <c r="H6" s="41">
        <v>30</v>
      </c>
      <c r="I6" s="41"/>
      <c r="J6" s="18">
        <f>F6*H6</f>
        <v>8322.6208488452448</v>
      </c>
    </row>
    <row r="7" spans="1:10" x14ac:dyDescent="0.25">
      <c r="A7" s="40" t="s">
        <v>57</v>
      </c>
      <c r="B7" s="40"/>
      <c r="C7" s="40"/>
      <c r="D7" s="40">
        <f>D3+D4+D5</f>
        <v>166452.4169769049</v>
      </c>
      <c r="E7" s="40"/>
      <c r="F7" s="40">
        <f>F6</f>
        <v>277.42069496150816</v>
      </c>
      <c r="G7" s="40"/>
      <c r="H7" s="41"/>
      <c r="I7" s="41"/>
      <c r="J7" s="18">
        <f>J3+J4+J5+J6</f>
        <v>18340.590389121928</v>
      </c>
    </row>
  </sheetData>
  <mergeCells count="28">
    <mergeCell ref="A7:C7"/>
    <mergeCell ref="D7:E7"/>
    <mergeCell ref="F7:G7"/>
    <mergeCell ref="H7:I7"/>
    <mergeCell ref="A5:C5"/>
    <mergeCell ref="D5:E5"/>
    <mergeCell ref="F5:G5"/>
    <mergeCell ref="H5:I5"/>
    <mergeCell ref="A6:C6"/>
    <mergeCell ref="D6:E6"/>
    <mergeCell ref="F6:G6"/>
    <mergeCell ref="H6:I6"/>
    <mergeCell ref="A3:C3"/>
    <mergeCell ref="D3:E3"/>
    <mergeCell ref="F3:G3"/>
    <mergeCell ref="H3:I3"/>
    <mergeCell ref="A4:C4"/>
    <mergeCell ref="D4:E4"/>
    <mergeCell ref="F4:G4"/>
    <mergeCell ref="H4:I4"/>
    <mergeCell ref="A1:C1"/>
    <mergeCell ref="D1:E1"/>
    <mergeCell ref="F1:G1"/>
    <mergeCell ref="H1:I1"/>
    <mergeCell ref="A2:C2"/>
    <mergeCell ref="D2:E2"/>
    <mergeCell ref="F2:G2"/>
    <mergeCell ref="H2:I2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6"/>
  <sheetViews>
    <sheetView workbookViewId="0">
      <selection activeCell="E15" sqref="E15"/>
    </sheetView>
  </sheetViews>
  <sheetFormatPr defaultRowHeight="15" x14ac:dyDescent="0.25"/>
  <cols>
    <col min="1" max="1" width="30.28515625" customWidth="1"/>
    <col min="2" max="2" width="18.140625" customWidth="1"/>
    <col min="3" max="3" width="18" customWidth="1"/>
    <col min="5" max="5" width="13.7109375" customWidth="1"/>
  </cols>
  <sheetData>
    <row r="1" spans="1:5" ht="45" x14ac:dyDescent="0.25">
      <c r="A1" s="3" t="s">
        <v>151</v>
      </c>
      <c r="B1" s="3" t="s">
        <v>152</v>
      </c>
      <c r="C1" s="3" t="s">
        <v>153</v>
      </c>
      <c r="D1" s="3" t="s">
        <v>154</v>
      </c>
      <c r="E1" s="3" t="s">
        <v>155</v>
      </c>
    </row>
    <row r="2" spans="1:5" x14ac:dyDescent="0.25">
      <c r="A2" s="1">
        <v>1</v>
      </c>
      <c r="B2" s="1">
        <v>2</v>
      </c>
      <c r="C2" s="1">
        <v>3</v>
      </c>
      <c r="D2" s="1">
        <v>4</v>
      </c>
      <c r="E2" s="1">
        <v>5</v>
      </c>
    </row>
    <row r="3" spans="1:5" x14ac:dyDescent="0.25">
      <c r="A3" s="1" t="s">
        <v>156</v>
      </c>
      <c r="B3" s="1">
        <f>Лист3!C3</f>
        <v>19413.36</v>
      </c>
      <c r="C3" s="1">
        <f>B3/360</f>
        <v>53.926000000000002</v>
      </c>
      <c r="D3" s="1">
        <v>30</v>
      </c>
      <c r="E3" s="1">
        <f>C3*D3</f>
        <v>1617.78</v>
      </c>
    </row>
    <row r="4" spans="1:5" x14ac:dyDescent="0.25">
      <c r="A4" s="1" t="s">
        <v>157</v>
      </c>
      <c r="B4" s="1">
        <f>Лист3!C4</f>
        <v>1386.6685714285713</v>
      </c>
      <c r="C4" s="1">
        <f t="shared" ref="C4:C5" si="0">B4/360</f>
        <v>3.8518571428571424</v>
      </c>
      <c r="D4" s="1">
        <v>60</v>
      </c>
      <c r="E4" s="1">
        <f t="shared" ref="E4:E5" si="1">C4*D4</f>
        <v>231.11142857142855</v>
      </c>
    </row>
    <row r="5" spans="1:5" x14ac:dyDescent="0.25">
      <c r="A5" s="1" t="s">
        <v>158</v>
      </c>
      <c r="B5" s="1">
        <f>Лист3!C5</f>
        <v>6933.3428571428567</v>
      </c>
      <c r="C5" s="1">
        <f t="shared" si="0"/>
        <v>19.259285714285713</v>
      </c>
      <c r="D5" s="1">
        <v>60</v>
      </c>
      <c r="E5" s="1">
        <f t="shared" si="1"/>
        <v>1155.5571428571427</v>
      </c>
    </row>
    <row r="6" spans="1:5" x14ac:dyDescent="0.25">
      <c r="A6" s="1" t="s">
        <v>57</v>
      </c>
      <c r="B6" s="1">
        <f>B3+B4+B5</f>
        <v>27733.371428571427</v>
      </c>
      <c r="C6" s="1"/>
      <c r="D6" s="1"/>
      <c r="E6" s="1">
        <f>E3+E4+E5</f>
        <v>3004.4485714285711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10"/>
  <sheetViews>
    <sheetView workbookViewId="0">
      <selection activeCell="C11" sqref="C11"/>
    </sheetView>
  </sheetViews>
  <sheetFormatPr defaultRowHeight="15" x14ac:dyDescent="0.25"/>
  <cols>
    <col min="1" max="1" width="36.5703125" customWidth="1"/>
    <col min="2" max="2" width="37.85546875" customWidth="1"/>
  </cols>
  <sheetData>
    <row r="1" spans="1:2" x14ac:dyDescent="0.25">
      <c r="A1" s="31" t="s">
        <v>159</v>
      </c>
      <c r="B1" s="1" t="s">
        <v>155</v>
      </c>
    </row>
    <row r="2" spans="1:2" x14ac:dyDescent="0.25">
      <c r="A2" s="31"/>
      <c r="B2" s="1" t="s">
        <v>123</v>
      </c>
    </row>
    <row r="3" spans="1:2" x14ac:dyDescent="0.25">
      <c r="A3" s="1">
        <v>1</v>
      </c>
      <c r="B3" s="1">
        <v>2</v>
      </c>
    </row>
    <row r="4" spans="1:2" x14ac:dyDescent="0.25">
      <c r="A4" s="1" t="s">
        <v>160</v>
      </c>
      <c r="B4" s="19">
        <f>Лист17!E6</f>
        <v>3004.4485714285711</v>
      </c>
    </row>
    <row r="5" spans="1:2" x14ac:dyDescent="0.25">
      <c r="A5" s="1" t="s">
        <v>161</v>
      </c>
      <c r="B5" s="19">
        <f>Лист16!J3</f>
        <v>6935.517374037704</v>
      </c>
    </row>
    <row r="6" spans="1:2" x14ac:dyDescent="0.25">
      <c r="A6" s="1" t="s">
        <v>162</v>
      </c>
      <c r="B6" s="19">
        <f>Лист16!J4</f>
        <v>1541.2260831194897</v>
      </c>
    </row>
    <row r="7" spans="1:2" x14ac:dyDescent="0.25">
      <c r="A7" s="1" t="s">
        <v>163</v>
      </c>
      <c r="B7" s="19">
        <f>Лист16!J5</f>
        <v>1541.2260831194897</v>
      </c>
    </row>
    <row r="8" spans="1:2" x14ac:dyDescent="0.25">
      <c r="A8" s="1" t="s">
        <v>164</v>
      </c>
      <c r="B8" s="19">
        <f>Лист16!J6</f>
        <v>8322.6208488452448</v>
      </c>
    </row>
    <row r="9" spans="1:2" x14ac:dyDescent="0.25">
      <c r="A9" s="1" t="s">
        <v>165</v>
      </c>
      <c r="B9" s="1">
        <f>(B4+B5+B6+B7+B8)*0.05/0.95</f>
        <v>1123.4231031868683</v>
      </c>
    </row>
    <row r="10" spans="1:2" x14ac:dyDescent="0.25">
      <c r="A10" s="1" t="s">
        <v>57</v>
      </c>
      <c r="B10" s="19">
        <f>B4+B5+B6+B7+B8+B9</f>
        <v>22468.462063737366</v>
      </c>
    </row>
  </sheetData>
  <mergeCells count="1">
    <mergeCell ref="A1:A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G6" sqref="G6"/>
    </sheetView>
  </sheetViews>
  <sheetFormatPr defaultRowHeight="15" x14ac:dyDescent="0.25"/>
  <cols>
    <col min="1" max="1" width="27.5703125" customWidth="1"/>
    <col min="2" max="2" width="15" customWidth="1"/>
    <col min="3" max="3" width="14.7109375" customWidth="1"/>
    <col min="7" max="7" width="15.28515625" customWidth="1"/>
  </cols>
  <sheetData>
    <row r="1" spans="1:7" x14ac:dyDescent="0.25">
      <c r="A1" s="31" t="s">
        <v>20</v>
      </c>
      <c r="B1" s="31" t="s">
        <v>21</v>
      </c>
      <c r="C1" s="31" t="s">
        <v>22</v>
      </c>
      <c r="D1" s="31" t="s">
        <v>23</v>
      </c>
      <c r="E1" s="31"/>
      <c r="F1" s="31"/>
      <c r="G1" s="31" t="s">
        <v>24</v>
      </c>
    </row>
    <row r="2" spans="1:7" x14ac:dyDescent="0.25">
      <c r="A2" s="31"/>
      <c r="B2" s="31"/>
      <c r="C2" s="31"/>
      <c r="D2" s="1" t="s">
        <v>25</v>
      </c>
      <c r="E2" s="1" t="s">
        <v>26</v>
      </c>
      <c r="F2" s="1" t="s">
        <v>27</v>
      </c>
      <c r="G2" s="31"/>
    </row>
    <row r="3" spans="1:7" x14ac:dyDescent="0.25">
      <c r="A3" s="1">
        <v>1</v>
      </c>
      <c r="B3" s="1">
        <v>2</v>
      </c>
      <c r="C3" s="1">
        <v>3</v>
      </c>
      <c r="D3" s="1">
        <v>4</v>
      </c>
      <c r="E3" s="1">
        <v>5</v>
      </c>
      <c r="F3" s="1">
        <v>6</v>
      </c>
      <c r="G3" s="1">
        <v>7</v>
      </c>
    </row>
    <row r="4" spans="1:7" ht="45" customHeight="1" x14ac:dyDescent="0.25">
      <c r="A4" s="3" t="s">
        <v>39</v>
      </c>
      <c r="B4" s="1">
        <f>Лист1!B5</f>
        <v>80</v>
      </c>
      <c r="C4" s="1">
        <f>Лист1!B6</f>
        <v>32.5</v>
      </c>
      <c r="D4" s="1">
        <f>Лист1!B7</f>
        <v>10</v>
      </c>
      <c r="E4" s="1">
        <f>Лист1!B8</f>
        <v>4.5</v>
      </c>
      <c r="F4" s="1">
        <f>D4*E4</f>
        <v>45</v>
      </c>
      <c r="G4" s="1">
        <f>B4*C4*1.05-F4</f>
        <v>2685</v>
      </c>
    </row>
    <row r="5" spans="1:7" x14ac:dyDescent="0.25">
      <c r="A5" s="2" t="s">
        <v>28</v>
      </c>
      <c r="B5" s="1">
        <f>Лист1!B10</f>
        <v>60</v>
      </c>
      <c r="C5" s="1">
        <f>Лист1!B11</f>
        <v>105</v>
      </c>
      <c r="D5" s="1">
        <f>Лист1!B12</f>
        <v>6</v>
      </c>
      <c r="E5" s="1">
        <f>Лист1!B13</f>
        <v>8.6999999999999993</v>
      </c>
      <c r="F5" s="1">
        <f>D5*E5</f>
        <v>52.199999999999996</v>
      </c>
      <c r="G5" s="1">
        <f>B5*C5*1.05-F5</f>
        <v>6562.8</v>
      </c>
    </row>
    <row r="6" spans="1:7" x14ac:dyDescent="0.25">
      <c r="A6" s="2" t="s">
        <v>29</v>
      </c>
      <c r="B6" s="1" t="s">
        <v>31</v>
      </c>
      <c r="C6" s="1" t="s">
        <v>31</v>
      </c>
      <c r="D6" s="1" t="s">
        <v>31</v>
      </c>
      <c r="E6" s="1" t="s">
        <v>31</v>
      </c>
      <c r="F6" s="1" t="s">
        <v>31</v>
      </c>
      <c r="G6" s="13">
        <f>Лист1!B14*1.05</f>
        <v>6930</v>
      </c>
    </row>
    <row r="7" spans="1:7" x14ac:dyDescent="0.25">
      <c r="A7" s="2" t="s">
        <v>30</v>
      </c>
      <c r="B7" s="1" t="s">
        <v>31</v>
      </c>
      <c r="C7" s="1" t="s">
        <v>31</v>
      </c>
      <c r="D7" s="1" t="s">
        <v>31</v>
      </c>
      <c r="E7" s="1" t="s">
        <v>31</v>
      </c>
      <c r="F7" s="1" t="s">
        <v>31</v>
      </c>
      <c r="G7" s="1">
        <f>G4+G5+G6</f>
        <v>16177.8</v>
      </c>
    </row>
  </sheetData>
  <mergeCells count="5">
    <mergeCell ref="D1:F1"/>
    <mergeCell ref="A1:A2"/>
    <mergeCell ref="B1:B2"/>
    <mergeCell ref="C1:C2"/>
    <mergeCell ref="G1:G2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23"/>
  <sheetViews>
    <sheetView zoomScaleNormal="100" workbookViewId="0">
      <selection activeCell="G14" sqref="G14"/>
    </sheetView>
  </sheetViews>
  <sheetFormatPr defaultRowHeight="15" x14ac:dyDescent="0.25"/>
  <cols>
    <col min="1" max="1" width="36.42578125" customWidth="1"/>
    <col min="2" max="2" width="18.28515625" customWidth="1"/>
  </cols>
  <sheetData>
    <row r="1" spans="1:2" x14ac:dyDescent="0.25">
      <c r="A1" s="1" t="s">
        <v>166</v>
      </c>
      <c r="B1" s="2" t="s">
        <v>145</v>
      </c>
    </row>
    <row r="2" spans="1:2" x14ac:dyDescent="0.25">
      <c r="A2" s="1">
        <v>1</v>
      </c>
      <c r="B2" s="1">
        <v>2</v>
      </c>
    </row>
    <row r="3" spans="1:2" x14ac:dyDescent="0.25">
      <c r="A3" s="1" t="s">
        <v>167</v>
      </c>
      <c r="B3" s="1">
        <f>Лист1!B1</f>
        <v>1200</v>
      </c>
    </row>
    <row r="4" spans="1:2" ht="30" x14ac:dyDescent="0.25">
      <c r="A4" s="3" t="s">
        <v>168</v>
      </c>
      <c r="B4" s="1">
        <f>Лист15!B2</f>
        <v>99871.450186142931</v>
      </c>
    </row>
    <row r="5" spans="1:2" ht="30" customHeight="1" x14ac:dyDescent="0.25">
      <c r="A5" s="3" t="s">
        <v>170</v>
      </c>
      <c r="B5" s="1">
        <f>Лист14!B10</f>
        <v>46.236782493584691</v>
      </c>
    </row>
    <row r="6" spans="1:2" x14ac:dyDescent="0.25">
      <c r="A6" s="1" t="s">
        <v>169</v>
      </c>
      <c r="B6" s="1">
        <f>Лист14!D10</f>
        <v>16.056834136441839</v>
      </c>
    </row>
    <row r="7" spans="1:2" x14ac:dyDescent="0.25">
      <c r="A7" s="1" t="s">
        <v>171</v>
      </c>
      <c r="B7" s="1">
        <f>Лист14!C10</f>
        <v>30.179948357142852</v>
      </c>
    </row>
    <row r="8" spans="1:2" ht="30" x14ac:dyDescent="0.25">
      <c r="A8" s="3" t="s">
        <v>172</v>
      </c>
      <c r="B8" s="1">
        <f>Лист7!C14</f>
        <v>146241.47619047618</v>
      </c>
    </row>
    <row r="9" spans="1:2" ht="30" x14ac:dyDescent="0.25">
      <c r="A9" s="3" t="s">
        <v>173</v>
      </c>
      <c r="B9" s="19">
        <f>Лист18!B10</f>
        <v>22468.462063737366</v>
      </c>
    </row>
    <row r="10" spans="1:2" ht="30" customHeight="1" x14ac:dyDescent="0.25">
      <c r="A10" s="3" t="s">
        <v>197</v>
      </c>
      <c r="B10" s="11">
        <f>Лист10!B9</f>
        <v>70.898876404494388</v>
      </c>
    </row>
    <row r="11" spans="1:2" x14ac:dyDescent="0.25">
      <c r="A11" s="2" t="s">
        <v>174</v>
      </c>
      <c r="B11" s="1">
        <f>(Лист13!B9+Лист13!B15)</f>
        <v>18002.332667647053</v>
      </c>
    </row>
    <row r="12" spans="1:2" x14ac:dyDescent="0.25">
      <c r="A12" s="2" t="s">
        <v>175</v>
      </c>
      <c r="B12" s="10">
        <f>Лист8!D14</f>
        <v>6696.8072515065587</v>
      </c>
    </row>
    <row r="13" spans="1:2" ht="45" x14ac:dyDescent="0.25">
      <c r="A13" s="3" t="s">
        <v>176</v>
      </c>
      <c r="B13" s="10">
        <f>Лист3!C6</f>
        <v>27733.371428571427</v>
      </c>
    </row>
    <row r="14" spans="1:2" ht="45" x14ac:dyDescent="0.25">
      <c r="A14" s="3" t="s">
        <v>177</v>
      </c>
      <c r="B14" s="1">
        <f>B3/B10</f>
        <v>16.92551505546751</v>
      </c>
    </row>
    <row r="15" spans="1:2" ht="30" x14ac:dyDescent="0.25">
      <c r="A15" s="3" t="s">
        <v>178</v>
      </c>
      <c r="B15" s="1">
        <f>B3/Лист10!B3</f>
        <v>38.836363636363636</v>
      </c>
    </row>
    <row r="16" spans="1:2" ht="30" x14ac:dyDescent="0.25">
      <c r="A16" s="3" t="s">
        <v>179</v>
      </c>
      <c r="B16" s="1">
        <f>B4/B8</f>
        <v>0.68292151301907433</v>
      </c>
    </row>
    <row r="17" spans="1:2" x14ac:dyDescent="0.25">
      <c r="A17" s="3" t="s">
        <v>180</v>
      </c>
      <c r="B17" s="1">
        <f>B8/B4</f>
        <v>1.4642971131179894</v>
      </c>
    </row>
    <row r="18" spans="1:2" ht="30" x14ac:dyDescent="0.25">
      <c r="A18" s="3" t="s">
        <v>181</v>
      </c>
      <c r="B18" s="1">
        <f>Лист15!B6/(B8+B9)*100</f>
        <v>21.047870281101343</v>
      </c>
    </row>
    <row r="19" spans="1:2" ht="30" x14ac:dyDescent="0.25">
      <c r="A19" s="3" t="s">
        <v>182</v>
      </c>
      <c r="B19" s="1">
        <f>Лист15!B6/Лист15!B3*100</f>
        <v>63.999999999999993</v>
      </c>
    </row>
    <row r="20" spans="1:2" ht="30" x14ac:dyDescent="0.25">
      <c r="A20" s="3" t="s">
        <v>183</v>
      </c>
      <c r="B20" s="1">
        <f>Лист15!B6/Лист15!B2*100</f>
        <v>35.55555555555555</v>
      </c>
    </row>
    <row r="21" spans="1:2" ht="30" x14ac:dyDescent="0.25">
      <c r="A21" s="3" t="s">
        <v>184</v>
      </c>
      <c r="B21" s="1">
        <f>B4/B9</f>
        <v>4.4449615600227901</v>
      </c>
    </row>
    <row r="22" spans="1:2" ht="30" x14ac:dyDescent="0.25">
      <c r="A22" s="3" t="s">
        <v>185</v>
      </c>
      <c r="B22" s="1">
        <f>360/B21</f>
        <v>80.990576664999153</v>
      </c>
    </row>
    <row r="23" spans="1:2" ht="30" x14ac:dyDescent="0.25">
      <c r="A23" s="3" t="s">
        <v>186</v>
      </c>
      <c r="B23" s="1">
        <f>(B8+B9)/(B12+Лист15!B6)*12</f>
        <v>47.966824217052292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workbookViewId="0">
      <selection activeCell="C4" sqref="C4"/>
    </sheetView>
  </sheetViews>
  <sheetFormatPr defaultRowHeight="15" x14ac:dyDescent="0.25"/>
  <cols>
    <col min="1" max="1" width="47.5703125" customWidth="1"/>
    <col min="2" max="2" width="54.7109375" customWidth="1"/>
    <col min="3" max="3" width="14.140625" customWidth="1"/>
  </cols>
  <sheetData>
    <row r="1" spans="1:3" x14ac:dyDescent="0.25">
      <c r="A1" s="1" t="s">
        <v>32</v>
      </c>
      <c r="B1" s="1" t="s">
        <v>33</v>
      </c>
      <c r="C1" s="1" t="s">
        <v>34</v>
      </c>
    </row>
    <row r="2" spans="1:3" x14ac:dyDescent="0.25">
      <c r="A2" s="1">
        <v>1</v>
      </c>
      <c r="B2" s="1">
        <v>2</v>
      </c>
      <c r="C2" s="1">
        <v>3</v>
      </c>
    </row>
    <row r="3" spans="1:3" ht="30" x14ac:dyDescent="0.25">
      <c r="A3" s="3" t="s">
        <v>35</v>
      </c>
      <c r="B3" s="1">
        <v>70</v>
      </c>
      <c r="C3" s="4">
        <f>Лист1!B1*Лист2!G7/1000</f>
        <v>19413.36</v>
      </c>
    </row>
    <row r="4" spans="1:3" ht="45" x14ac:dyDescent="0.25">
      <c r="A4" s="3" t="s">
        <v>38</v>
      </c>
      <c r="B4" s="1">
        <v>5</v>
      </c>
      <c r="C4" s="1">
        <f>C6*B4/100</f>
        <v>1386.6685714285713</v>
      </c>
    </row>
    <row r="5" spans="1:3" x14ac:dyDescent="0.25">
      <c r="A5" s="1" t="s">
        <v>37</v>
      </c>
      <c r="B5" s="1">
        <v>25</v>
      </c>
      <c r="C5" s="1">
        <f>C6*B5/B6</f>
        <v>6933.3428571428567</v>
      </c>
    </row>
    <row r="6" spans="1:3" x14ac:dyDescent="0.25">
      <c r="A6" s="1" t="s">
        <v>36</v>
      </c>
      <c r="B6" s="1">
        <v>100</v>
      </c>
      <c r="C6" s="1">
        <f>C3*B6/B3</f>
        <v>27733.371428571427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"/>
  <sheetViews>
    <sheetView workbookViewId="0">
      <selection activeCell="F8" sqref="F8"/>
    </sheetView>
  </sheetViews>
  <sheetFormatPr defaultRowHeight="15" x14ac:dyDescent="0.25"/>
  <cols>
    <col min="1" max="1" width="18.28515625" customWidth="1"/>
    <col min="2" max="2" width="14.7109375" customWidth="1"/>
    <col min="3" max="3" width="16.42578125" customWidth="1"/>
    <col min="4" max="4" width="18.42578125" customWidth="1"/>
    <col min="5" max="5" width="18.7109375" customWidth="1"/>
    <col min="6" max="6" width="16.42578125" customWidth="1"/>
    <col min="7" max="7" width="14.42578125" customWidth="1"/>
  </cols>
  <sheetData>
    <row r="1" spans="1:7" x14ac:dyDescent="0.25">
      <c r="A1" s="31" t="s">
        <v>40</v>
      </c>
      <c r="B1" s="31" t="s">
        <v>41</v>
      </c>
      <c r="C1" s="31"/>
      <c r="D1" s="31"/>
      <c r="E1" s="31" t="s">
        <v>42</v>
      </c>
      <c r="F1" s="31"/>
      <c r="G1" s="31"/>
    </row>
    <row r="2" spans="1:7" x14ac:dyDescent="0.25">
      <c r="A2" s="31"/>
      <c r="B2" s="31" t="s">
        <v>34</v>
      </c>
      <c r="C2" s="31" t="s">
        <v>43</v>
      </c>
      <c r="D2" s="31"/>
      <c r="E2" s="31" t="s">
        <v>34</v>
      </c>
      <c r="F2" s="31" t="s">
        <v>43</v>
      </c>
      <c r="G2" s="31"/>
    </row>
    <row r="3" spans="1:7" ht="30" x14ac:dyDescent="0.25">
      <c r="A3" s="31"/>
      <c r="B3" s="31"/>
      <c r="C3" s="3" t="s">
        <v>44</v>
      </c>
      <c r="D3" s="3" t="s">
        <v>45</v>
      </c>
      <c r="E3" s="31"/>
      <c r="F3" s="3" t="s">
        <v>44</v>
      </c>
      <c r="G3" s="3" t="s">
        <v>45</v>
      </c>
    </row>
    <row r="4" spans="1:7" x14ac:dyDescent="0.25">
      <c r="A4" s="1">
        <v>1</v>
      </c>
      <c r="B4" s="1">
        <v>2</v>
      </c>
      <c r="C4" s="1">
        <v>3</v>
      </c>
      <c r="D4" s="1">
        <v>4</v>
      </c>
      <c r="E4" s="1">
        <v>5</v>
      </c>
      <c r="F4" s="1">
        <v>6</v>
      </c>
      <c r="G4" s="1">
        <v>7</v>
      </c>
    </row>
    <row r="5" spans="1:7" ht="75" x14ac:dyDescent="0.25">
      <c r="A5" s="3" t="s">
        <v>46</v>
      </c>
      <c r="B5" s="1">
        <f>Лист3!C3</f>
        <v>19413.36</v>
      </c>
      <c r="C5" s="1" t="s">
        <v>31</v>
      </c>
      <c r="D5" s="1">
        <f>B5</f>
        <v>19413.36</v>
      </c>
      <c r="E5" s="1">
        <f>D5/Лист1!B1</f>
        <v>16.177800000000001</v>
      </c>
      <c r="F5" s="1" t="s">
        <v>31</v>
      </c>
      <c r="G5" s="1">
        <f>E5</f>
        <v>16.177800000000001</v>
      </c>
    </row>
    <row r="6" spans="1:7" ht="93" customHeight="1" x14ac:dyDescent="0.25">
      <c r="A6" s="3" t="s">
        <v>47</v>
      </c>
      <c r="B6" s="1">
        <f>Лист3!C4</f>
        <v>1386.6685714285713</v>
      </c>
      <c r="C6" s="1">
        <f>Лист3!C4*80/100</f>
        <v>1109.3348571428571</v>
      </c>
      <c r="D6" s="1">
        <f>Лист3!C4*20/100</f>
        <v>277.33371428571428</v>
      </c>
      <c r="E6" s="1">
        <f>B6/Лист1!B1</f>
        <v>1.1555571428571427</v>
      </c>
      <c r="F6" s="1">
        <f>C6/Лист1!B1</f>
        <v>0.92444571428571432</v>
      </c>
      <c r="G6" s="1">
        <f>D6/Лист1!B1</f>
        <v>0.23111142857142858</v>
      </c>
    </row>
    <row r="7" spans="1:7" ht="45" x14ac:dyDescent="0.25">
      <c r="A7" s="3" t="s">
        <v>48</v>
      </c>
      <c r="B7" s="1">
        <f>Лист3!C5</f>
        <v>6933.3428571428567</v>
      </c>
      <c r="C7" s="1">
        <f>Лист3!C5*40/100</f>
        <v>2773.3371428571427</v>
      </c>
      <c r="D7" s="1">
        <f>Лист3!C5*60/100</f>
        <v>4160.005714285714</v>
      </c>
      <c r="E7" s="1">
        <f>B7/Лист1!B1</f>
        <v>5.7777857142857139</v>
      </c>
      <c r="F7" s="1">
        <f>C7/Лист1!B1</f>
        <v>2.3111142857142855</v>
      </c>
      <c r="G7" s="1">
        <f>D7/Лист1!B1</f>
        <v>3.4666714285714284</v>
      </c>
    </row>
    <row r="8" spans="1:7" ht="45" x14ac:dyDescent="0.25">
      <c r="A8" s="7" t="s">
        <v>36</v>
      </c>
      <c r="B8" s="1">
        <f>Лист3!C6</f>
        <v>27733.371428571427</v>
      </c>
      <c r="C8" s="1">
        <f>C6+C7</f>
        <v>3882.6719999999996</v>
      </c>
      <c r="D8" s="1">
        <f>D5+D6+D7</f>
        <v>23850.699428571428</v>
      </c>
      <c r="E8" s="1">
        <f>E5+E6+E7</f>
        <v>23.111142857142855</v>
      </c>
      <c r="F8" s="1">
        <f>F6+F7</f>
        <v>3.2355599999999995</v>
      </c>
      <c r="G8" s="1">
        <f>G5+G6+G7</f>
        <v>19.875582857142856</v>
      </c>
    </row>
  </sheetData>
  <mergeCells count="7">
    <mergeCell ref="B1:D1"/>
    <mergeCell ref="B2:B3"/>
    <mergeCell ref="A1:A3"/>
    <mergeCell ref="C2:D2"/>
    <mergeCell ref="E1:G1"/>
    <mergeCell ref="F2:G2"/>
    <mergeCell ref="E2:E3"/>
  </mergeCells>
  <pageMargins left="0.7" right="0.7" top="0.75" bottom="0.75" header="0.3" footer="0.3"/>
  <ignoredErrors>
    <ignoredError sqref="F8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9"/>
  <sheetViews>
    <sheetView workbookViewId="0">
      <selection activeCell="B7" sqref="B7"/>
    </sheetView>
  </sheetViews>
  <sheetFormatPr defaultRowHeight="15" x14ac:dyDescent="0.25"/>
  <cols>
    <col min="1" max="1" width="18" customWidth="1"/>
    <col min="2" max="2" width="27.42578125" customWidth="1"/>
    <col min="3" max="3" width="27.28515625" customWidth="1"/>
    <col min="4" max="4" width="18.42578125" customWidth="1"/>
    <col min="5" max="5" width="19.28515625" customWidth="1"/>
    <col min="6" max="6" width="25.140625" customWidth="1"/>
  </cols>
  <sheetData>
    <row r="1" spans="1:6" ht="51.75" customHeight="1" x14ac:dyDescent="0.25">
      <c r="A1" s="34" t="s">
        <v>49</v>
      </c>
      <c r="B1" s="34" t="s">
        <v>61</v>
      </c>
      <c r="C1" s="34" t="s">
        <v>50</v>
      </c>
      <c r="D1" s="34" t="s">
        <v>51</v>
      </c>
      <c r="E1" s="31" t="s">
        <v>52</v>
      </c>
      <c r="F1" s="31"/>
    </row>
    <row r="2" spans="1:6" x14ac:dyDescent="0.25">
      <c r="A2" s="34"/>
      <c r="B2" s="34"/>
      <c r="C2" s="34"/>
      <c r="D2" s="34"/>
      <c r="E2" s="1" t="s">
        <v>53</v>
      </c>
      <c r="F2" s="1" t="s">
        <v>54</v>
      </c>
    </row>
    <row r="3" spans="1:6" x14ac:dyDescent="0.25">
      <c r="A3" s="1">
        <v>1</v>
      </c>
      <c r="B3" s="1">
        <v>2</v>
      </c>
      <c r="C3" s="1">
        <v>3</v>
      </c>
      <c r="D3" s="1">
        <v>4</v>
      </c>
      <c r="E3" s="1">
        <v>5</v>
      </c>
      <c r="F3" s="1">
        <v>6</v>
      </c>
    </row>
    <row r="4" spans="1:6" x14ac:dyDescent="0.25">
      <c r="A4" s="1" t="s">
        <v>55</v>
      </c>
      <c r="B4" s="1">
        <f>8*Лист1!B1</f>
        <v>9600</v>
      </c>
      <c r="C4" s="1">
        <f>260*2*8*(1-10/100)</f>
        <v>3744</v>
      </c>
      <c r="D4" s="1">
        <f>Лист1!B27</f>
        <v>1.2</v>
      </c>
      <c r="E4" s="1">
        <f>B4/(C4*D4)</f>
        <v>2.1367521367521367</v>
      </c>
      <c r="F4" s="13">
        <f>ROUNDUP(E4,0)</f>
        <v>3</v>
      </c>
    </row>
    <row r="5" spans="1:6" x14ac:dyDescent="0.25">
      <c r="A5" s="1" t="s">
        <v>56</v>
      </c>
      <c r="B5" s="1">
        <f>18*Лист1!B1</f>
        <v>21600</v>
      </c>
      <c r="C5" s="1">
        <f t="shared" ref="C5:C8" si="0">260*2*8*(1-10/100)</f>
        <v>3744</v>
      </c>
      <c r="D5" s="1">
        <f>Лист1!B27</f>
        <v>1.2</v>
      </c>
      <c r="E5" s="1">
        <f>B5/(C5*D5)</f>
        <v>4.8076923076923075</v>
      </c>
      <c r="F5" s="13">
        <f t="shared" ref="F5:F8" si="1">ROUNDUP(E5,0)</f>
        <v>5</v>
      </c>
    </row>
    <row r="6" spans="1:6" x14ac:dyDescent="0.25">
      <c r="A6" s="1" t="s">
        <v>58</v>
      </c>
      <c r="B6" s="1">
        <f>10*Лист1!B1</f>
        <v>12000</v>
      </c>
      <c r="C6" s="1">
        <f t="shared" si="0"/>
        <v>3744</v>
      </c>
      <c r="D6" s="1">
        <f>Лист1!B27</f>
        <v>1.2</v>
      </c>
      <c r="E6" s="1">
        <f>B6/(C6*D6)</f>
        <v>2.6709401709401708</v>
      </c>
      <c r="F6" s="13">
        <f t="shared" si="1"/>
        <v>3</v>
      </c>
    </row>
    <row r="7" spans="1:6" x14ac:dyDescent="0.25">
      <c r="A7" s="1" t="s">
        <v>59</v>
      </c>
      <c r="B7" s="1">
        <f>12*Лист1!B1</f>
        <v>14400</v>
      </c>
      <c r="C7" s="1">
        <f t="shared" si="0"/>
        <v>3744</v>
      </c>
      <c r="D7" s="1">
        <f>Лист1!B27</f>
        <v>1.2</v>
      </c>
      <c r="E7" s="1">
        <f>B7/(C7*D7)</f>
        <v>3.2051282051282048</v>
      </c>
      <c r="F7" s="13">
        <f t="shared" si="1"/>
        <v>4</v>
      </c>
    </row>
    <row r="8" spans="1:6" x14ac:dyDescent="0.25">
      <c r="A8" s="1" t="s">
        <v>60</v>
      </c>
      <c r="B8" s="1">
        <f>7*Лист1!B1</f>
        <v>8400</v>
      </c>
      <c r="C8" s="1">
        <f t="shared" si="0"/>
        <v>3744</v>
      </c>
      <c r="D8" s="1">
        <f>Лист1!B27</f>
        <v>1.2</v>
      </c>
      <c r="E8" s="1">
        <f>B8/(C8*D8)</f>
        <v>1.8696581196581197</v>
      </c>
      <c r="F8" s="13">
        <f t="shared" si="1"/>
        <v>2</v>
      </c>
    </row>
    <row r="9" spans="1:6" x14ac:dyDescent="0.25">
      <c r="A9" s="1" t="s">
        <v>57</v>
      </c>
      <c r="B9" s="1">
        <f>B4+B5+B6+B7+B8</f>
        <v>66000</v>
      </c>
      <c r="C9" s="1" t="s">
        <v>31</v>
      </c>
      <c r="D9" s="1" t="s">
        <v>31</v>
      </c>
      <c r="E9" s="1">
        <f>E4+E5+E6+E7+E8</f>
        <v>14.690170940170939</v>
      </c>
      <c r="F9" s="13">
        <f>F4+F5+F6+F7+F8</f>
        <v>17</v>
      </c>
    </row>
  </sheetData>
  <mergeCells count="5">
    <mergeCell ref="E1:F1"/>
    <mergeCell ref="A1:A2"/>
    <mergeCell ref="B1:B2"/>
    <mergeCell ref="C1:C2"/>
    <mergeCell ref="D1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workbookViewId="0">
      <selection activeCell="B23" sqref="B23"/>
    </sheetView>
  </sheetViews>
  <sheetFormatPr defaultRowHeight="15" x14ac:dyDescent="0.25"/>
  <cols>
    <col min="1" max="1" width="18.28515625" customWidth="1"/>
    <col min="2" max="2" width="27.5703125" customWidth="1"/>
    <col min="3" max="3" width="18.28515625" customWidth="1"/>
    <col min="4" max="4" width="29" customWidth="1"/>
  </cols>
  <sheetData>
    <row r="1" spans="1:4" ht="45" x14ac:dyDescent="0.25">
      <c r="A1" s="3" t="s">
        <v>49</v>
      </c>
      <c r="B1" s="3" t="s">
        <v>62</v>
      </c>
      <c r="C1" s="3" t="s">
        <v>63</v>
      </c>
      <c r="D1" s="3" t="s">
        <v>64</v>
      </c>
    </row>
    <row r="2" spans="1:4" x14ac:dyDescent="0.25">
      <c r="A2" s="1">
        <v>1</v>
      </c>
      <c r="B2" s="1">
        <v>2</v>
      </c>
      <c r="C2" s="1">
        <v>3</v>
      </c>
      <c r="D2" s="1">
        <v>4</v>
      </c>
    </row>
    <row r="3" spans="1:4" x14ac:dyDescent="0.25">
      <c r="A3" s="1" t="s">
        <v>55</v>
      </c>
      <c r="B3" s="1">
        <f>Лист1!B28</f>
        <v>394.2</v>
      </c>
      <c r="C3" s="1">
        <f>Лист5!F4</f>
        <v>3</v>
      </c>
      <c r="D3" s="1">
        <f>B3*C3*(1+(10/100)+(20/100)+(15/100))</f>
        <v>1714.7699999999998</v>
      </c>
    </row>
    <row r="4" spans="1:4" x14ac:dyDescent="0.25">
      <c r="A4" s="1" t="s">
        <v>56</v>
      </c>
      <c r="B4" s="1">
        <f>Лист1!B29</f>
        <v>7128.3</v>
      </c>
      <c r="C4" s="1">
        <f>Лист5!F5</f>
        <v>5</v>
      </c>
      <c r="D4" s="1">
        <f t="shared" ref="D4:D7" si="0">B4*C4*(1+(10/100)+(20/100)+(15/100))</f>
        <v>51680.174999999996</v>
      </c>
    </row>
    <row r="5" spans="1:4" x14ac:dyDescent="0.25">
      <c r="A5" s="1" t="s">
        <v>58</v>
      </c>
      <c r="B5" s="1">
        <f>Лист1!B30</f>
        <v>228.3</v>
      </c>
      <c r="C5" s="1">
        <f>Лист5!F6</f>
        <v>3</v>
      </c>
      <c r="D5" s="1">
        <f t="shared" si="0"/>
        <v>993.10500000000013</v>
      </c>
    </row>
    <row r="6" spans="1:4" x14ac:dyDescent="0.25">
      <c r="A6" s="1" t="s">
        <v>59</v>
      </c>
      <c r="B6" s="1">
        <f>Лист1!B31</f>
        <v>1141.5</v>
      </c>
      <c r="C6" s="1">
        <f>Лист5!F7</f>
        <v>4</v>
      </c>
      <c r="D6" s="1">
        <f t="shared" si="0"/>
        <v>6620.7</v>
      </c>
    </row>
    <row r="7" spans="1:4" x14ac:dyDescent="0.25">
      <c r="A7" s="1" t="s">
        <v>60</v>
      </c>
      <c r="B7" s="1">
        <f>Лист1!B32</f>
        <v>142.30000000000001</v>
      </c>
      <c r="C7" s="1">
        <f>Лист5!F8</f>
        <v>2</v>
      </c>
      <c r="D7" s="1">
        <f t="shared" si="0"/>
        <v>412.67</v>
      </c>
    </row>
    <row r="8" spans="1:4" x14ac:dyDescent="0.25">
      <c r="A8" s="1" t="s">
        <v>57</v>
      </c>
      <c r="B8" s="1">
        <f>B3+B4+B5+B6+B7</f>
        <v>9034.5999999999985</v>
      </c>
      <c r="C8" s="1">
        <f>C3+C4+C5+C6+C7</f>
        <v>17</v>
      </c>
      <c r="D8" s="1">
        <f>D3+D4+D5+D6+D7</f>
        <v>61421.419999999991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4"/>
  <sheetViews>
    <sheetView workbookViewId="0">
      <selection activeCell="B6" sqref="B6"/>
    </sheetView>
  </sheetViews>
  <sheetFormatPr defaultRowHeight="15" x14ac:dyDescent="0.25"/>
  <cols>
    <col min="1" max="1" width="34.140625" customWidth="1"/>
    <col min="2" max="2" width="22.28515625" customWidth="1"/>
    <col min="3" max="3" width="18.140625" customWidth="1"/>
  </cols>
  <sheetData>
    <row r="1" spans="1:3" x14ac:dyDescent="0.25">
      <c r="A1" s="1" t="s">
        <v>65</v>
      </c>
      <c r="B1" s="1" t="s">
        <v>66</v>
      </c>
      <c r="C1" s="1" t="s">
        <v>34</v>
      </c>
    </row>
    <row r="2" spans="1:3" x14ac:dyDescent="0.25">
      <c r="A2" s="1" t="s">
        <v>67</v>
      </c>
      <c r="B2" s="1">
        <v>30</v>
      </c>
      <c r="C2" s="1">
        <f>C13*B2</f>
        <v>43872.442857142851</v>
      </c>
    </row>
    <row r="3" spans="1:3" x14ac:dyDescent="0.25">
      <c r="A3" s="1" t="s">
        <v>68</v>
      </c>
      <c r="B3" s="1">
        <v>7</v>
      </c>
      <c r="C3" s="1">
        <f>C13*B3</f>
        <v>10236.903333333332</v>
      </c>
    </row>
    <row r="4" spans="1:3" x14ac:dyDescent="0.25">
      <c r="A4" s="1" t="s">
        <v>69</v>
      </c>
      <c r="B4" s="1">
        <v>3</v>
      </c>
      <c r="C4" s="1">
        <f>C13*B4</f>
        <v>4387.2442857142851</v>
      </c>
    </row>
    <row r="5" spans="1:3" x14ac:dyDescent="0.25">
      <c r="A5" s="1" t="s">
        <v>70</v>
      </c>
      <c r="B5" s="1">
        <v>53</v>
      </c>
      <c r="C5" s="1">
        <f>C13*B5</f>
        <v>77507.982380952366</v>
      </c>
    </row>
    <row r="6" spans="1:3" x14ac:dyDescent="0.25">
      <c r="A6" s="1" t="s">
        <v>71</v>
      </c>
      <c r="B6" s="1">
        <v>3</v>
      </c>
      <c r="C6" s="1">
        <f>C13*B6</f>
        <v>4387.2442857142851</v>
      </c>
    </row>
    <row r="7" spans="1:3" x14ac:dyDescent="0.25">
      <c r="A7" s="1" t="s">
        <v>72</v>
      </c>
      <c r="B7" s="1">
        <v>42</v>
      </c>
      <c r="C7" s="1">
        <f>Лист6!D8</f>
        <v>61421.419999999991</v>
      </c>
    </row>
    <row r="8" spans="1:3" ht="30" x14ac:dyDescent="0.25">
      <c r="A8" s="3" t="s">
        <v>73</v>
      </c>
      <c r="B8" s="1">
        <v>2</v>
      </c>
      <c r="C8" s="1">
        <f>C13*B8</f>
        <v>2924.8295238095234</v>
      </c>
    </row>
    <row r="9" spans="1:3" x14ac:dyDescent="0.25">
      <c r="A9" s="1" t="s">
        <v>74</v>
      </c>
      <c r="B9" s="1">
        <v>6</v>
      </c>
      <c r="C9" s="1">
        <f>C13*B9</f>
        <v>8774.4885714285701</v>
      </c>
    </row>
    <row r="10" spans="1:3" x14ac:dyDescent="0.25">
      <c r="A10" s="1" t="s">
        <v>75</v>
      </c>
      <c r="B10" s="1" t="s">
        <v>79</v>
      </c>
      <c r="C10" s="1" t="s">
        <v>79</v>
      </c>
    </row>
    <row r="11" spans="1:3" x14ac:dyDescent="0.25">
      <c r="A11" s="1" t="s">
        <v>76</v>
      </c>
      <c r="B11" s="1">
        <v>5</v>
      </c>
      <c r="C11" s="1">
        <f>C13*B11</f>
        <v>7312.0738095238084</v>
      </c>
    </row>
    <row r="12" spans="1:3" x14ac:dyDescent="0.25">
      <c r="A12" s="1" t="s">
        <v>77</v>
      </c>
      <c r="B12" s="1">
        <v>1</v>
      </c>
      <c r="C12" s="1">
        <f>C13*B12</f>
        <v>1462.4147619047617</v>
      </c>
    </row>
    <row r="13" spans="1:3" ht="45" x14ac:dyDescent="0.25">
      <c r="A13" s="3" t="s">
        <v>78</v>
      </c>
      <c r="B13" s="1">
        <v>1</v>
      </c>
      <c r="C13" s="1">
        <f>C7/B7</f>
        <v>1462.4147619047617</v>
      </c>
    </row>
    <row r="14" spans="1:3" x14ac:dyDescent="0.25">
      <c r="A14" s="1" t="s">
        <v>30</v>
      </c>
      <c r="B14" s="1">
        <v>100</v>
      </c>
      <c r="C14" s="1">
        <f>C2+C3+C4+C5+C11+C12+C13</f>
        <v>146241.47619047618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7"/>
  <sheetViews>
    <sheetView workbookViewId="0">
      <selection activeCell="C2" sqref="C2"/>
    </sheetView>
  </sheetViews>
  <sheetFormatPr defaultRowHeight="15" x14ac:dyDescent="0.25"/>
  <cols>
    <col min="1" max="1" width="35.28515625" customWidth="1"/>
    <col min="2" max="2" width="27" customWidth="1"/>
    <col min="3" max="3" width="23.85546875" customWidth="1"/>
    <col min="4" max="4" width="18.28515625" customWidth="1"/>
  </cols>
  <sheetData>
    <row r="1" spans="1:4" ht="68.25" customHeight="1" x14ac:dyDescent="0.25">
      <c r="A1" s="3" t="s">
        <v>80</v>
      </c>
      <c r="B1" s="3" t="s">
        <v>81</v>
      </c>
      <c r="C1" s="3" t="s">
        <v>82</v>
      </c>
      <c r="D1" s="3" t="s">
        <v>83</v>
      </c>
    </row>
    <row r="2" spans="1:4" ht="30" x14ac:dyDescent="0.25">
      <c r="A2" s="3" t="s">
        <v>84</v>
      </c>
      <c r="B2" s="1" t="s">
        <v>79</v>
      </c>
      <c r="C2" s="1" t="s">
        <v>79</v>
      </c>
      <c r="D2" s="1" t="s">
        <v>79</v>
      </c>
    </row>
    <row r="3" spans="1:4" x14ac:dyDescent="0.25">
      <c r="A3" s="1" t="s">
        <v>85</v>
      </c>
      <c r="B3" s="1">
        <f>Лист7!C2</f>
        <v>43872.442857142851</v>
      </c>
      <c r="C3" s="1">
        <f>100/31</f>
        <v>3.225806451612903</v>
      </c>
      <c r="D3" s="1">
        <f t="shared" ref="D3:D13" si="0">B3*C3/100</f>
        <v>1415.2400921658982</v>
      </c>
    </row>
    <row r="4" spans="1:4" x14ac:dyDescent="0.25">
      <c r="A4" s="1" t="s">
        <v>86</v>
      </c>
      <c r="B4" s="1">
        <f>Лист7!C3</f>
        <v>10236.903333333332</v>
      </c>
      <c r="C4" s="1">
        <f>100/26</f>
        <v>3.8461538461538463</v>
      </c>
      <c r="D4" s="1">
        <f t="shared" si="0"/>
        <v>393.72705128205126</v>
      </c>
    </row>
    <row r="5" spans="1:4" x14ac:dyDescent="0.25">
      <c r="A5" s="1" t="s">
        <v>87</v>
      </c>
      <c r="B5" s="1">
        <f>Лист7!C4</f>
        <v>4387.2442857142851</v>
      </c>
      <c r="C5" s="1">
        <f>100/26</f>
        <v>3.8461538461538463</v>
      </c>
      <c r="D5" s="1">
        <f t="shared" si="0"/>
        <v>168.74016483516482</v>
      </c>
    </row>
    <row r="6" spans="1:4" x14ac:dyDescent="0.25">
      <c r="A6" s="1" t="s">
        <v>88</v>
      </c>
      <c r="B6" s="1">
        <f>Лист7!C5</f>
        <v>77507.982380952366</v>
      </c>
      <c r="C6" s="1">
        <f>100/20</f>
        <v>5</v>
      </c>
      <c r="D6" s="1">
        <f t="shared" si="0"/>
        <v>3875.3991190476181</v>
      </c>
    </row>
    <row r="7" spans="1:4" x14ac:dyDescent="0.25">
      <c r="A7" s="1" t="s">
        <v>71</v>
      </c>
      <c r="B7" s="1">
        <f>Лист7!C6</f>
        <v>4387.2442857142851</v>
      </c>
      <c r="C7" s="1">
        <f t="shared" ref="C7:C8" si="1">100/20</f>
        <v>5</v>
      </c>
      <c r="D7" s="1">
        <f t="shared" si="0"/>
        <v>219.36221428571426</v>
      </c>
    </row>
    <row r="8" spans="1:4" x14ac:dyDescent="0.25">
      <c r="A8" s="1" t="s">
        <v>72</v>
      </c>
      <c r="B8" s="1">
        <f>Лист7!C7</f>
        <v>61421.419999999991</v>
      </c>
      <c r="C8" s="1">
        <f t="shared" si="1"/>
        <v>5</v>
      </c>
      <c r="D8" s="1">
        <f t="shared" si="0"/>
        <v>3071.0709999999999</v>
      </c>
    </row>
    <row r="9" spans="1:4" ht="30" x14ac:dyDescent="0.25">
      <c r="A9" s="3" t="s">
        <v>73</v>
      </c>
      <c r="B9" s="1">
        <f>Лист7!C8</f>
        <v>2924.8295238095234</v>
      </c>
      <c r="C9" s="1">
        <f>100/20</f>
        <v>5</v>
      </c>
      <c r="D9" s="1">
        <f t="shared" si="0"/>
        <v>146.24147619047616</v>
      </c>
    </row>
    <row r="10" spans="1:4" x14ac:dyDescent="0.25">
      <c r="A10" s="1" t="s">
        <v>74</v>
      </c>
      <c r="B10" s="1">
        <f>Лист7!C9</f>
        <v>8774.4885714285701</v>
      </c>
      <c r="C10" s="1">
        <f>100/20</f>
        <v>5</v>
      </c>
      <c r="D10" s="1">
        <f t="shared" si="0"/>
        <v>438.72442857142852</v>
      </c>
    </row>
    <row r="11" spans="1:4" x14ac:dyDescent="0.25">
      <c r="A11" s="1" t="s">
        <v>89</v>
      </c>
      <c r="B11" s="1">
        <f>Лист7!C11</f>
        <v>7312.0738095238084</v>
      </c>
      <c r="C11" s="1">
        <f>100/10</f>
        <v>10</v>
      </c>
      <c r="D11" s="1">
        <f t="shared" si="0"/>
        <v>731.20738095238073</v>
      </c>
    </row>
    <row r="12" spans="1:4" x14ac:dyDescent="0.25">
      <c r="A12" s="1" t="s">
        <v>90</v>
      </c>
      <c r="B12" s="1">
        <f>Лист7!C12</f>
        <v>1462.4147619047617</v>
      </c>
      <c r="C12" s="1">
        <f>100/26</f>
        <v>3.8461538461538463</v>
      </c>
      <c r="D12" s="1">
        <f t="shared" si="0"/>
        <v>56.246721611721604</v>
      </c>
    </row>
    <row r="13" spans="1:4" ht="45" x14ac:dyDescent="0.25">
      <c r="A13" s="3" t="s">
        <v>91</v>
      </c>
      <c r="B13" s="1">
        <f>Лист7!C13</f>
        <v>1462.4147619047617</v>
      </c>
      <c r="C13" s="1">
        <f>100/26</f>
        <v>3.8461538461538463</v>
      </c>
      <c r="D13" s="1">
        <f t="shared" si="0"/>
        <v>56.246721611721604</v>
      </c>
    </row>
    <row r="14" spans="1:4" x14ac:dyDescent="0.25">
      <c r="A14" s="1" t="s">
        <v>30</v>
      </c>
      <c r="B14" s="1">
        <f>B3+B4+B5+B6+B11+B12+B13</f>
        <v>146241.47619047618</v>
      </c>
      <c r="C14" s="1"/>
      <c r="D14" s="1">
        <f>D3+D4+D5+D7+D8+D9+D10+D11+D12+D13</f>
        <v>6696.8072515065587</v>
      </c>
    </row>
    <row r="17" spans="3:3" x14ac:dyDescent="0.25">
      <c r="C17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5"/>
  <sheetViews>
    <sheetView workbookViewId="0">
      <selection activeCell="E5" sqref="E5"/>
    </sheetView>
  </sheetViews>
  <sheetFormatPr defaultRowHeight="15" x14ac:dyDescent="0.25"/>
  <cols>
    <col min="1" max="1" width="17" customWidth="1"/>
    <col min="2" max="2" width="18.28515625" customWidth="1"/>
    <col min="3" max="3" width="18.140625" customWidth="1"/>
    <col min="4" max="4" width="18.42578125" customWidth="1"/>
    <col min="5" max="5" width="18.28515625" customWidth="1"/>
  </cols>
  <sheetData>
    <row r="1" spans="1:5" ht="45" x14ac:dyDescent="0.25">
      <c r="A1" s="1" t="s">
        <v>92</v>
      </c>
      <c r="B1" s="3" t="s">
        <v>93</v>
      </c>
      <c r="C1" s="3" t="s">
        <v>94</v>
      </c>
      <c r="D1" s="3" t="s">
        <v>95</v>
      </c>
      <c r="E1" s="3" t="s">
        <v>96</v>
      </c>
    </row>
    <row r="2" spans="1:5" x14ac:dyDescent="0.25">
      <c r="A2" s="1">
        <v>1</v>
      </c>
      <c r="B2" s="1">
        <v>2</v>
      </c>
      <c r="C2" s="1">
        <v>3</v>
      </c>
      <c r="D2" s="1">
        <v>4</v>
      </c>
      <c r="E2" s="1">
        <v>5</v>
      </c>
    </row>
    <row r="3" spans="1:5" x14ac:dyDescent="0.25">
      <c r="A3" s="1" t="s">
        <v>55</v>
      </c>
      <c r="B3" s="10">
        <f>8*Лист1!B1</f>
        <v>9600</v>
      </c>
      <c r="C3" s="1">
        <v>1780</v>
      </c>
      <c r="D3" s="1">
        <f>Лист1!B27</f>
        <v>1.2</v>
      </c>
      <c r="E3" s="11">
        <f>B3/(C3*D3)</f>
        <v>4.4943820224719104</v>
      </c>
    </row>
    <row r="4" spans="1:5" x14ac:dyDescent="0.25">
      <c r="A4" s="1" t="s">
        <v>56</v>
      </c>
      <c r="B4" s="10">
        <f>18*Лист1!B1</f>
        <v>21600</v>
      </c>
      <c r="C4" s="1">
        <v>1780</v>
      </c>
      <c r="D4" s="1">
        <f>Лист1!B27</f>
        <v>1.2</v>
      </c>
      <c r="E4" s="11">
        <f t="shared" ref="E4:E7" si="0">B4/(C4*D4)</f>
        <v>10.112359550561798</v>
      </c>
    </row>
    <row r="5" spans="1:5" x14ac:dyDescent="0.25">
      <c r="A5" s="1" t="s">
        <v>58</v>
      </c>
      <c r="B5" s="10">
        <f>10*Лист1!B1</f>
        <v>12000</v>
      </c>
      <c r="C5" s="1">
        <v>1780</v>
      </c>
      <c r="D5" s="1">
        <f>Лист1!B27</f>
        <v>1.2</v>
      </c>
      <c r="E5" s="11">
        <f t="shared" si="0"/>
        <v>5.617977528089888</v>
      </c>
    </row>
    <row r="6" spans="1:5" x14ac:dyDescent="0.25">
      <c r="A6" s="1" t="s">
        <v>59</v>
      </c>
      <c r="B6" s="10">
        <f>12*Лист1!B1</f>
        <v>14400</v>
      </c>
      <c r="C6" s="1">
        <v>1780</v>
      </c>
      <c r="D6" s="1">
        <f>Лист1!B27</f>
        <v>1.2</v>
      </c>
      <c r="E6" s="11">
        <f t="shared" si="0"/>
        <v>6.7415730337078648</v>
      </c>
    </row>
    <row r="7" spans="1:5" x14ac:dyDescent="0.25">
      <c r="A7" s="1" t="s">
        <v>60</v>
      </c>
      <c r="B7" s="10">
        <f>7*Лист1!B1</f>
        <v>8400</v>
      </c>
      <c r="C7" s="1">
        <v>1780</v>
      </c>
      <c r="D7" s="1">
        <f>Лист1!B27</f>
        <v>1.2</v>
      </c>
      <c r="E7" s="11">
        <f t="shared" si="0"/>
        <v>3.9325842696629212</v>
      </c>
    </row>
    <row r="8" spans="1:5" x14ac:dyDescent="0.25">
      <c r="A8" s="10" t="s">
        <v>30</v>
      </c>
      <c r="B8" s="1">
        <f>B3+B4+B6+B5+B7</f>
        <v>66000</v>
      </c>
      <c r="C8" s="1" t="s">
        <v>31</v>
      </c>
      <c r="D8" s="1" t="s">
        <v>31</v>
      </c>
      <c r="E8" s="11">
        <f>E3+E4+E5+E6+E7</f>
        <v>30.898876404494384</v>
      </c>
    </row>
    <row r="11" spans="1:5" x14ac:dyDescent="0.25">
      <c r="B11" s="14"/>
    </row>
    <row r="12" spans="1:5" x14ac:dyDescent="0.25">
      <c r="B12" s="14"/>
    </row>
    <row r="13" spans="1:5" x14ac:dyDescent="0.25">
      <c r="B13" s="14"/>
    </row>
    <row r="14" spans="1:5" x14ac:dyDescent="0.25">
      <c r="B14" s="14"/>
    </row>
    <row r="15" spans="1:5" x14ac:dyDescent="0.25">
      <c r="B15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20</vt:i4>
      </vt:variant>
    </vt:vector>
  </HeadingPairs>
  <TitlesOfParts>
    <vt:vector size="20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Лист10</vt:lpstr>
      <vt:lpstr>Лист11</vt:lpstr>
      <vt:lpstr>Лист12</vt:lpstr>
      <vt:lpstr>Лист13</vt:lpstr>
      <vt:lpstr>Лист14</vt:lpstr>
      <vt:lpstr>Лист15</vt:lpstr>
      <vt:lpstr>График</vt:lpstr>
      <vt:lpstr>Лист16</vt:lpstr>
      <vt:lpstr>Лист17</vt:lpstr>
      <vt:lpstr>Лист18</vt:lpstr>
      <vt:lpstr>Лист19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2021-11-12T21:44:21Z</dcterms:modified>
</cp:coreProperties>
</file>