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 filterPrivacy="1" codeName="ThisWorkbook"/>
  <xr:revisionPtr revIDLastSave="259" documentId="6_{921062D4-FB90-41F8-AB85-4777594D2901}" xr6:coauthVersionLast="47" xr6:coauthVersionMax="47" xr10:uidLastSave="{074D9592-1FC9-48E8-ADFC-54C1E18F701A}"/>
  <bookViews>
    <workbookView xWindow="-120" yWindow="-120" windowWidth="20730" windowHeight="11160" firstSheet="40" activeTab="40" xr2:uid="{00000000-000D-0000-FFFF-FFFF00000000}"/>
  </bookViews>
  <sheets>
    <sheet name="Mines (2)" sheetId="2" r:id="rId1"/>
    <sheet name="Clinker" sheetId="1" r:id="rId2"/>
    <sheet name="RAW MILL 2" sheetId="99" r:id="rId3"/>
    <sheet name="Cement" sheetId="3" r:id="rId4"/>
    <sheet name="Production2" sheetId="6" r:id="rId5"/>
    <sheet name="CPP" sheetId="8" r:id="rId6"/>
    <sheet name="Daily unit" sheetId="55" r:id="rId7"/>
    <sheet name="Daily CEM-1" sheetId="12" r:id="rId8"/>
    <sheet name="Daily  CEM - 2" sheetId="97" r:id="rId9"/>
    <sheet name="Internal use cement" sheetId="64" r:id="rId10"/>
    <sheet name="Raw mill moisture content" sheetId="98" r:id="rId11"/>
    <sheet name="1" sheetId="78" r:id="rId12"/>
    <sheet name="2" sheetId="79" r:id="rId13"/>
    <sheet name="3" sheetId="80" r:id="rId14"/>
    <sheet name="4" sheetId="81" r:id="rId15"/>
    <sheet name="5" sheetId="82" r:id="rId16"/>
    <sheet name="6" sheetId="83" r:id="rId17"/>
    <sheet name="7" sheetId="84" r:id="rId18"/>
    <sheet name="8" sheetId="85" r:id="rId19"/>
    <sheet name="9" sheetId="86" r:id="rId20"/>
    <sheet name="10" sheetId="87" r:id="rId21"/>
    <sheet name="11" sheetId="88" r:id="rId22"/>
    <sheet name="12" sheetId="89" r:id="rId23"/>
    <sheet name="13" sheetId="90" r:id="rId24"/>
    <sheet name="14" sheetId="91" r:id="rId25"/>
    <sheet name="15" sheetId="92" r:id="rId26"/>
    <sheet name="16" sheetId="93" r:id="rId27"/>
    <sheet name="17" sheetId="94" r:id="rId28"/>
    <sheet name="18" sheetId="95" r:id="rId29"/>
    <sheet name="19" sheetId="96" r:id="rId30"/>
    <sheet name="20" sheetId="42" r:id="rId31"/>
    <sheet name="21" sheetId="67" r:id="rId32"/>
    <sheet name="22" sheetId="68" r:id="rId33"/>
    <sheet name="23" sheetId="69" r:id="rId34"/>
    <sheet name="24" sheetId="70" r:id="rId35"/>
    <sheet name="25" sheetId="71" r:id="rId36"/>
    <sheet name="26" sheetId="72" r:id="rId37"/>
    <sheet name="27" sheetId="73" r:id="rId38"/>
    <sheet name="28" sheetId="74" r:id="rId39"/>
    <sheet name="29" sheetId="75" r:id="rId40"/>
    <sheet name="30" sheetId="76" r:id="rId41"/>
    <sheet name="31" sheetId="77" r:id="rId42"/>
  </sheets>
  <definedNames>
    <definedName name="_xlnm.Print_Area" localSheetId="3">Cement!$B:$T</definedName>
    <definedName name="_xlnm.Print_Area" localSheetId="1">Clinker!$EP$3:$ES$31</definedName>
    <definedName name="_xlnm.Print_Area" localSheetId="8">'Daily  CEM - 2'!$27:$33</definedName>
    <definedName name="_xlnm.Print_Area" localSheetId="7">'Daily CEM-1'!$27:$32</definedName>
    <definedName name="_xlnm.Print_Area" localSheetId="6">'Daily unit'!$AA$2:$AE$33</definedName>
    <definedName name="_xlnm.Print_Area" localSheetId="0">'Mines (2)'!$D$2:$D$34</definedName>
    <definedName name="_xlnm.Print_Area" localSheetId="4">Production2!$CK$2:$CO$33</definedName>
    <definedName name="_xlnm.Print_Area" localSheetId="2">'RAW MILL 2'!#REF!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99" l="1"/>
  <c r="H5" i="99"/>
  <c r="H6" i="99"/>
  <c r="H7" i="99"/>
  <c r="H8" i="99"/>
  <c r="H9" i="99"/>
  <c r="H10" i="99"/>
  <c r="H11" i="99"/>
  <c r="H12" i="99"/>
  <c r="H13" i="99"/>
  <c r="H14" i="99"/>
  <c r="H15" i="99"/>
  <c r="H16" i="99"/>
  <c r="H17" i="99"/>
  <c r="H18" i="99"/>
  <c r="H19" i="99"/>
  <c r="H20" i="99"/>
  <c r="H21" i="99"/>
  <c r="H22" i="99"/>
  <c r="H23" i="99"/>
  <c r="H24" i="99"/>
  <c r="H25" i="99"/>
  <c r="H26" i="99"/>
  <c r="H27" i="99"/>
  <c r="H28" i="99"/>
  <c r="H29" i="99"/>
  <c r="H30" i="99"/>
  <c r="H31" i="99"/>
  <c r="H32" i="99"/>
  <c r="H33" i="99"/>
  <c r="H3" i="99"/>
  <c r="F63" i="68" l="1"/>
  <c r="F63" i="67"/>
  <c r="H63" i="67" s="1"/>
  <c r="F63" i="42"/>
  <c r="H63" i="42" s="1"/>
  <c r="F63" i="96"/>
  <c r="F63" i="95"/>
  <c r="F63" i="94"/>
  <c r="H63" i="94" s="1"/>
  <c r="F63" i="93"/>
  <c r="F63" i="92"/>
  <c r="H63" i="92" s="1"/>
  <c r="F63" i="91"/>
  <c r="H63" i="91" s="1"/>
  <c r="F63" i="90"/>
  <c r="F63" i="89"/>
  <c r="H63" i="89" s="1"/>
  <c r="F63" i="88"/>
  <c r="H63" i="88" s="1"/>
  <c r="F63" i="87"/>
  <c r="H63" i="87" s="1"/>
  <c r="F63" i="86"/>
  <c r="F63" i="85"/>
  <c r="H63" i="85" s="1"/>
  <c r="F63" i="84"/>
  <c r="F63" i="83"/>
  <c r="H63" i="83" s="1"/>
  <c r="F63" i="82"/>
  <c r="H63" i="82" s="1"/>
  <c r="F63" i="81"/>
  <c r="H63" i="81" s="1"/>
  <c r="F63" i="80"/>
  <c r="H63" i="80" s="1"/>
  <c r="F63" i="79"/>
  <c r="F63" i="78"/>
  <c r="G63" i="78" l="1"/>
  <c r="H63" i="78"/>
  <c r="H63" i="79"/>
  <c r="G63" i="79"/>
  <c r="G63" i="84"/>
  <c r="G63" i="86"/>
  <c r="G63" i="90"/>
  <c r="G63" i="93"/>
  <c r="G63" i="95"/>
  <c r="H63" i="95"/>
  <c r="G63" i="96"/>
  <c r="G63" i="68"/>
  <c r="H63" i="68"/>
  <c r="G63" i="67"/>
  <c r="G63" i="42"/>
  <c r="H63" i="96"/>
  <c r="G63" i="94"/>
  <c r="H63" i="93"/>
  <c r="G63" i="92"/>
  <c r="G63" i="91"/>
  <c r="H63" i="90"/>
  <c r="G63" i="89"/>
  <c r="G63" i="88"/>
  <c r="G63" i="87"/>
  <c r="H63" i="86"/>
  <c r="G63" i="85"/>
  <c r="H63" i="84"/>
  <c r="G63" i="83"/>
  <c r="G63" i="82"/>
  <c r="G63" i="81"/>
  <c r="G63" i="80"/>
  <c r="F63" i="75" l="1"/>
  <c r="X33" i="97" l="1"/>
  <c r="Z33" i="97"/>
  <c r="T33" i="97"/>
  <c r="Y33" i="97"/>
  <c r="S33" i="97" l="1"/>
  <c r="Q33" i="97"/>
  <c r="R33" i="12" l="1"/>
  <c r="F13" i="76"/>
  <c r="Q14" i="76"/>
  <c r="M14" i="76"/>
  <c r="L14" i="76"/>
  <c r="R32" i="12" l="1"/>
  <c r="Q32" i="97"/>
  <c r="F13" i="75"/>
  <c r="Q14" i="75"/>
  <c r="M14" i="75"/>
  <c r="L14" i="75"/>
  <c r="R32" i="97" l="1"/>
  <c r="Y32" i="97"/>
  <c r="Z32" i="97"/>
  <c r="S32" i="12"/>
  <c r="T32" i="12"/>
  <c r="Z32" i="12"/>
  <c r="U32" i="12"/>
  <c r="M14" i="74" l="1"/>
  <c r="Q31" i="97" l="1"/>
  <c r="R31" i="12"/>
  <c r="Y31" i="97"/>
  <c r="Z31" i="97" l="1"/>
  <c r="X31" i="97"/>
  <c r="Z31" i="12"/>
  <c r="AA31" i="12"/>
  <c r="T30" i="97" l="1"/>
  <c r="S30" i="97"/>
  <c r="Z30" i="97"/>
  <c r="Y30" i="97"/>
  <c r="R30" i="97"/>
  <c r="Q30" i="97"/>
  <c r="Z30" i="12"/>
  <c r="S30" i="12"/>
  <c r="R30" i="12"/>
  <c r="S29" i="97" l="1"/>
  <c r="Z29" i="97"/>
  <c r="Y29" i="97"/>
  <c r="R29" i="97"/>
  <c r="Q29" i="97"/>
  <c r="T29" i="12"/>
  <c r="S29" i="12"/>
  <c r="R29" i="12"/>
  <c r="M14" i="73" l="1"/>
  <c r="M14" i="72"/>
  <c r="M14" i="71"/>
  <c r="F13" i="74" l="1"/>
  <c r="Q14" i="74"/>
  <c r="L14" i="74"/>
  <c r="F13" i="73"/>
  <c r="Q14" i="73"/>
  <c r="L14" i="73"/>
  <c r="F13" i="72"/>
  <c r="Q14" i="72"/>
  <c r="L14" i="72"/>
  <c r="AI35" i="2" l="1"/>
  <c r="AF35" i="2"/>
  <c r="AK35" i="2"/>
  <c r="AK34" i="2"/>
  <c r="AI34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I13" i="72" s="1"/>
  <c r="AJ29" i="2"/>
  <c r="I13" i="73" s="1"/>
  <c r="M13" i="73" s="1"/>
  <c r="AJ30" i="2"/>
  <c r="I13" i="74" s="1"/>
  <c r="AJ31" i="2"/>
  <c r="I13" i="75" s="1"/>
  <c r="AJ32" i="2"/>
  <c r="I13" i="76" s="1"/>
  <c r="AJ33" i="2"/>
  <c r="AJ3" i="2"/>
  <c r="AL3" i="2" s="1"/>
  <c r="M13" i="76" l="1"/>
  <c r="M13" i="74"/>
  <c r="M13" i="75"/>
  <c r="AJ35" i="2"/>
  <c r="M13" i="72"/>
  <c r="AJ34" i="2"/>
  <c r="I13" i="71"/>
  <c r="M13" i="71" s="1"/>
  <c r="Q28" i="97" l="1"/>
  <c r="R28" i="12"/>
  <c r="F13" i="71"/>
  <c r="Q14" i="71"/>
  <c r="L14" i="71"/>
  <c r="Y28" i="97"/>
  <c r="R27" i="12" l="1"/>
  <c r="Q27" i="97"/>
  <c r="S27" i="97"/>
  <c r="T27" i="97"/>
  <c r="Y27" i="97"/>
  <c r="X27" i="97"/>
  <c r="I13" i="70" l="1"/>
  <c r="F13" i="70"/>
  <c r="Q14" i="70"/>
  <c r="L14" i="70"/>
  <c r="H14" i="68" l="1"/>
  <c r="H14" i="69" s="1"/>
  <c r="H14" i="70" s="1"/>
  <c r="H14" i="71" s="1"/>
  <c r="H14" i="72" s="1"/>
  <c r="H14" i="73" s="1"/>
  <c r="H14" i="74" s="1"/>
  <c r="H14" i="75" s="1"/>
  <c r="H14" i="76" s="1"/>
  <c r="G14" i="68"/>
  <c r="G14" i="69"/>
  <c r="G14" i="70" s="1"/>
  <c r="G14" i="71" s="1"/>
  <c r="G14" i="72" s="1"/>
  <c r="G14" i="73" s="1"/>
  <c r="G14" i="74" s="1"/>
  <c r="G14" i="75" s="1"/>
  <c r="G14" i="76" s="1"/>
  <c r="F13" i="68"/>
  <c r="H13" i="68" s="1"/>
  <c r="F13" i="69"/>
  <c r="G13" i="68" l="1"/>
  <c r="G13" i="69"/>
  <c r="G13" i="70" s="1"/>
  <c r="G13" i="71" s="1"/>
  <c r="G13" i="72" s="1"/>
  <c r="G13" i="73" s="1"/>
  <c r="G13" i="74" s="1"/>
  <c r="G13" i="75" s="1"/>
  <c r="G13" i="76" s="1"/>
  <c r="H13" i="69"/>
  <c r="H13" i="70" s="1"/>
  <c r="H13" i="71" s="1"/>
  <c r="H13" i="72" s="1"/>
  <c r="H13" i="73" s="1"/>
  <c r="H13" i="74" s="1"/>
  <c r="H13" i="75" s="1"/>
  <c r="H13" i="76" s="1"/>
  <c r="R26" i="12"/>
  <c r="Q26" i="97"/>
  <c r="S26" i="97"/>
  <c r="T26" i="97"/>
  <c r="R26" i="97"/>
  <c r="Y26" i="97"/>
  <c r="Z26" i="97"/>
  <c r="X26" i="97"/>
  <c r="T26" i="12"/>
  <c r="U26" i="12"/>
  <c r="I13" i="69"/>
  <c r="Q14" i="69"/>
  <c r="L14" i="69"/>
  <c r="R25" i="12" l="1"/>
  <c r="Q25" i="97"/>
  <c r="Z25" i="12"/>
  <c r="T25" i="12"/>
  <c r="U25" i="12"/>
  <c r="S25" i="12"/>
  <c r="R25" i="97"/>
  <c r="I13" i="68" l="1"/>
  <c r="Q14" i="68"/>
  <c r="L14" i="68"/>
  <c r="I13" i="67" l="1"/>
  <c r="K13" i="67" s="1"/>
  <c r="K13" i="68" s="1"/>
  <c r="K13" i="69" s="1"/>
  <c r="K13" i="70" s="1"/>
  <c r="K13" i="71" s="1"/>
  <c r="K13" i="72" s="1"/>
  <c r="K13" i="73" s="1"/>
  <c r="K13" i="74" s="1"/>
  <c r="K13" i="75" s="1"/>
  <c r="K13" i="76" s="1"/>
  <c r="L14" i="67"/>
  <c r="Q12" i="67"/>
  <c r="Q14" i="67"/>
  <c r="J13" i="67"/>
  <c r="J13" i="68" s="1"/>
  <c r="J13" i="69" s="1"/>
  <c r="J13" i="70" s="1"/>
  <c r="J13" i="71" s="1"/>
  <c r="J13" i="72" s="1"/>
  <c r="J13" i="73" s="1"/>
  <c r="J13" i="74" s="1"/>
  <c r="J13" i="75" s="1"/>
  <c r="J13" i="76" s="1"/>
  <c r="J14" i="67"/>
  <c r="J14" i="68" s="1"/>
  <c r="J14" i="69" s="1"/>
  <c r="J14" i="70" s="1"/>
  <c r="J14" i="71" s="1"/>
  <c r="J14" i="72" s="1"/>
  <c r="J14" i="73" s="1"/>
  <c r="J14" i="74" s="1"/>
  <c r="J14" i="75" s="1"/>
  <c r="J14" i="76" s="1"/>
  <c r="K14" i="67"/>
  <c r="K14" i="68" s="1"/>
  <c r="K14" i="69" s="1"/>
  <c r="K14" i="70" s="1"/>
  <c r="K14" i="71" s="1"/>
  <c r="K14" i="72" s="1"/>
  <c r="K14" i="73" s="1"/>
  <c r="K14" i="74" s="1"/>
  <c r="K14" i="75" s="1"/>
  <c r="K14" i="76" s="1"/>
  <c r="AM3" i="2"/>
  <c r="AH4" i="2"/>
  <c r="AL4" i="2" l="1"/>
  <c r="AH5" i="2" s="1"/>
  <c r="AL5" i="2" s="1"/>
  <c r="AH6" i="2" s="1"/>
  <c r="Q24" i="97"/>
  <c r="R24" i="12"/>
  <c r="T24" i="12"/>
  <c r="Z24" i="12"/>
  <c r="Y24" i="12"/>
  <c r="AL6" i="2" l="1"/>
  <c r="AH7" i="2" s="1"/>
  <c r="R23" i="97"/>
  <c r="Q23" i="97"/>
  <c r="S23" i="12"/>
  <c r="R23" i="12"/>
  <c r="AL7" i="2" l="1"/>
  <c r="AH8" i="2" s="1"/>
  <c r="U23" i="12"/>
  <c r="T23" i="12"/>
  <c r="Z23" i="12"/>
  <c r="AL8" i="2" l="1"/>
  <c r="AH9" i="2" s="1"/>
  <c r="AL9" i="2" l="1"/>
  <c r="AH10" i="2" s="1"/>
  <c r="AL10" i="2" l="1"/>
  <c r="AH11" i="2" s="1"/>
  <c r="Z22" i="97"/>
  <c r="Y22" i="97"/>
  <c r="R22" i="97"/>
  <c r="Q22" i="97"/>
  <c r="Z22" i="12"/>
  <c r="S22" i="12"/>
  <c r="R22" i="12"/>
  <c r="AL11" i="2" l="1"/>
  <c r="AH12" i="2" s="1"/>
  <c r="CW3" i="6"/>
  <c r="AL12" i="2" l="1"/>
  <c r="AH13" i="2" s="1"/>
  <c r="Q21" i="97"/>
  <c r="Z21" i="97"/>
  <c r="Y21" i="97"/>
  <c r="S21" i="97"/>
  <c r="R21" i="12"/>
  <c r="AL13" i="2" l="1"/>
  <c r="AH14" i="2" s="1"/>
  <c r="S20" i="97"/>
  <c r="T20" i="97"/>
  <c r="Q20" i="97"/>
  <c r="Z20" i="12"/>
  <c r="R20" i="12"/>
  <c r="AL14" i="2" l="1"/>
  <c r="AH15" i="2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  <c r="AL15" i="2" l="1"/>
  <c r="AH16" i="2" s="1"/>
  <c r="X19" i="97"/>
  <c r="AL16" i="2" l="1"/>
  <c r="AH17" i="2" s="1"/>
  <c r="S19" i="12"/>
  <c r="R19" i="12"/>
  <c r="Q19" i="97"/>
  <c r="R19" i="97"/>
  <c r="Y19" i="97"/>
  <c r="T19" i="12"/>
  <c r="U19" i="12"/>
  <c r="AL17" i="2" l="1"/>
  <c r="AH18" i="2" s="1"/>
  <c r="Q8" i="97"/>
  <c r="AL18" i="2" l="1"/>
  <c r="AH19" i="2" s="1"/>
  <c r="R18" i="12"/>
  <c r="S18" i="12"/>
  <c r="Q18" i="97"/>
  <c r="R18" i="97"/>
  <c r="X18" i="97"/>
  <c r="S18" i="97"/>
  <c r="T18" i="97"/>
  <c r="Z18" i="12"/>
  <c r="AL19" i="2" l="1"/>
  <c r="AH20" i="2" s="1"/>
  <c r="AV5" i="97"/>
  <c r="AV6" i="97"/>
  <c r="AV7" i="97"/>
  <c r="AV8" i="97"/>
  <c r="AV9" i="97"/>
  <c r="AV10" i="97"/>
  <c r="AV11" i="97"/>
  <c r="AV12" i="97"/>
  <c r="AV13" i="97"/>
  <c r="AV14" i="97"/>
  <c r="AV15" i="97"/>
  <c r="AV16" i="97"/>
  <c r="AV17" i="97"/>
  <c r="AV18" i="97"/>
  <c r="AV19" i="97"/>
  <c r="AV20" i="97"/>
  <c r="AV4" i="97"/>
  <c r="AR5" i="12"/>
  <c r="AR6" i="12"/>
  <c r="AR7" i="12"/>
  <c r="AR8" i="12"/>
  <c r="AR9" i="12"/>
  <c r="AR10" i="12"/>
  <c r="AR11" i="12"/>
  <c r="AR12" i="12"/>
  <c r="AR13" i="12"/>
  <c r="AR14" i="12"/>
  <c r="AR15" i="12"/>
  <c r="AR16" i="12"/>
  <c r="AR17" i="12"/>
  <c r="AR18" i="12"/>
  <c r="AR19" i="12"/>
  <c r="AR20" i="12"/>
  <c r="AR21" i="12"/>
  <c r="AR22" i="12"/>
  <c r="AR4" i="12"/>
  <c r="AL20" i="2" l="1"/>
  <c r="AH21" i="2" s="1"/>
  <c r="Q17" i="97"/>
  <c r="R17" i="12"/>
  <c r="Z17" i="12"/>
  <c r="AA17" i="12"/>
  <c r="T17" i="12"/>
  <c r="U17" i="12"/>
  <c r="AL21" i="2" l="1"/>
  <c r="AH22" i="2" s="1"/>
  <c r="X16" i="97"/>
  <c r="Q16" i="97"/>
  <c r="U16" i="12"/>
  <c r="T16" i="12"/>
  <c r="AA16" i="12"/>
  <c r="Z16" i="12"/>
  <c r="S16" i="12"/>
  <c r="R16" i="12"/>
  <c r="AL22" i="2" l="1"/>
  <c r="AH23" i="2" s="1"/>
  <c r="X15" i="97"/>
  <c r="R15" i="97"/>
  <c r="Q15" i="97"/>
  <c r="AA15" i="12"/>
  <c r="Z15" i="12"/>
  <c r="S15" i="12"/>
  <c r="R15" i="12"/>
  <c r="AL23" i="2" l="1"/>
  <c r="AH24" i="2" s="1"/>
  <c r="E13" i="67"/>
  <c r="L13" i="67" s="1"/>
  <c r="Q14" i="97"/>
  <c r="Z14" i="12"/>
  <c r="R14" i="12"/>
  <c r="AL24" i="2" l="1"/>
  <c r="AH25" i="2" s="1"/>
  <c r="E13" i="68"/>
  <c r="L13" i="68" s="1"/>
  <c r="AL25" i="2" l="1"/>
  <c r="AH26" i="2" s="1"/>
  <c r="E13" i="69"/>
  <c r="L13" i="69" s="1"/>
  <c r="R13" i="12"/>
  <c r="AL26" i="2" l="1"/>
  <c r="AH27" i="2" s="1"/>
  <c r="E13" i="70"/>
  <c r="L13" i="70" s="1"/>
  <c r="Q13" i="97"/>
  <c r="T13" i="12"/>
  <c r="U13" i="12"/>
  <c r="Z13" i="12"/>
  <c r="AA13" i="12"/>
  <c r="S13" i="97"/>
  <c r="T13" i="97"/>
  <c r="Y13" i="97"/>
  <c r="AL27" i="2" l="1"/>
  <c r="AH28" i="2" s="1"/>
  <c r="E13" i="71"/>
  <c r="L13" i="71" s="1"/>
  <c r="Y12" i="12"/>
  <c r="Z12" i="12"/>
  <c r="T12" i="12"/>
  <c r="U12" i="12"/>
  <c r="R12" i="12"/>
  <c r="S12" i="12"/>
  <c r="AL28" i="2" l="1"/>
  <c r="AH29" i="2" s="1"/>
  <c r="E13" i="72"/>
  <c r="L13" i="72" s="1"/>
  <c r="R11" i="12"/>
  <c r="AL29" i="2" l="1"/>
  <c r="AH30" i="2" s="1"/>
  <c r="E13" i="73"/>
  <c r="L13" i="73" s="1"/>
  <c r="S11" i="12"/>
  <c r="Z11" i="12"/>
  <c r="AA11" i="12"/>
  <c r="AL30" i="2" l="1"/>
  <c r="AH31" i="2" s="1"/>
  <c r="E13" i="75" s="1"/>
  <c r="L13" i="75" s="1"/>
  <c r="E13" i="74"/>
  <c r="S10" i="12"/>
  <c r="R10" i="12"/>
  <c r="Z10" i="12"/>
  <c r="AA10" i="12"/>
  <c r="L13" i="74" l="1"/>
  <c r="AL31" i="2"/>
  <c r="AH32" i="2" s="1"/>
  <c r="E13" i="76" s="1"/>
  <c r="L13" i="76" s="1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L32" i="2" l="1"/>
  <c r="AH33" i="2" s="1"/>
  <c r="AL33" i="2" s="1"/>
  <c r="U9" i="12"/>
  <c r="T9" i="12"/>
  <c r="AA9" i="12"/>
  <c r="Z9" i="12"/>
  <c r="S9" i="12"/>
  <c r="R9" i="12"/>
  <c r="R9" i="97"/>
  <c r="R8" i="97" l="1"/>
  <c r="S8" i="12" l="1"/>
  <c r="R8" i="12"/>
  <c r="Q7" i="97" l="1"/>
  <c r="Z7" i="12"/>
  <c r="AA7" i="12"/>
  <c r="S7" i="12"/>
  <c r="R7" i="12"/>
  <c r="R6" i="97" l="1"/>
  <c r="S6" i="12"/>
  <c r="R6" i="12"/>
  <c r="Q6" i="97"/>
  <c r="R5" i="97" l="1"/>
  <c r="S5" i="12"/>
  <c r="R5" i="12"/>
  <c r="X5" i="97"/>
  <c r="X4" i="97" l="1"/>
  <c r="Q4" i="97"/>
  <c r="R4" i="12"/>
  <c r="F61" i="77" l="1"/>
  <c r="F63" i="76"/>
  <c r="F63" i="74"/>
  <c r="F63" i="73"/>
  <c r="F63" i="72"/>
  <c r="F63" i="71"/>
  <c r="F63" i="70"/>
  <c r="F63" i="69"/>
  <c r="H63" i="69" s="1"/>
  <c r="AO35" i="64"/>
  <c r="AO34" i="64"/>
  <c r="H63" i="70" l="1"/>
  <c r="H63" i="71"/>
  <c r="H63" i="72" s="1"/>
  <c r="H63" i="73" s="1"/>
  <c r="H63" i="74" s="1"/>
  <c r="G63" i="69"/>
  <c r="G63" i="70" s="1"/>
  <c r="G63" i="71" s="1"/>
  <c r="G63" i="72" s="1"/>
  <c r="G63" i="73" s="1"/>
  <c r="G63" i="74" s="1"/>
  <c r="G63" i="75" s="1"/>
  <c r="G63" i="76" s="1"/>
  <c r="G61" i="77" s="1"/>
  <c r="Z34" i="97"/>
  <c r="Z34" i="12"/>
  <c r="R34" i="12"/>
  <c r="Q34" i="97"/>
  <c r="H63" i="75" l="1"/>
  <c r="H63" i="76" s="1"/>
  <c r="H61" i="77" s="1"/>
  <c r="CW4" i="6"/>
  <c r="CW5" i="6"/>
  <c r="CW6" i="6"/>
  <c r="CW7" i="6"/>
  <c r="CW8" i="6"/>
  <c r="CW9" i="6"/>
  <c r="CW10" i="6"/>
  <c r="CW11" i="6"/>
  <c r="CW12" i="6"/>
  <c r="CW13" i="6"/>
  <c r="CW14" i="6"/>
  <c r="CW15" i="6"/>
  <c r="CW16" i="6"/>
  <c r="CW17" i="6"/>
  <c r="CW18" i="6"/>
  <c r="CW19" i="6"/>
  <c r="CW20" i="6"/>
  <c r="CW21" i="6"/>
  <c r="CW22" i="6"/>
  <c r="CW23" i="6"/>
  <c r="CW24" i="6"/>
  <c r="CW25" i="6"/>
  <c r="CW26" i="6"/>
  <c r="CW27" i="6"/>
  <c r="CW28" i="6"/>
  <c r="CW29" i="6"/>
  <c r="CW30" i="6"/>
  <c r="CW31" i="6"/>
  <c r="CW32" i="6"/>
  <c r="U33" i="12" l="1"/>
  <c r="T33" i="12"/>
  <c r="Z33" i="12"/>
  <c r="X32" i="97" l="1"/>
  <c r="S31" i="12" l="1"/>
  <c r="T30" i="12" l="1"/>
  <c r="Z28" i="97" l="1"/>
  <c r="X28" i="97"/>
  <c r="S28" i="97"/>
  <c r="Z28" i="12"/>
  <c r="Z27" i="97" l="1"/>
  <c r="O15" i="3" l="1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L26" i="67" l="1"/>
  <c r="Y26" i="12" l="1"/>
  <c r="AA26" i="12"/>
  <c r="Z26" i="12"/>
  <c r="Y24" i="97" l="1"/>
  <c r="S24" i="12"/>
  <c r="Y23" i="97" l="1"/>
  <c r="CZ4" i="6" l="1"/>
  <c r="CZ5" i="6"/>
  <c r="CZ6" i="6"/>
  <c r="CZ7" i="6"/>
  <c r="CZ8" i="6"/>
  <c r="CZ9" i="6"/>
  <c r="CZ10" i="6"/>
  <c r="CZ11" i="6"/>
  <c r="CZ12" i="6"/>
  <c r="CZ13" i="6"/>
  <c r="CZ14" i="6"/>
  <c r="CZ15" i="6"/>
  <c r="CZ16" i="6"/>
  <c r="CZ17" i="6"/>
  <c r="CZ18" i="6"/>
  <c r="CZ19" i="6"/>
  <c r="CZ20" i="6"/>
  <c r="CZ21" i="6"/>
  <c r="CZ22" i="6"/>
  <c r="CZ23" i="6"/>
  <c r="CZ24" i="6"/>
  <c r="CZ3" i="6"/>
  <c r="Z21" i="12" l="1"/>
  <c r="AA21" i="12"/>
  <c r="U21" i="12"/>
  <c r="T21" i="12"/>
  <c r="T20" i="12" l="1"/>
  <c r="Z19" i="12" l="1"/>
  <c r="CF33" i="6" l="1"/>
  <c r="S17" i="12" l="1"/>
  <c r="S17" i="97"/>
  <c r="ED16" i="1" l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15" i="1"/>
  <c r="S16" i="97" l="1"/>
  <c r="Y15" i="97" l="1"/>
  <c r="Z15" i="97"/>
  <c r="X13" i="97" l="1"/>
  <c r="Z12" i="97" l="1"/>
  <c r="Y12" i="97"/>
  <c r="R12" i="97"/>
  <c r="Q12" i="97"/>
  <c r="R11" i="97" l="1"/>
  <c r="Q10" i="97" l="1"/>
  <c r="Z8" i="12" l="1"/>
  <c r="AA8" i="12"/>
  <c r="T8" i="12"/>
  <c r="Z5" i="97" l="1"/>
  <c r="Y5" i="97"/>
  <c r="Q5" i="97"/>
  <c r="Z4" i="97" l="1"/>
  <c r="Y4" i="97"/>
  <c r="R4" i="97"/>
  <c r="B34" i="55" l="1"/>
  <c r="S32" i="97" l="1"/>
  <c r="M41" i="76" l="1"/>
  <c r="M41" i="75"/>
  <c r="AE35" i="97" l="1"/>
  <c r="R31" i="97" l="1"/>
  <c r="AE31" i="97" l="1"/>
  <c r="M41" i="74"/>
  <c r="Z29" i="12" l="1"/>
  <c r="M41" i="71" l="1"/>
  <c r="M41" i="72"/>
  <c r="M41" i="69" l="1"/>
  <c r="M41" i="68" l="1"/>
  <c r="M41" i="67" l="1"/>
  <c r="Z24" i="97" l="1"/>
  <c r="S24" i="97"/>
  <c r="T24" i="97"/>
  <c r="R24" i="97"/>
  <c r="Z23" i="97" l="1"/>
  <c r="L27" i="6"/>
  <c r="M41" i="42" l="1"/>
  <c r="M41" i="96" l="1"/>
  <c r="S21" i="12" l="1"/>
  <c r="R20" i="97" l="1"/>
  <c r="M41" i="95" l="1"/>
  <c r="M41" i="94"/>
  <c r="I48" i="93" l="1"/>
  <c r="M41" i="93"/>
  <c r="AO19" i="97"/>
  <c r="Z19" i="97"/>
  <c r="M35" i="92" l="1"/>
  <c r="Y18" i="97" l="1"/>
  <c r="Z18" i="97"/>
  <c r="I48" i="92"/>
  <c r="M41" i="92"/>
  <c r="R17" i="97" l="1"/>
  <c r="Z17" i="97"/>
  <c r="X17" i="97"/>
  <c r="Y17" i="97"/>
  <c r="AO17" i="97" s="1"/>
  <c r="M41" i="91"/>
  <c r="M41" i="90" l="1"/>
  <c r="Y16" i="97" l="1"/>
  <c r="AO16" i="97" s="1"/>
  <c r="Z16" i="97"/>
  <c r="S15" i="97" l="1"/>
  <c r="T15" i="97"/>
  <c r="AO15" i="97"/>
  <c r="R14" i="97" l="1"/>
  <c r="CC12" i="6" l="1"/>
  <c r="CC13" i="6"/>
  <c r="Z13" i="97" l="1"/>
  <c r="AO13" i="97"/>
  <c r="M41" i="89" l="1"/>
  <c r="M41" i="88"/>
  <c r="M41" i="87"/>
  <c r="M41" i="86" l="1"/>
  <c r="Q11" i="97" l="1"/>
  <c r="X11" i="97"/>
  <c r="M41" i="85" l="1"/>
  <c r="O5" i="97" l="1"/>
  <c r="O6" i="97"/>
  <c r="O7" i="97"/>
  <c r="O8" i="97"/>
  <c r="O9" i="97"/>
  <c r="O10" i="97"/>
  <c r="O11" i="97"/>
  <c r="O12" i="97"/>
  <c r="O13" i="97"/>
  <c r="O14" i="97"/>
  <c r="O15" i="97"/>
  <c r="O16" i="97"/>
  <c r="O17" i="97"/>
  <c r="O18" i="97"/>
  <c r="O19" i="97"/>
  <c r="O20" i="97"/>
  <c r="O21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4" i="97"/>
  <c r="Y10" i="97"/>
  <c r="AO10" i="97" s="1"/>
  <c r="Z10" i="97"/>
  <c r="U8" i="12" l="1"/>
  <c r="X8" i="97"/>
  <c r="Z8" i="97"/>
  <c r="Y8" i="97"/>
  <c r="AO8" i="97" s="1"/>
  <c r="R7" i="97" l="1"/>
  <c r="X6" i="97" l="1"/>
  <c r="Z6" i="12"/>
  <c r="Y7" i="97" l="1"/>
  <c r="AO7" i="97" s="1"/>
  <c r="AA6" i="12"/>
  <c r="AA12" i="12"/>
  <c r="AA14" i="12"/>
  <c r="AA18" i="12"/>
  <c r="AA19" i="12"/>
  <c r="AA20" i="12"/>
  <c r="AA22" i="12"/>
  <c r="AA23" i="12"/>
  <c r="AA24" i="12"/>
  <c r="AA25" i="12"/>
  <c r="AA27" i="12"/>
  <c r="AA28" i="12"/>
  <c r="AA29" i="12"/>
  <c r="AA30" i="12"/>
  <c r="AA32" i="12"/>
  <c r="AA33" i="12"/>
  <c r="AA34" i="12"/>
  <c r="AA35" i="12"/>
  <c r="AA36" i="12"/>
  <c r="AA37" i="12"/>
  <c r="AA38" i="12"/>
  <c r="Z27" i="12"/>
  <c r="Z35" i="12"/>
  <c r="Z36" i="12"/>
  <c r="Z37" i="12"/>
  <c r="Z38" i="12"/>
  <c r="Z5" i="12"/>
  <c r="AA5" i="12"/>
  <c r="Z6" i="97"/>
  <c r="Z7" i="97"/>
  <c r="Z9" i="97"/>
  <c r="Z11" i="97"/>
  <c r="Z14" i="97"/>
  <c r="Z20" i="97"/>
  <c r="Z25" i="97"/>
  <c r="AO5" i="97"/>
  <c r="Y6" i="97"/>
  <c r="AO6" i="97" s="1"/>
  <c r="Y9" i="97"/>
  <c r="AO9" i="97" s="1"/>
  <c r="Y11" i="97"/>
  <c r="AO11" i="97" s="1"/>
  <c r="AO12" i="97"/>
  <c r="Y14" i="97"/>
  <c r="AO14" i="97" s="1"/>
  <c r="AO18" i="97"/>
  <c r="Y20" i="97"/>
  <c r="AO20" i="97" s="1"/>
  <c r="AO21" i="97"/>
  <c r="AO22" i="97"/>
  <c r="AO23" i="97"/>
  <c r="AO24" i="97"/>
  <c r="Y25" i="97"/>
  <c r="AO25" i="97" s="1"/>
  <c r="AO26" i="97"/>
  <c r="AO27" i="97"/>
  <c r="AO28" i="97"/>
  <c r="AO29" i="97"/>
  <c r="AO30" i="97"/>
  <c r="AO31" i="97"/>
  <c r="Y34" i="97"/>
  <c r="AO4" i="97"/>
  <c r="AO34" i="97" l="1"/>
  <c r="AE34" i="97"/>
  <c r="AO33" i="97"/>
  <c r="AE33" i="97"/>
  <c r="AO32" i="97"/>
  <c r="AE32" i="97"/>
  <c r="Z4" i="12"/>
  <c r="AP5" i="12" l="1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8" i="12"/>
  <c r="AP29" i="12"/>
  <c r="AP35" i="12"/>
  <c r="AP4" i="12"/>
  <c r="S4" i="97" l="1"/>
  <c r="T4" i="97"/>
  <c r="AM4" i="97"/>
  <c r="M41" i="84" l="1"/>
  <c r="I48" i="83"/>
  <c r="M41" i="83"/>
  <c r="M41" i="82"/>
  <c r="M41" i="81"/>
  <c r="M41" i="80"/>
  <c r="M41" i="79"/>
  <c r="M41" i="78"/>
  <c r="O41" i="78" s="1"/>
  <c r="I41" i="78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4" i="12"/>
  <c r="AD35" i="97"/>
  <c r="AC35" i="97"/>
  <c r="AD35" i="12"/>
  <c r="AD36" i="12"/>
  <c r="AD37" i="12"/>
  <c r="AD38" i="12"/>
  <c r="AD39" i="12"/>
  <c r="AA4" i="12"/>
  <c r="S4" i="12"/>
  <c r="AB4" i="12" l="1"/>
  <c r="AN4" i="12"/>
  <c r="O41" i="79"/>
  <c r="N41" i="78"/>
  <c r="N41" i="79" s="1"/>
  <c r="N41" i="80" s="1"/>
  <c r="N41" i="81" l="1"/>
  <c r="N41" i="82" s="1"/>
  <c r="N41" i="83" s="1"/>
  <c r="N41" i="84" s="1"/>
  <c r="O41" i="80"/>
  <c r="O41" i="81" s="1"/>
  <c r="O41" i="82" s="1"/>
  <c r="O41" i="83" s="1"/>
  <c r="O41" i="84" s="1"/>
  <c r="P34" i="6"/>
  <c r="O41" i="85" l="1"/>
  <c r="O41" i="86" s="1"/>
  <c r="O41" i="87" s="1"/>
  <c r="O41" i="88" s="1"/>
  <c r="O41" i="89" s="1"/>
  <c r="O41" i="90" s="1"/>
  <c r="O41" i="91" s="1"/>
  <c r="O41" i="92" s="1"/>
  <c r="O41" i="93" s="1"/>
  <c r="O41" i="94" s="1"/>
  <c r="O41" i="95" s="1"/>
  <c r="O41" i="96" s="1"/>
  <c r="O41" i="42" s="1"/>
  <c r="O41" i="67" s="1"/>
  <c r="O41" i="68" s="1"/>
  <c r="O41" i="69" s="1"/>
  <c r="N41" i="85"/>
  <c r="N41" i="86" s="1"/>
  <c r="N41" i="87" s="1"/>
  <c r="N41" i="88" s="1"/>
  <c r="N41" i="89" s="1"/>
  <c r="N41" i="90" s="1"/>
  <c r="N41" i="91" s="1"/>
  <c r="N41" i="92" s="1"/>
  <c r="N41" i="93" s="1"/>
  <c r="N41" i="94" s="1"/>
  <c r="N41" i="95" s="1"/>
  <c r="N41" i="96" s="1"/>
  <c r="N41" i="42" s="1"/>
  <c r="N41" i="67" s="1"/>
  <c r="N41" i="68" s="1"/>
  <c r="N41" i="69" s="1"/>
  <c r="CS4" i="6"/>
  <c r="CS5" i="6"/>
  <c r="CS6" i="6"/>
  <c r="CS7" i="6"/>
  <c r="CS8" i="6"/>
  <c r="CS9" i="6"/>
  <c r="CS10" i="6"/>
  <c r="CS11" i="6"/>
  <c r="CS12" i="6"/>
  <c r="CS13" i="6"/>
  <c r="CS14" i="6"/>
  <c r="CS15" i="6"/>
  <c r="CS16" i="6"/>
  <c r="CS17" i="6"/>
  <c r="CS18" i="6"/>
  <c r="CS19" i="6"/>
  <c r="CS20" i="6"/>
  <c r="CS21" i="6"/>
  <c r="CS22" i="6"/>
  <c r="CS23" i="6"/>
  <c r="CS24" i="6"/>
  <c r="CS25" i="6"/>
  <c r="CS26" i="6"/>
  <c r="CS27" i="6"/>
  <c r="CS28" i="6"/>
  <c r="CS29" i="6"/>
  <c r="CS30" i="6"/>
  <c r="CS31" i="6"/>
  <c r="CS32" i="6"/>
  <c r="CS33" i="6"/>
  <c r="CS3" i="6"/>
  <c r="M39" i="77" l="1"/>
  <c r="F34" i="64" l="1"/>
  <c r="CC33" i="6"/>
  <c r="CC32" i="6"/>
  <c r="R34" i="97"/>
  <c r="X34" i="97"/>
  <c r="AN34" i="12" l="1"/>
  <c r="AM34" i="97"/>
  <c r="AA34" i="97"/>
  <c r="AP34" i="12"/>
  <c r="T34" i="12"/>
  <c r="K41" i="97"/>
  <c r="P35" i="97"/>
  <c r="AO34" i="12" l="1"/>
  <c r="AP33" i="12"/>
  <c r="AM33" i="97" l="1"/>
  <c r="AO33" i="12"/>
  <c r="AC33" i="12"/>
  <c r="AU33" i="12" s="1"/>
  <c r="AN33" i="12"/>
  <c r="AP32" i="12"/>
  <c r="BD4" i="6"/>
  <c r="J47" i="79" s="1"/>
  <c r="BD5" i="6"/>
  <c r="J47" i="80" s="1"/>
  <c r="BD6" i="6"/>
  <c r="J47" i="81" s="1"/>
  <c r="BD7" i="6"/>
  <c r="J47" i="82" s="1"/>
  <c r="BD8" i="6"/>
  <c r="J47" i="83" s="1"/>
  <c r="BD9" i="6"/>
  <c r="J47" i="84" s="1"/>
  <c r="BD10" i="6"/>
  <c r="J47" i="85" s="1"/>
  <c r="BD11" i="6"/>
  <c r="J47" i="86" s="1"/>
  <c r="BD12" i="6"/>
  <c r="J47" i="87" s="1"/>
  <c r="BD13" i="6"/>
  <c r="J47" i="88" s="1"/>
  <c r="BD14" i="6"/>
  <c r="J47" i="89" s="1"/>
  <c r="BD15" i="6"/>
  <c r="J47" i="90" s="1"/>
  <c r="BD16" i="6"/>
  <c r="J47" i="91" s="1"/>
  <c r="BD17" i="6"/>
  <c r="J47" i="92" s="1"/>
  <c r="BD18" i="6"/>
  <c r="J47" i="93" s="1"/>
  <c r="BD19" i="6"/>
  <c r="J47" i="94" s="1"/>
  <c r="BD20" i="6"/>
  <c r="J47" i="95" s="1"/>
  <c r="BD21" i="6"/>
  <c r="J47" i="96" s="1"/>
  <c r="BD22" i="6"/>
  <c r="J47" i="42" s="1"/>
  <c r="BD23" i="6"/>
  <c r="J47" i="67" s="1"/>
  <c r="BD24" i="6"/>
  <c r="J47" i="68" s="1"/>
  <c r="BD25" i="6"/>
  <c r="J47" i="69" s="1"/>
  <c r="BD26" i="6"/>
  <c r="J47" i="70" s="1"/>
  <c r="BD27" i="6"/>
  <c r="J47" i="71" s="1"/>
  <c r="BD28" i="6"/>
  <c r="J47" i="72" s="1"/>
  <c r="BD29" i="6"/>
  <c r="J47" i="73" s="1"/>
  <c r="BD30" i="6"/>
  <c r="J47" i="74" s="1"/>
  <c r="BD31" i="6"/>
  <c r="J47" i="75" s="1"/>
  <c r="BD32" i="6"/>
  <c r="J47" i="76" s="1"/>
  <c r="BD33" i="6"/>
  <c r="J45" i="77" s="1"/>
  <c r="BD3" i="6"/>
  <c r="J47" i="78" s="1"/>
  <c r="P41" i="78" s="1"/>
  <c r="BC4" i="6"/>
  <c r="F47" i="79" s="1"/>
  <c r="BC5" i="6"/>
  <c r="F47" i="80" s="1"/>
  <c r="BC6" i="6"/>
  <c r="BC7" i="6"/>
  <c r="F47" i="82" s="1"/>
  <c r="BC8" i="6"/>
  <c r="F47" i="83" s="1"/>
  <c r="BC9" i="6"/>
  <c r="F47" i="84" s="1"/>
  <c r="BC10" i="6"/>
  <c r="F47" i="85" s="1"/>
  <c r="BC11" i="6"/>
  <c r="F47" i="86" s="1"/>
  <c r="BC12" i="6"/>
  <c r="BC13" i="6"/>
  <c r="F47" i="88" s="1"/>
  <c r="BC14" i="6"/>
  <c r="F47" i="89" s="1"/>
  <c r="BC15" i="6"/>
  <c r="F47" i="90" s="1"/>
  <c r="BC16" i="6"/>
  <c r="F47" i="91" s="1"/>
  <c r="BC17" i="6"/>
  <c r="F47" i="92" s="1"/>
  <c r="BC18" i="6"/>
  <c r="BC19" i="6"/>
  <c r="F47" i="94" s="1"/>
  <c r="BC20" i="6"/>
  <c r="F47" i="95" s="1"/>
  <c r="BC21" i="6"/>
  <c r="F47" i="96" s="1"/>
  <c r="BC22" i="6"/>
  <c r="F47" i="42" s="1"/>
  <c r="BC23" i="6"/>
  <c r="F47" i="67" s="1"/>
  <c r="BC24" i="6"/>
  <c r="F47" i="68" s="1"/>
  <c r="BC25" i="6"/>
  <c r="F47" i="69" s="1"/>
  <c r="BC26" i="6"/>
  <c r="F47" i="70" s="1"/>
  <c r="BC27" i="6"/>
  <c r="F47" i="71" s="1"/>
  <c r="BC28" i="6"/>
  <c r="F47" i="72" s="1"/>
  <c r="BC29" i="6"/>
  <c r="F47" i="73" s="1"/>
  <c r="BC30" i="6"/>
  <c r="F47" i="74" s="1"/>
  <c r="BC31" i="6"/>
  <c r="F47" i="75" s="1"/>
  <c r="BC32" i="6"/>
  <c r="F47" i="76" s="1"/>
  <c r="BC33" i="6"/>
  <c r="F45" i="77" s="1"/>
  <c r="BC3" i="6"/>
  <c r="F47" i="78" s="1"/>
  <c r="Q47" i="71" l="1"/>
  <c r="Q47" i="69"/>
  <c r="Q47" i="68"/>
  <c r="Q47" i="70"/>
  <c r="Q47" i="73"/>
  <c r="Q47" i="76"/>
  <c r="Q47" i="72"/>
  <c r="Q47" i="75"/>
  <c r="Q47" i="74"/>
  <c r="Q47" i="67"/>
  <c r="Q47" i="96"/>
  <c r="Q47" i="94"/>
  <c r="Q47" i="42"/>
  <c r="Q47" i="95"/>
  <c r="BE18" i="6"/>
  <c r="F47" i="93"/>
  <c r="Q47" i="92"/>
  <c r="BE22" i="6"/>
  <c r="Q47" i="86"/>
  <c r="Q47" i="88"/>
  <c r="Q47" i="91"/>
  <c r="BE16" i="6"/>
  <c r="Q47" i="90"/>
  <c r="Q47" i="89"/>
  <c r="BE12" i="6"/>
  <c r="F47" i="87"/>
  <c r="Q47" i="87" s="1"/>
  <c r="Q47" i="85"/>
  <c r="Q47" i="82"/>
  <c r="AN32" i="12"/>
  <c r="Q47" i="78"/>
  <c r="L47" i="78"/>
  <c r="L47" i="79" s="1"/>
  <c r="L47" i="81" s="1"/>
  <c r="L47" i="82" s="1"/>
  <c r="L47" i="83" s="1"/>
  <c r="L47" i="84" s="1"/>
  <c r="K47" i="78"/>
  <c r="K47" i="79" s="1"/>
  <c r="K47" i="80" s="1"/>
  <c r="BE6" i="6"/>
  <c r="F47" i="81"/>
  <c r="Q47" i="84"/>
  <c r="Q47" i="80"/>
  <c r="G47" i="78"/>
  <c r="G47" i="79" s="1"/>
  <c r="G47" i="80" s="1"/>
  <c r="H47" i="78"/>
  <c r="Q47" i="83"/>
  <c r="Q47" i="79"/>
  <c r="BE33" i="6"/>
  <c r="BE29" i="6"/>
  <c r="BE23" i="6"/>
  <c r="BE11" i="6"/>
  <c r="BE21" i="6"/>
  <c r="BE27" i="6"/>
  <c r="BE15" i="6"/>
  <c r="BE9" i="6"/>
  <c r="BE4" i="6"/>
  <c r="Q45" i="77"/>
  <c r="BE31" i="6"/>
  <c r="BE30" i="6"/>
  <c r="BE5" i="6"/>
  <c r="BE24" i="6"/>
  <c r="BE28" i="6"/>
  <c r="BE10" i="6"/>
  <c r="BE17" i="6"/>
  <c r="BE19" i="6"/>
  <c r="BE7" i="6"/>
  <c r="BC35" i="6"/>
  <c r="BD35" i="6"/>
  <c r="BE32" i="6"/>
  <c r="BE26" i="6"/>
  <c r="BE20" i="6"/>
  <c r="BE14" i="6"/>
  <c r="BE8" i="6"/>
  <c r="BD34" i="6"/>
  <c r="BE13" i="6"/>
  <c r="BE25" i="6"/>
  <c r="BE3" i="6"/>
  <c r="BC34" i="6"/>
  <c r="T31" i="97"/>
  <c r="S31" i="97"/>
  <c r="AP31" i="12"/>
  <c r="L47" i="80" l="1"/>
  <c r="Q47" i="93"/>
  <c r="L47" i="85"/>
  <c r="L47" i="86" s="1"/>
  <c r="L47" i="87" s="1"/>
  <c r="L47" i="88" s="1"/>
  <c r="L47" i="89" s="1"/>
  <c r="L47" i="90" s="1"/>
  <c r="L47" i="91" s="1"/>
  <c r="L47" i="92" s="1"/>
  <c r="L47" i="93" s="1"/>
  <c r="L47" i="94" s="1"/>
  <c r="L47" i="95" s="1"/>
  <c r="L47" i="96" s="1"/>
  <c r="L47" i="42" s="1"/>
  <c r="K47" i="81"/>
  <c r="K47" i="82" s="1"/>
  <c r="K47" i="83" s="1"/>
  <c r="K47" i="84" s="1"/>
  <c r="AB31" i="97"/>
  <c r="AN31" i="97"/>
  <c r="G47" i="81"/>
  <c r="G47" i="82" s="1"/>
  <c r="Q47" i="81"/>
  <c r="H47" i="79"/>
  <c r="H47" i="80" s="1"/>
  <c r="H47" i="81" s="1"/>
  <c r="H47" i="82" s="1"/>
  <c r="AN31" i="12"/>
  <c r="AB31" i="12"/>
  <c r="AM31" i="97"/>
  <c r="AA31" i="97"/>
  <c r="BE34" i="6"/>
  <c r="L47" i="67" l="1"/>
  <c r="L47" i="68" s="1"/>
  <c r="H47" i="83"/>
  <c r="H47" i="84"/>
  <c r="H47" i="85" s="1"/>
  <c r="H47" i="86" s="1"/>
  <c r="H47" i="87" s="1"/>
  <c r="H47" i="88" s="1"/>
  <c r="H47" i="89" s="1"/>
  <c r="H47" i="90" s="1"/>
  <c r="G47" i="84"/>
  <c r="G47" i="85" s="1"/>
  <c r="G47" i="86" s="1"/>
  <c r="G47" i="87" s="1"/>
  <c r="G47" i="88" s="1"/>
  <c r="G47" i="89" s="1"/>
  <c r="G47" i="90" s="1"/>
  <c r="G47" i="83"/>
  <c r="K47" i="85"/>
  <c r="K47" i="86" s="1"/>
  <c r="K47" i="87" s="1"/>
  <c r="K47" i="88" s="1"/>
  <c r="K47" i="89" s="1"/>
  <c r="K47" i="90" s="1"/>
  <c r="K47" i="91" s="1"/>
  <c r="K47" i="92" s="1"/>
  <c r="K47" i="93" s="1"/>
  <c r="K47" i="94" s="1"/>
  <c r="K47" i="95" s="1"/>
  <c r="D34" i="3"/>
  <c r="L47" i="69" l="1"/>
  <c r="L47" i="70" s="1"/>
  <c r="L47" i="71" s="1"/>
  <c r="L47" i="72" s="1"/>
  <c r="L47" i="73" s="1"/>
  <c r="L47" i="74" s="1"/>
  <c r="L47" i="75" s="1"/>
  <c r="L47" i="76" s="1"/>
  <c r="K47" i="96"/>
  <c r="K47" i="42" s="1"/>
  <c r="G47" i="91"/>
  <c r="G47" i="92" s="1"/>
  <c r="G47" i="93" s="1"/>
  <c r="G47" i="94" s="1"/>
  <c r="G47" i="95" s="1"/>
  <c r="G47" i="96" s="1"/>
  <c r="G47" i="42" s="1"/>
  <c r="G47" i="67" s="1"/>
  <c r="G47" i="68" s="1"/>
  <c r="H47" i="91"/>
  <c r="H47" i="92" s="1"/>
  <c r="H47" i="93" s="1"/>
  <c r="H47" i="94" s="1"/>
  <c r="H47" i="95" s="1"/>
  <c r="H47" i="96" s="1"/>
  <c r="H47" i="42" s="1"/>
  <c r="H47" i="67" s="1"/>
  <c r="H47" i="68" s="1"/>
  <c r="H47" i="69" s="1"/>
  <c r="CC29" i="6"/>
  <c r="W30" i="12"/>
  <c r="V30" i="12"/>
  <c r="AH30" i="12" s="1"/>
  <c r="AP30" i="12"/>
  <c r="H47" i="70" l="1"/>
  <c r="H47" i="71" s="1"/>
  <c r="H47" i="72" s="1"/>
  <c r="H47" i="73" s="1"/>
  <c r="H47" i="74" s="1"/>
  <c r="H47" i="75" s="1"/>
  <c r="H47" i="76" s="1"/>
  <c r="H45" i="77" s="1"/>
  <c r="G47" i="69"/>
  <c r="G47" i="70" s="1"/>
  <c r="G47" i="71" s="1"/>
  <c r="G47" i="72" s="1"/>
  <c r="G47" i="73" s="1"/>
  <c r="G47" i="74" s="1"/>
  <c r="G47" i="75" s="1"/>
  <c r="G47" i="76" s="1"/>
  <c r="G45" i="77" s="1"/>
  <c r="K47" i="67"/>
  <c r="K47" i="68" s="1"/>
  <c r="AD30" i="12"/>
  <c r="AB30" i="12"/>
  <c r="AN30" i="12"/>
  <c r="AF30" i="12"/>
  <c r="AV30" i="12" s="1"/>
  <c r="AE5" i="97"/>
  <c r="AE6" i="97"/>
  <c r="AE7" i="97"/>
  <c r="AE8" i="97"/>
  <c r="AE9" i="97"/>
  <c r="AE10" i="97"/>
  <c r="AE11" i="97"/>
  <c r="AE12" i="97"/>
  <c r="AE13" i="97"/>
  <c r="AE14" i="97"/>
  <c r="AE15" i="97"/>
  <c r="AE16" i="97"/>
  <c r="AE17" i="97"/>
  <c r="AE18" i="97"/>
  <c r="AE19" i="97"/>
  <c r="AE20" i="97"/>
  <c r="AE21" i="97"/>
  <c r="AE22" i="97"/>
  <c r="AE23" i="97"/>
  <c r="AE24" i="97"/>
  <c r="AE25" i="97"/>
  <c r="AE26" i="97"/>
  <c r="AE27" i="97"/>
  <c r="AE28" i="97"/>
  <c r="AE29" i="97"/>
  <c r="AE4" i="97"/>
  <c r="X30" i="97"/>
  <c r="AE30" i="97"/>
  <c r="K47" i="69" l="1"/>
  <c r="K47" i="70" s="1"/>
  <c r="K47" i="71" s="1"/>
  <c r="K47" i="72" s="1"/>
  <c r="K47" i="73" s="1"/>
  <c r="K47" i="74" s="1"/>
  <c r="K47" i="75" s="1"/>
  <c r="K47" i="76" s="1"/>
  <c r="AM30" i="97"/>
  <c r="AA30" i="97"/>
  <c r="M41" i="73" l="1"/>
  <c r="X29" i="97" l="1"/>
  <c r="U29" i="97"/>
  <c r="AG29" i="97" s="1"/>
  <c r="AN29" i="12" l="1"/>
  <c r="AM29" i="97"/>
  <c r="CF4" i="6"/>
  <c r="CF5" i="6"/>
  <c r="CF6" i="6"/>
  <c r="CF7" i="6"/>
  <c r="CF8" i="6"/>
  <c r="CF9" i="6"/>
  <c r="CF10" i="6"/>
  <c r="CF11" i="6"/>
  <c r="CF12" i="6"/>
  <c r="CF13" i="6"/>
  <c r="CF14" i="6"/>
  <c r="CF15" i="6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F30" i="6"/>
  <c r="CF31" i="6"/>
  <c r="CF32" i="6"/>
  <c r="CF3" i="6"/>
  <c r="V28" i="12" l="1"/>
  <c r="W28" i="12"/>
  <c r="AD28" i="12" l="1"/>
  <c r="AN28" i="12"/>
  <c r="AM28" i="97"/>
  <c r="AF33" i="12" l="1"/>
  <c r="AV33" i="12" s="1"/>
  <c r="AF34" i="12"/>
  <c r="AV34" i="12" s="1"/>
  <c r="AF35" i="12"/>
  <c r="AV35" i="12" s="1"/>
  <c r="AF36" i="12"/>
  <c r="AF37" i="12"/>
  <c r="AF5" i="12"/>
  <c r="AF6" i="12"/>
  <c r="AF7" i="12"/>
  <c r="AF8" i="12"/>
  <c r="AF9" i="12"/>
  <c r="AF10" i="12"/>
  <c r="AF11" i="12"/>
  <c r="AF12" i="12"/>
  <c r="AF13" i="12"/>
  <c r="AV13" i="12" s="1"/>
  <c r="AF14" i="12"/>
  <c r="AV14" i="12" s="1"/>
  <c r="AF15" i="12"/>
  <c r="AV15" i="12" s="1"/>
  <c r="AF16" i="12"/>
  <c r="AV16" i="12" s="1"/>
  <c r="AF17" i="12"/>
  <c r="AV17" i="12" s="1"/>
  <c r="AF18" i="12"/>
  <c r="AV18" i="12" s="1"/>
  <c r="AF19" i="12"/>
  <c r="AV19" i="12" s="1"/>
  <c r="AF20" i="12"/>
  <c r="AV20" i="12" s="1"/>
  <c r="AF21" i="12"/>
  <c r="AV21" i="12" s="1"/>
  <c r="AF22" i="12"/>
  <c r="AV22" i="12" s="1"/>
  <c r="AF23" i="12"/>
  <c r="AV23" i="12" s="1"/>
  <c r="AF24" i="12"/>
  <c r="AV24" i="12" s="1"/>
  <c r="AF25" i="12"/>
  <c r="AV25" i="12" s="1"/>
  <c r="AF26" i="12"/>
  <c r="AV26" i="12" s="1"/>
  <c r="AF28" i="12"/>
  <c r="AV28" i="12" s="1"/>
  <c r="AF29" i="12"/>
  <c r="AV29" i="12" s="1"/>
  <c r="AF31" i="12"/>
  <c r="AV31" i="12" s="1"/>
  <c r="AF32" i="12"/>
  <c r="AV32" i="12" s="1"/>
  <c r="AF4" i="12"/>
  <c r="M41" i="70" l="1"/>
  <c r="BX35" i="6"/>
  <c r="BX34" i="6"/>
  <c r="AO4" i="6"/>
  <c r="BW4" i="6" s="1"/>
  <c r="AO5" i="6"/>
  <c r="BW5" i="6" s="1"/>
  <c r="J41" i="80" s="1"/>
  <c r="AO6" i="6"/>
  <c r="AO7" i="6"/>
  <c r="AO8" i="6"/>
  <c r="AO9" i="6"/>
  <c r="AO10" i="6"/>
  <c r="AO11" i="6"/>
  <c r="AO12" i="6"/>
  <c r="AO13" i="6"/>
  <c r="J41" i="88" s="1"/>
  <c r="AO14" i="6"/>
  <c r="AO15" i="6"/>
  <c r="AO16" i="6"/>
  <c r="AO17" i="6"/>
  <c r="AO18" i="6"/>
  <c r="AO19" i="6"/>
  <c r="J41" i="94" s="1"/>
  <c r="AO20" i="6"/>
  <c r="AO21" i="6"/>
  <c r="AO22" i="6"/>
  <c r="AO23" i="6"/>
  <c r="AO24" i="6"/>
  <c r="AO25" i="6"/>
  <c r="J41" i="69" s="1"/>
  <c r="AO26" i="6"/>
  <c r="AO27" i="6"/>
  <c r="J41" i="71" s="1"/>
  <c r="AO28" i="6"/>
  <c r="J41" i="72" s="1"/>
  <c r="AO29" i="6"/>
  <c r="AO30" i="6"/>
  <c r="AO31" i="6"/>
  <c r="J41" i="75" s="1"/>
  <c r="AO32" i="6"/>
  <c r="AO33" i="6"/>
  <c r="AO3" i="6"/>
  <c r="BW3" i="6" s="1"/>
  <c r="BY3" i="6" s="1"/>
  <c r="AN4" i="6"/>
  <c r="F41" i="79" s="1"/>
  <c r="AN5" i="6"/>
  <c r="F41" i="80" s="1"/>
  <c r="AN6" i="6"/>
  <c r="F41" i="81" s="1"/>
  <c r="AN7" i="6"/>
  <c r="F41" i="82" s="1"/>
  <c r="AN8" i="6"/>
  <c r="F41" i="83" s="1"/>
  <c r="AN9" i="6"/>
  <c r="F41" i="84" s="1"/>
  <c r="AN10" i="6"/>
  <c r="F41" i="85" s="1"/>
  <c r="AN11" i="6"/>
  <c r="F41" i="86" s="1"/>
  <c r="AN12" i="6"/>
  <c r="F41" i="87" s="1"/>
  <c r="AN13" i="6"/>
  <c r="F41" i="88" s="1"/>
  <c r="AN14" i="6"/>
  <c r="F41" i="89" s="1"/>
  <c r="AN15" i="6"/>
  <c r="F41" i="90" s="1"/>
  <c r="AN16" i="6"/>
  <c r="F41" i="91" s="1"/>
  <c r="AN17" i="6"/>
  <c r="F41" i="92" s="1"/>
  <c r="AN18" i="6"/>
  <c r="F41" i="93" s="1"/>
  <c r="AN19" i="6"/>
  <c r="F41" i="94" s="1"/>
  <c r="AN20" i="6"/>
  <c r="F41" i="95" s="1"/>
  <c r="AN21" i="6"/>
  <c r="F41" i="96" s="1"/>
  <c r="AN22" i="6"/>
  <c r="F41" i="42" s="1"/>
  <c r="AN23" i="6"/>
  <c r="F41" i="67" s="1"/>
  <c r="AN24" i="6"/>
  <c r="F41" i="68" s="1"/>
  <c r="AN25" i="6"/>
  <c r="F41" i="69" s="1"/>
  <c r="AN26" i="6"/>
  <c r="F41" i="70" s="1"/>
  <c r="AN27" i="6"/>
  <c r="F41" i="71" s="1"/>
  <c r="AN28" i="6"/>
  <c r="F41" i="72" s="1"/>
  <c r="AN29" i="6"/>
  <c r="AN30" i="6"/>
  <c r="F41" i="74" s="1"/>
  <c r="AN31" i="6"/>
  <c r="F41" i="75" s="1"/>
  <c r="AN32" i="6"/>
  <c r="F41" i="76" s="1"/>
  <c r="AN33" i="6"/>
  <c r="F39" i="77" s="1"/>
  <c r="AN3" i="6"/>
  <c r="F41" i="78" s="1"/>
  <c r="AO35" i="6" l="1"/>
  <c r="F41" i="73"/>
  <c r="AN35" i="6"/>
  <c r="BW33" i="6"/>
  <c r="J39" i="77"/>
  <c r="Q39" i="77" s="1"/>
  <c r="BW26" i="6"/>
  <c r="J41" i="70"/>
  <c r="N41" i="70"/>
  <c r="N41" i="71" s="1"/>
  <c r="N41" i="72" s="1"/>
  <c r="O41" i="70"/>
  <c r="O41" i="71" s="1"/>
  <c r="O41" i="72" s="1"/>
  <c r="BW30" i="6"/>
  <c r="J41" i="74"/>
  <c r="Q41" i="74" s="1"/>
  <c r="BW24" i="6"/>
  <c r="J41" i="68"/>
  <c r="Q41" i="68" s="1"/>
  <c r="BW32" i="6"/>
  <c r="J41" i="76"/>
  <c r="Q41" i="76" s="1"/>
  <c r="Q41" i="75"/>
  <c r="Q41" i="69"/>
  <c r="BW23" i="6"/>
  <c r="J41" i="67"/>
  <c r="BW22" i="6"/>
  <c r="J41" i="42"/>
  <c r="Q41" i="94"/>
  <c r="BW21" i="6"/>
  <c r="J41" i="96"/>
  <c r="BW20" i="6"/>
  <c r="J41" i="95"/>
  <c r="BW18" i="6"/>
  <c r="J41" i="93"/>
  <c r="BW17" i="6"/>
  <c r="J41" i="92"/>
  <c r="BW12" i="6"/>
  <c r="J41" i="87"/>
  <c r="BW16" i="6"/>
  <c r="J41" i="91"/>
  <c r="BW15" i="6"/>
  <c r="J41" i="90"/>
  <c r="BW14" i="6"/>
  <c r="J41" i="89"/>
  <c r="BW11" i="6"/>
  <c r="J41" i="86"/>
  <c r="Q41" i="88"/>
  <c r="BW6" i="6"/>
  <c r="J41" i="81" s="1"/>
  <c r="Q41" i="81" s="1"/>
  <c r="BW9" i="6"/>
  <c r="J41" i="84"/>
  <c r="BW8" i="6"/>
  <c r="J41" i="83"/>
  <c r="Q41" i="83" s="1"/>
  <c r="J41" i="82"/>
  <c r="Q41" i="82" s="1"/>
  <c r="BW7" i="6"/>
  <c r="BW10" i="6"/>
  <c r="J41" i="85"/>
  <c r="H41" i="78"/>
  <c r="H41" i="79" s="1"/>
  <c r="H41" i="80" s="1"/>
  <c r="H41" i="81" s="1"/>
  <c r="H41" i="82" s="1"/>
  <c r="H41" i="83" s="1"/>
  <c r="H41" i="84" s="1"/>
  <c r="H41" i="85" s="1"/>
  <c r="H41" i="86" s="1"/>
  <c r="H41" i="87" s="1"/>
  <c r="H41" i="88" s="1"/>
  <c r="H41" i="89" s="1"/>
  <c r="H41" i="90" s="1"/>
  <c r="H41" i="91" s="1"/>
  <c r="H41" i="92" s="1"/>
  <c r="G41" i="78"/>
  <c r="G41" i="79" s="1"/>
  <c r="G41" i="80" s="1"/>
  <c r="G41" i="81" s="1"/>
  <c r="G41" i="82" s="1"/>
  <c r="G41" i="83" s="1"/>
  <c r="G41" i="84" s="1"/>
  <c r="G41" i="85" s="1"/>
  <c r="G41" i="86" s="1"/>
  <c r="G41" i="87" s="1"/>
  <c r="G41" i="88" s="1"/>
  <c r="G41" i="89" s="1"/>
  <c r="G41" i="90" s="1"/>
  <c r="G41" i="91" s="1"/>
  <c r="G41" i="92" s="1"/>
  <c r="BV4" i="6"/>
  <c r="BY4" i="6" s="1"/>
  <c r="Q41" i="80"/>
  <c r="Q41" i="79"/>
  <c r="BW28" i="6"/>
  <c r="Q41" i="72" s="1"/>
  <c r="BW27" i="6"/>
  <c r="Q41" i="71" s="1"/>
  <c r="J41" i="73"/>
  <c r="Q41" i="73" s="1"/>
  <c r="BW29" i="6"/>
  <c r="AP12" i="6"/>
  <c r="AP25" i="6"/>
  <c r="BW25" i="6"/>
  <c r="AP19" i="6"/>
  <c r="BW19" i="6"/>
  <c r="AP13" i="6"/>
  <c r="BW13" i="6"/>
  <c r="AP7" i="6"/>
  <c r="AP31" i="6"/>
  <c r="BW31" i="6"/>
  <c r="AP32" i="6"/>
  <c r="AP26" i="6"/>
  <c r="AP20" i="6"/>
  <c r="AP14" i="6"/>
  <c r="AP8" i="6"/>
  <c r="AP18" i="6"/>
  <c r="AP6" i="6"/>
  <c r="AP24" i="6"/>
  <c r="AP30" i="6"/>
  <c r="AP29" i="6"/>
  <c r="AP23" i="6"/>
  <c r="AP17" i="6"/>
  <c r="AP11" i="6"/>
  <c r="AP5" i="6"/>
  <c r="AP3" i="6"/>
  <c r="AP28" i="6"/>
  <c r="AP22" i="6"/>
  <c r="AP16" i="6"/>
  <c r="AP10" i="6"/>
  <c r="AP4" i="6"/>
  <c r="AP33" i="6"/>
  <c r="AP27" i="6"/>
  <c r="AP21" i="6"/>
  <c r="AP15" i="6"/>
  <c r="AP9" i="6"/>
  <c r="Q41" i="84" l="1"/>
  <c r="Q41" i="67"/>
  <c r="Q41" i="42"/>
  <c r="Q41" i="96"/>
  <c r="Q41" i="95"/>
  <c r="Q41" i="92"/>
  <c r="Q41" i="93"/>
  <c r="Q41" i="90"/>
  <c r="Q41" i="89"/>
  <c r="Q41" i="87"/>
  <c r="Q41" i="86"/>
  <c r="Q41" i="91"/>
  <c r="Q41" i="85"/>
  <c r="BV5" i="6"/>
  <c r="I41" i="79"/>
  <c r="P41" i="79" s="1"/>
  <c r="L41" i="78"/>
  <c r="K41" i="78"/>
  <c r="K41" i="79" s="1"/>
  <c r="Q41" i="78"/>
  <c r="H41" i="93"/>
  <c r="H41" i="94" s="1"/>
  <c r="H41" i="95" s="1"/>
  <c r="H41" i="96" s="1"/>
  <c r="H41" i="42" s="1"/>
  <c r="H41" i="67" s="1"/>
  <c r="H41" i="68" s="1"/>
  <c r="H41" i="69" s="1"/>
  <c r="H41" i="70" s="1"/>
  <c r="H41" i="71" s="1"/>
  <c r="H41" i="72" s="1"/>
  <c r="H41" i="73" s="1"/>
  <c r="H41" i="74" s="1"/>
  <c r="H41" i="75" s="1"/>
  <c r="H41" i="76" s="1"/>
  <c r="H39" i="77" s="1"/>
  <c r="O41" i="73"/>
  <c r="O41" i="74" s="1"/>
  <c r="O41" i="75" s="1"/>
  <c r="O41" i="76" s="1"/>
  <c r="BW34" i="6"/>
  <c r="N41" i="73"/>
  <c r="N41" i="74" s="1"/>
  <c r="N41" i="75" s="1"/>
  <c r="N41" i="76" s="1"/>
  <c r="Q41" i="70"/>
  <c r="BW35" i="6"/>
  <c r="S27" i="12"/>
  <c r="R27" i="97"/>
  <c r="V27" i="97"/>
  <c r="U27" i="97"/>
  <c r="L41" i="79" l="1"/>
  <c r="L41" i="80" s="1"/>
  <c r="L41" i="81" s="1"/>
  <c r="L41" i="82" s="1"/>
  <c r="G41" i="93"/>
  <c r="G41" i="94" s="1"/>
  <c r="G41" i="95" s="1"/>
  <c r="G41" i="96" s="1"/>
  <c r="G41" i="42" s="1"/>
  <c r="G41" i="67" s="1"/>
  <c r="G41" i="68" s="1"/>
  <c r="G41" i="69" s="1"/>
  <c r="G41" i="70" s="1"/>
  <c r="G41" i="71" s="1"/>
  <c r="G41" i="72" s="1"/>
  <c r="G41" i="73" s="1"/>
  <c r="G41" i="74" s="1"/>
  <c r="G41" i="75" s="1"/>
  <c r="G41" i="76" s="1"/>
  <c r="G39" i="77" s="1"/>
  <c r="BY5" i="6"/>
  <c r="BV6" i="6" s="1"/>
  <c r="K41" i="80"/>
  <c r="K41" i="81" s="1"/>
  <c r="K41" i="82" s="1"/>
  <c r="I41" i="80"/>
  <c r="P41" i="80" s="1"/>
  <c r="AC27" i="97"/>
  <c r="AN27" i="12"/>
  <c r="AB27" i="12"/>
  <c r="AM27" i="97"/>
  <c r="AA27" i="97"/>
  <c r="AF27" i="12"/>
  <c r="AV27" i="12" s="1"/>
  <c r="AP27" i="12"/>
  <c r="BY6" i="6" l="1"/>
  <c r="BV7" i="6" s="1"/>
  <c r="BY7" i="6" s="1"/>
  <c r="I41" i="81"/>
  <c r="P41" i="81" s="1"/>
  <c r="L41" i="83"/>
  <c r="L41" i="84" s="1"/>
  <c r="L41" i="85" s="1"/>
  <c r="L41" i="86" s="1"/>
  <c r="L41" i="87" s="1"/>
  <c r="L41" i="88" s="1"/>
  <c r="L41" i="89" s="1"/>
  <c r="L41" i="90" s="1"/>
  <c r="L41" i="91" s="1"/>
  <c r="L41" i="92" s="1"/>
  <c r="L41" i="93" s="1"/>
  <c r="L41" i="94" s="1"/>
  <c r="L41" i="95" s="1"/>
  <c r="L41" i="96" s="1"/>
  <c r="K41" i="83"/>
  <c r="K41" i="84" s="1"/>
  <c r="K41" i="85" s="1"/>
  <c r="K41" i="86" s="1"/>
  <c r="K41" i="87" s="1"/>
  <c r="K41" i="88" s="1"/>
  <c r="K41" i="89" s="1"/>
  <c r="K41" i="90" s="1"/>
  <c r="K41" i="91" s="1"/>
  <c r="K41" i="92" s="1"/>
  <c r="K41" i="93" s="1"/>
  <c r="K41" i="94" s="1"/>
  <c r="K41" i="95" s="1"/>
  <c r="K41" i="96" s="1"/>
  <c r="AN26" i="12"/>
  <c r="BV8" i="6"/>
  <c r="BY8" i="6" s="1"/>
  <c r="I41" i="82"/>
  <c r="P41" i="82" s="1"/>
  <c r="O39" i="77"/>
  <c r="N39" i="77"/>
  <c r="U26" i="97"/>
  <c r="AG26" i="97"/>
  <c r="K41" i="42" l="1"/>
  <c r="K41" i="67" s="1"/>
  <c r="K41" i="68" s="1"/>
  <c r="K41" i="69" s="1"/>
  <c r="L41" i="42"/>
  <c r="L41" i="67" s="1"/>
  <c r="L41" i="68" s="1"/>
  <c r="L41" i="69" s="1"/>
  <c r="AN26" i="97"/>
  <c r="AM26" i="97"/>
  <c r="BV9" i="6"/>
  <c r="BY9" i="6" s="1"/>
  <c r="I41" i="83"/>
  <c r="P41" i="83" s="1"/>
  <c r="G25" i="55"/>
  <c r="C25" i="55"/>
  <c r="G24" i="55"/>
  <c r="C24" i="55"/>
  <c r="V22" i="12"/>
  <c r="L41" i="71" l="1"/>
  <c r="L41" i="72" s="1"/>
  <c r="L41" i="73" s="1"/>
  <c r="L41" i="74" s="1"/>
  <c r="L41" i="75" s="1"/>
  <c r="L41" i="76" s="1"/>
  <c r="L39" i="77" s="1"/>
  <c r="L41" i="70"/>
  <c r="K41" i="70"/>
  <c r="K41" i="71"/>
  <c r="K41" i="72" s="1"/>
  <c r="K41" i="73" s="1"/>
  <c r="K41" i="74" s="1"/>
  <c r="K41" i="75" s="1"/>
  <c r="K41" i="76" s="1"/>
  <c r="K39" i="77" s="1"/>
  <c r="K25" i="55"/>
  <c r="BV10" i="6"/>
  <c r="BY10" i="6" s="1"/>
  <c r="I41" i="84"/>
  <c r="P41" i="84" s="1"/>
  <c r="K24" i="55"/>
  <c r="BV11" i="6" l="1"/>
  <c r="BY11" i="6" s="1"/>
  <c r="I41" i="85"/>
  <c r="P41" i="85" s="1"/>
  <c r="AM25" i="97"/>
  <c r="AN25" i="12"/>
  <c r="U25" i="97"/>
  <c r="V25" i="97"/>
  <c r="X25" i="97"/>
  <c r="BV12" i="6" l="1"/>
  <c r="BY12" i="6" s="1"/>
  <c r="I41" i="86"/>
  <c r="P41" i="86" s="1"/>
  <c r="AC25" i="97"/>
  <c r="V24" i="97"/>
  <c r="U24" i="97"/>
  <c r="AG24" i="97" s="1"/>
  <c r="W24" i="12"/>
  <c r="V24" i="12"/>
  <c r="AD24" i="12" l="1"/>
  <c r="BV13" i="6"/>
  <c r="BY13" i="6" s="1"/>
  <c r="I41" i="87"/>
  <c r="P41" i="87" s="1"/>
  <c r="AN24" i="12"/>
  <c r="AB24" i="12"/>
  <c r="AM24" i="97"/>
  <c r="AA24" i="97"/>
  <c r="AC24" i="97"/>
  <c r="V23" i="97"/>
  <c r="U23" i="97"/>
  <c r="BV14" i="6" l="1"/>
  <c r="BY14" i="6" s="1"/>
  <c r="I41" i="88"/>
  <c r="P41" i="88" s="1"/>
  <c r="AM23" i="97"/>
  <c r="AA23" i="97"/>
  <c r="AC23" i="97"/>
  <c r="BV15" i="6" l="1"/>
  <c r="BY15" i="6" s="1"/>
  <c r="I41" i="89"/>
  <c r="P41" i="89" s="1"/>
  <c r="AN23" i="12"/>
  <c r="AB23" i="12"/>
  <c r="BV16" i="6" l="1"/>
  <c r="BY16" i="6" s="1"/>
  <c r="I41" i="90"/>
  <c r="P41" i="90" s="1"/>
  <c r="AB22" i="12"/>
  <c r="AN22" i="12"/>
  <c r="U22" i="97"/>
  <c r="V22" i="97"/>
  <c r="BV17" i="6" l="1"/>
  <c r="BY17" i="6" s="1"/>
  <c r="I41" i="91"/>
  <c r="P41" i="91" s="1"/>
  <c r="AC22" i="97"/>
  <c r="AM22" i="97"/>
  <c r="U21" i="97"/>
  <c r="V21" i="97"/>
  <c r="BV18" i="6" l="1"/>
  <c r="BY18" i="6" s="1"/>
  <c r="I41" i="92"/>
  <c r="P41" i="92" s="1"/>
  <c r="AN21" i="12"/>
  <c r="AM21" i="97"/>
  <c r="AC21" i="97"/>
  <c r="U20" i="97"/>
  <c r="X20" i="97"/>
  <c r="V20" i="12"/>
  <c r="BV19" i="6" l="1"/>
  <c r="BY19" i="6" s="1"/>
  <c r="I41" i="93"/>
  <c r="P41" i="93" s="1"/>
  <c r="AN20" i="12"/>
  <c r="AO20" i="12"/>
  <c r="AM20" i="97"/>
  <c r="AH20" i="12"/>
  <c r="S19" i="97"/>
  <c r="V19" i="12"/>
  <c r="W19" i="12"/>
  <c r="BV20" i="6" l="1"/>
  <c r="I41" i="94"/>
  <c r="AM19" i="97"/>
  <c r="AN19" i="12"/>
  <c r="AD19" i="12"/>
  <c r="AN19" i="97"/>
  <c r="BY20" i="6" l="1"/>
  <c r="BV21" i="6" s="1"/>
  <c r="I41" i="95"/>
  <c r="P41" i="95" s="1"/>
  <c r="P41" i="94"/>
  <c r="AM18" i="97"/>
  <c r="W18" i="12"/>
  <c r="T17" i="97"/>
  <c r="V17" i="12"/>
  <c r="BY21" i="6" l="1"/>
  <c r="BV22" i="6" s="1"/>
  <c r="BY22" i="6" s="1"/>
  <c r="BV23" i="6" s="1"/>
  <c r="BY23" i="6" s="1"/>
  <c r="I41" i="96"/>
  <c r="P41" i="96" s="1"/>
  <c r="I41" i="42"/>
  <c r="P41" i="42" s="1"/>
  <c r="AN17" i="97"/>
  <c r="AB17" i="97"/>
  <c r="AB17" i="12"/>
  <c r="AN17" i="12"/>
  <c r="AN18" i="12"/>
  <c r="AM17" i="97"/>
  <c r="AA17" i="97"/>
  <c r="U16" i="97"/>
  <c r="V16" i="97"/>
  <c r="BV24" i="6" l="1"/>
  <c r="BY24" i="6" s="1"/>
  <c r="I41" i="67"/>
  <c r="P41" i="67" s="1"/>
  <c r="AC16" i="97"/>
  <c r="R16" i="97"/>
  <c r="BV25" i="6" l="1"/>
  <c r="BY25" i="6" s="1"/>
  <c r="I41" i="68"/>
  <c r="P41" i="68" s="1"/>
  <c r="AN16" i="12"/>
  <c r="AB16" i="12"/>
  <c r="AM16" i="97"/>
  <c r="AA16" i="97"/>
  <c r="AC16" i="12"/>
  <c r="AO16" i="12"/>
  <c r="U15" i="97"/>
  <c r="V15" i="97"/>
  <c r="BV26" i="6" l="1"/>
  <c r="BY26" i="6" s="1"/>
  <c r="I41" i="69"/>
  <c r="P41" i="69" s="1"/>
  <c r="AC15" i="97"/>
  <c r="AN15" i="12"/>
  <c r="AM15" i="97"/>
  <c r="BV27" i="6" l="1"/>
  <c r="I41" i="70"/>
  <c r="P41" i="70" s="1"/>
  <c r="AM13" i="97"/>
  <c r="AM12" i="97"/>
  <c r="S14" i="97"/>
  <c r="U14" i="97"/>
  <c r="T14" i="97"/>
  <c r="V14" i="97"/>
  <c r="T14" i="12"/>
  <c r="I41" i="71" l="1"/>
  <c r="P41" i="71" s="1"/>
  <c r="BY27" i="6"/>
  <c r="BV28" i="6" s="1"/>
  <c r="AN14" i="12"/>
  <c r="AM14" i="97"/>
  <c r="AA14" i="97"/>
  <c r="AC14" i="97"/>
  <c r="AO14" i="12"/>
  <c r="AB14" i="97"/>
  <c r="AN14" i="97"/>
  <c r="AG14" i="97"/>
  <c r="U13" i="97"/>
  <c r="V13" i="97"/>
  <c r="I41" i="72" l="1"/>
  <c r="P41" i="72" s="1"/>
  <c r="BY28" i="6"/>
  <c r="BV29" i="6" s="1"/>
  <c r="BY29" i="6" s="1"/>
  <c r="AN13" i="12"/>
  <c r="AG13" i="97"/>
  <c r="AN13" i="97"/>
  <c r="AC13" i="97"/>
  <c r="P35" i="6"/>
  <c r="Q35" i="6"/>
  <c r="BV30" i="6" l="1"/>
  <c r="I41" i="73"/>
  <c r="P41" i="73" s="1"/>
  <c r="U12" i="97"/>
  <c r="V12" i="97"/>
  <c r="X12" i="97"/>
  <c r="I41" i="74" l="1"/>
  <c r="P41" i="74" s="1"/>
  <c r="BY30" i="6"/>
  <c r="BV31" i="6" s="1"/>
  <c r="AO12" i="12"/>
  <c r="AC12" i="97"/>
  <c r="AN12" i="12"/>
  <c r="AM11" i="97"/>
  <c r="V6" i="97"/>
  <c r="U6" i="97"/>
  <c r="I41" i="75" l="1"/>
  <c r="P41" i="75" s="1"/>
  <c r="BY31" i="6"/>
  <c r="BV32" i="6" s="1"/>
  <c r="AC6" i="97"/>
  <c r="U11" i="97"/>
  <c r="R10" i="97"/>
  <c r="U10" i="97"/>
  <c r="V10" i="97"/>
  <c r="X10" i="97"/>
  <c r="V11" i="12"/>
  <c r="W11" i="12"/>
  <c r="T10" i="12"/>
  <c r="V10" i="12"/>
  <c r="I41" i="76" l="1"/>
  <c r="P41" i="76" s="1"/>
  <c r="BY32" i="6"/>
  <c r="BV33" i="6" s="1"/>
  <c r="BY33" i="6" s="1"/>
  <c r="AN11" i="12"/>
  <c r="AO10" i="12"/>
  <c r="AC10" i="97"/>
  <c r="AD11" i="12"/>
  <c r="AH10" i="12"/>
  <c r="AB10" i="12"/>
  <c r="AN10" i="12"/>
  <c r="AM10" i="97"/>
  <c r="AA10" i="97"/>
  <c r="EK35" i="1"/>
  <c r="I39" i="77" l="1"/>
  <c r="P39" i="77" s="1"/>
  <c r="X9" i="97"/>
  <c r="U9" i="97"/>
  <c r="S9" i="97"/>
  <c r="Q9" i="97"/>
  <c r="AG9" i="97" l="1"/>
  <c r="AM9" i="97"/>
  <c r="AA9" i="97"/>
  <c r="AN9" i="97"/>
  <c r="AB9" i="12"/>
  <c r="AN9" i="12"/>
  <c r="V8" i="97"/>
  <c r="U8" i="97"/>
  <c r="AC8" i="97" l="1"/>
  <c r="AN8" i="12"/>
  <c r="AM8" i="97"/>
  <c r="X7" i="97"/>
  <c r="U7" i="97" l="1"/>
  <c r="V7" i="97"/>
  <c r="S7" i="97"/>
  <c r="AC7" i="97" l="1"/>
  <c r="AM7" i="97"/>
  <c r="AN7" i="97"/>
  <c r="AN7" i="12"/>
  <c r="AG7" i="97"/>
  <c r="AN6" i="12" l="1"/>
  <c r="AM6" i="97"/>
  <c r="AA6" i="97"/>
  <c r="U5" i="97"/>
  <c r="AM5" i="97" l="1"/>
  <c r="AN5" i="12"/>
  <c r="AB5" i="12"/>
  <c r="V4" i="97"/>
  <c r="U4" i="97"/>
  <c r="AC4" i="97" l="1"/>
  <c r="AA4" i="97"/>
  <c r="AN4" i="97"/>
  <c r="AB4" i="97"/>
  <c r="AG4" i="97"/>
  <c r="AH4" i="97"/>
  <c r="V31" i="12"/>
  <c r="W31" i="12"/>
  <c r="T31" i="12"/>
  <c r="AH31" i="12" s="1"/>
  <c r="AD31" i="12" l="1"/>
  <c r="AO31" i="12"/>
  <c r="U30" i="97"/>
  <c r="AG30" i="97" s="1"/>
  <c r="V30" i="97"/>
  <c r="AC30" i="97" l="1"/>
  <c r="AH30" i="97"/>
  <c r="U28" i="97" l="1"/>
  <c r="AG28" i="97" s="1"/>
  <c r="V28" i="97"/>
  <c r="AC28" i="97" l="1"/>
  <c r="V26" i="12"/>
  <c r="S26" i="12"/>
  <c r="AB26" i="12" s="1"/>
  <c r="W26" i="12"/>
  <c r="AD26" i="12" l="1"/>
  <c r="AA26" i="97"/>
  <c r="X24" i="97"/>
  <c r="V23" i="12" l="1"/>
  <c r="T22" i="12" l="1"/>
  <c r="X22" i="97"/>
  <c r="AH22" i="12" l="1"/>
  <c r="AO22" i="12"/>
  <c r="AA20" i="97" l="1"/>
  <c r="X21" i="97"/>
  <c r="AD21" i="97" s="1"/>
  <c r="T19" i="97" l="1"/>
  <c r="AB19" i="97" s="1"/>
  <c r="AB19" i="12"/>
  <c r="AA19" i="97" l="1"/>
  <c r="T18" i="12"/>
  <c r="U18" i="12"/>
  <c r="V18" i="12"/>
  <c r="AD18" i="12" s="1"/>
  <c r="AO18" i="12" l="1"/>
  <c r="AC18" i="12"/>
  <c r="AH18" i="12"/>
  <c r="V17" i="97"/>
  <c r="AH17" i="97" s="1"/>
  <c r="U17" i="97"/>
  <c r="AH17" i="12" l="1"/>
  <c r="AO17" i="12"/>
  <c r="AC17" i="12"/>
  <c r="AG17" i="97"/>
  <c r="AC17" i="97"/>
  <c r="V15" i="12" l="1"/>
  <c r="W15" i="12"/>
  <c r="T15" i="12"/>
  <c r="AH15" i="12" l="1"/>
  <c r="AO15" i="12"/>
  <c r="AD15" i="12"/>
  <c r="W13" i="12"/>
  <c r="V13" i="12"/>
  <c r="AD13" i="12" l="1"/>
  <c r="AH13" i="12"/>
  <c r="AO13" i="12"/>
  <c r="AC13" i="12"/>
  <c r="AB12" i="12"/>
  <c r="AA12" i="97" l="1"/>
  <c r="V6" i="12"/>
  <c r="W9" i="12" l="1"/>
  <c r="V9" i="12"/>
  <c r="AD9" i="12" s="1"/>
  <c r="S8" i="97" l="1"/>
  <c r="V8" i="12"/>
  <c r="W8" i="12"/>
  <c r="AD8" i="12" l="1"/>
  <c r="AG8" i="97"/>
  <c r="AN8" i="97"/>
  <c r="V7" i="12"/>
  <c r="W7" i="12"/>
  <c r="AD7" i="12" l="1"/>
  <c r="R9" i="6"/>
  <c r="W6" i="12"/>
  <c r="AD6" i="12" s="1"/>
  <c r="V5" i="97" l="1"/>
  <c r="AC5" i="97" s="1"/>
  <c r="S5" i="97"/>
  <c r="T5" i="97"/>
  <c r="AH5" i="97" s="1"/>
  <c r="V5" i="12"/>
  <c r="W5" i="12"/>
  <c r="AD5" i="12" l="1"/>
  <c r="AG5" i="97"/>
  <c r="AN5" i="97"/>
  <c r="AB5" i="97"/>
  <c r="AA5" i="97"/>
  <c r="EB3" i="1"/>
  <c r="ED4" i="1"/>
  <c r="ED5" i="1"/>
  <c r="ED6" i="1"/>
  <c r="ED7" i="1"/>
  <c r="ED8" i="1"/>
  <c r="ED9" i="1"/>
  <c r="ED10" i="1"/>
  <c r="ED11" i="1"/>
  <c r="ED12" i="1"/>
  <c r="ED13" i="1"/>
  <c r="ED14" i="1"/>
  <c r="ED3" i="1"/>
  <c r="R3" i="98" s="1"/>
  <c r="S34" i="97" l="1"/>
  <c r="AN34" i="97" l="1"/>
  <c r="U34" i="12"/>
  <c r="AC34" i="12" s="1"/>
  <c r="AU34" i="12" s="1"/>
  <c r="U33" i="97" l="1"/>
  <c r="V33" i="97"/>
  <c r="AC33" i="97" l="1"/>
  <c r="V32" i="12"/>
  <c r="W32" i="12"/>
  <c r="U32" i="97"/>
  <c r="AG32" i="97" s="1"/>
  <c r="AH32" i="12" l="1"/>
  <c r="AM32" i="97"/>
  <c r="AC32" i="12"/>
  <c r="AU32" i="12" s="1"/>
  <c r="AO32" i="12"/>
  <c r="AD32" i="12"/>
  <c r="U31" i="97"/>
  <c r="AG31" i="97" s="1"/>
  <c r="V31" i="97"/>
  <c r="AH31" i="97" s="1"/>
  <c r="AC31" i="97" l="1"/>
  <c r="AO29" i="12" l="1"/>
  <c r="V29" i="97"/>
  <c r="AC29" i="97" s="1"/>
  <c r="AB29" i="12"/>
  <c r="AN28" i="97" l="1"/>
  <c r="R28" i="97"/>
  <c r="S28" i="12"/>
  <c r="AB28" i="12" s="1"/>
  <c r="AA28" i="97" l="1"/>
  <c r="U27" i="12"/>
  <c r="T27" i="12"/>
  <c r="W27" i="12"/>
  <c r="V27" i="12"/>
  <c r="AD27" i="12" s="1"/>
  <c r="AG27" i="97"/>
  <c r="J33" i="71"/>
  <c r="AH27" i="12" l="1"/>
  <c r="AH27" i="97"/>
  <c r="AO27" i="12"/>
  <c r="AC27" i="12"/>
  <c r="AB27" i="97"/>
  <c r="AN27" i="97"/>
  <c r="I48" i="69"/>
  <c r="AH26" i="12" l="1"/>
  <c r="AO26" i="12"/>
  <c r="AC26" i="12"/>
  <c r="V25" i="12"/>
  <c r="AB25" i="12"/>
  <c r="AA25" i="97" l="1"/>
  <c r="E21" i="1"/>
  <c r="E22" i="1"/>
  <c r="E23" i="1"/>
  <c r="E24" i="1"/>
  <c r="E25" i="1"/>
  <c r="E26" i="1"/>
  <c r="E27" i="1"/>
  <c r="X23" i="97" l="1"/>
  <c r="S22" i="97" l="1"/>
  <c r="AA22" i="97" l="1"/>
  <c r="AG22" i="97"/>
  <c r="AN22" i="97"/>
  <c r="S20" i="12"/>
  <c r="AB20" i="12" s="1"/>
  <c r="R21" i="97" l="1"/>
  <c r="V20" i="97"/>
  <c r="AC20" i="97" s="1"/>
  <c r="AB21" i="12"/>
  <c r="AA21" i="97" l="1"/>
  <c r="AO21" i="12"/>
  <c r="AC21" i="12"/>
  <c r="V19" i="97" l="1"/>
  <c r="AH19" i="97" s="1"/>
  <c r="U19" i="97"/>
  <c r="L18" i="6"/>
  <c r="AG19" i="97" l="1"/>
  <c r="AC19" i="97"/>
  <c r="AB18" i="12"/>
  <c r="AA18" i="97" l="1"/>
  <c r="W17" i="12"/>
  <c r="AI17" i="12" l="1"/>
  <c r="E16" i="3" s="1"/>
  <c r="AD17" i="12"/>
  <c r="AB15" i="12"/>
  <c r="X14" i="97"/>
  <c r="AH14" i="97" s="1"/>
  <c r="S14" i="12"/>
  <c r="AB14" i="12" s="1"/>
  <c r="V14" i="12"/>
  <c r="W14" i="12"/>
  <c r="S13" i="12"/>
  <c r="AB13" i="12" s="1"/>
  <c r="F16" i="3" l="1"/>
  <c r="I24" i="91" s="1"/>
  <c r="AH14" i="12"/>
  <c r="AD14" i="12"/>
  <c r="W12" i="12"/>
  <c r="V12" i="12"/>
  <c r="AH12" i="12" l="1"/>
  <c r="AD12" i="12"/>
  <c r="V11" i="97"/>
  <c r="AC11" i="97" s="1"/>
  <c r="AB11" i="12"/>
  <c r="AA11" i="97" l="1"/>
  <c r="T9" i="97"/>
  <c r="V9" i="97"/>
  <c r="AC9" i="97" s="1"/>
  <c r="AB9" i="97" l="1"/>
  <c r="AH9" i="97"/>
  <c r="T8" i="97"/>
  <c r="AB8" i="97" s="1"/>
  <c r="G55" i="82"/>
  <c r="AB8" i="12" l="1"/>
  <c r="AH8" i="97" l="1"/>
  <c r="AA8" i="97" l="1"/>
  <c r="C8" i="55"/>
  <c r="F55" i="83" s="1"/>
  <c r="C9" i="55"/>
  <c r="F55" i="84" s="1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6" i="55"/>
  <c r="C27" i="55"/>
  <c r="C28" i="55"/>
  <c r="C29" i="55"/>
  <c r="C30" i="55"/>
  <c r="C31" i="55"/>
  <c r="C32" i="55"/>
  <c r="C33" i="55"/>
  <c r="C5" i="55"/>
  <c r="C6" i="55"/>
  <c r="C7" i="55"/>
  <c r="F55" i="82" s="1"/>
  <c r="T7" i="97" l="1"/>
  <c r="T6" i="97"/>
  <c r="AH6" i="97" s="1"/>
  <c r="S6" i="97"/>
  <c r="AG6" i="97" s="1"/>
  <c r="U7" i="12"/>
  <c r="T7" i="12"/>
  <c r="AB7" i="12"/>
  <c r="AB7" i="97" l="1"/>
  <c r="AH7" i="97"/>
  <c r="AA7" i="97"/>
  <c r="AB6" i="97"/>
  <c r="AN6" i="97"/>
  <c r="AH7" i="12"/>
  <c r="AO7" i="12"/>
  <c r="AC7" i="12"/>
  <c r="C4" i="55"/>
  <c r="EF3" i="1" l="1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C24" i="1"/>
  <c r="EC25" i="1"/>
  <c r="EC26" i="1"/>
  <c r="EC27" i="1"/>
  <c r="EC28" i="1"/>
  <c r="EC29" i="1"/>
  <c r="EC30" i="1"/>
  <c r="EC31" i="1"/>
  <c r="EC32" i="1"/>
  <c r="EC33" i="1"/>
  <c r="EC3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" i="1"/>
  <c r="Y34" i="6" l="1"/>
  <c r="Y35" i="6"/>
  <c r="V33" i="55" l="1"/>
  <c r="K53" i="77" l="1"/>
  <c r="U34" i="97" l="1"/>
  <c r="AG34" i="97" s="1"/>
  <c r="AN32" i="97" l="1"/>
  <c r="G30" i="55"/>
  <c r="AB30" i="97" l="1"/>
  <c r="AN30" i="97"/>
  <c r="T28" i="97" l="1"/>
  <c r="AH28" i="97" s="1"/>
  <c r="AA29" i="97" l="1"/>
  <c r="AB28" i="97"/>
  <c r="T25" i="97"/>
  <c r="AH25" i="97" s="1"/>
  <c r="S25" i="97"/>
  <c r="AG25" i="97" s="1"/>
  <c r="AN25" i="97" l="1"/>
  <c r="AB25" i="97"/>
  <c r="G24" i="64"/>
  <c r="AH24" i="97" l="1"/>
  <c r="AB24" i="97" l="1"/>
  <c r="AN24" i="97"/>
  <c r="T23" i="97"/>
  <c r="AH23" i="97" s="1"/>
  <c r="S23" i="97"/>
  <c r="AH23" i="12" l="1"/>
  <c r="AO23" i="12"/>
  <c r="AC23" i="12"/>
  <c r="AG23" i="97"/>
  <c r="AB23" i="97"/>
  <c r="AN23" i="97"/>
  <c r="L40" i="78"/>
  <c r="L40" i="79" s="1"/>
  <c r="K40" i="78"/>
  <c r="K40" i="79" s="1"/>
  <c r="K40" i="80" l="1"/>
  <c r="K40" i="81" s="1"/>
  <c r="L40" i="80"/>
  <c r="L40" i="81" s="1"/>
  <c r="T22" i="97"/>
  <c r="AH22" i="97" s="1"/>
  <c r="AB22" i="97" l="1"/>
  <c r="W21" i="12"/>
  <c r="V21" i="12"/>
  <c r="AH21" i="12" l="1"/>
  <c r="AD21" i="12"/>
  <c r="S14" i="2"/>
  <c r="L15" i="6" l="1"/>
  <c r="K15" i="6" s="1"/>
  <c r="AH15" i="97" l="1"/>
  <c r="AG15" i="97"/>
  <c r="AB15" i="97"/>
  <c r="AN15" i="97"/>
  <c r="AA15" i="97"/>
  <c r="AH34" i="1"/>
  <c r="AC12" i="12" l="1"/>
  <c r="T10" i="97" l="1"/>
  <c r="AH10" i="97" s="1"/>
  <c r="S10" i="97"/>
  <c r="Y8" i="12"/>
  <c r="AE8" i="12" s="1"/>
  <c r="Y9" i="12"/>
  <c r="Y7" i="12"/>
  <c r="Y4" i="12"/>
  <c r="AE4" i="12" s="1"/>
  <c r="Y5" i="12"/>
  <c r="AE5" i="12" s="1"/>
  <c r="Y6" i="12"/>
  <c r="AE6" i="12" s="1"/>
  <c r="Y3" i="12"/>
  <c r="AI7" i="12" l="1"/>
  <c r="E6" i="3" s="1"/>
  <c r="F6" i="3" s="1"/>
  <c r="I24" i="81" s="1"/>
  <c r="AG10" i="97"/>
  <c r="AB10" i="97"/>
  <c r="AN10" i="97"/>
  <c r="AH8" i="12"/>
  <c r="AC8" i="12"/>
  <c r="AO8" i="12"/>
  <c r="AI8" i="12"/>
  <c r="E7" i="3" s="1"/>
  <c r="F7" i="3" s="1"/>
  <c r="I24" i="82" s="1"/>
  <c r="AE7" i="12"/>
  <c r="G7" i="55"/>
  <c r="K7" i="55" s="1"/>
  <c r="E8" i="1" l="1"/>
  <c r="R8" i="6"/>
  <c r="E9" i="2" l="1"/>
  <c r="P6" i="55" l="1"/>
  <c r="N34" i="55"/>
  <c r="J53" i="77" l="1"/>
  <c r="H53" i="77"/>
  <c r="G53" i="77"/>
  <c r="F53" i="77"/>
  <c r="E53" i="77"/>
  <c r="L53" i="77"/>
  <c r="M55" i="76"/>
  <c r="L55" i="76"/>
  <c r="K55" i="76"/>
  <c r="I55" i="76"/>
  <c r="H55" i="76"/>
  <c r="F55" i="76"/>
  <c r="E55" i="76"/>
  <c r="M55" i="75"/>
  <c r="L55" i="75"/>
  <c r="K55" i="75"/>
  <c r="I55" i="75"/>
  <c r="H55" i="75"/>
  <c r="F55" i="75"/>
  <c r="E55" i="75"/>
  <c r="M55" i="74"/>
  <c r="L55" i="74"/>
  <c r="K55" i="74"/>
  <c r="I55" i="74"/>
  <c r="H55" i="74"/>
  <c r="F55" i="74"/>
  <c r="E55" i="74"/>
  <c r="M55" i="73"/>
  <c r="L55" i="73"/>
  <c r="K55" i="73"/>
  <c r="I55" i="73"/>
  <c r="H55" i="73"/>
  <c r="F55" i="73"/>
  <c r="E55" i="73"/>
  <c r="M55" i="72"/>
  <c r="L55" i="72"/>
  <c r="K55" i="72"/>
  <c r="I55" i="72"/>
  <c r="H55" i="72"/>
  <c r="F55" i="72"/>
  <c r="E55" i="72"/>
  <c r="M55" i="71"/>
  <c r="L55" i="71"/>
  <c r="K55" i="71"/>
  <c r="I55" i="71"/>
  <c r="H55" i="71"/>
  <c r="F55" i="71"/>
  <c r="E55" i="71"/>
  <c r="M55" i="70"/>
  <c r="L55" i="70"/>
  <c r="K55" i="70"/>
  <c r="I55" i="70"/>
  <c r="H55" i="70"/>
  <c r="F55" i="70"/>
  <c r="E55" i="70"/>
  <c r="M55" i="69"/>
  <c r="L55" i="69"/>
  <c r="K55" i="69"/>
  <c r="I55" i="69"/>
  <c r="H55" i="69"/>
  <c r="F55" i="69"/>
  <c r="E55" i="69"/>
  <c r="M55" i="68"/>
  <c r="L55" i="68"/>
  <c r="K55" i="68"/>
  <c r="I55" i="68"/>
  <c r="H55" i="68"/>
  <c r="F55" i="68"/>
  <c r="E55" i="68"/>
  <c r="M55" i="67"/>
  <c r="L55" i="67"/>
  <c r="K55" i="67"/>
  <c r="I55" i="67"/>
  <c r="H55" i="67"/>
  <c r="F55" i="67"/>
  <c r="E55" i="67"/>
  <c r="M55" i="42"/>
  <c r="L55" i="42"/>
  <c r="K55" i="42"/>
  <c r="I55" i="42"/>
  <c r="H55" i="42"/>
  <c r="F55" i="42"/>
  <c r="E55" i="42"/>
  <c r="M55" i="96"/>
  <c r="L55" i="96"/>
  <c r="K55" i="96"/>
  <c r="I55" i="96"/>
  <c r="H55" i="96"/>
  <c r="F55" i="96"/>
  <c r="E55" i="96"/>
  <c r="M55" i="95"/>
  <c r="L55" i="95"/>
  <c r="K55" i="95"/>
  <c r="I55" i="95"/>
  <c r="H55" i="95"/>
  <c r="F55" i="95"/>
  <c r="E55" i="95"/>
  <c r="M55" i="94"/>
  <c r="L55" i="94"/>
  <c r="K55" i="94"/>
  <c r="I55" i="94"/>
  <c r="H55" i="94"/>
  <c r="F55" i="94"/>
  <c r="E55" i="94"/>
  <c r="M55" i="93"/>
  <c r="L55" i="93"/>
  <c r="K55" i="93"/>
  <c r="I55" i="93"/>
  <c r="H55" i="93"/>
  <c r="F55" i="93"/>
  <c r="E55" i="93"/>
  <c r="M55" i="92"/>
  <c r="L55" i="92"/>
  <c r="K55" i="92"/>
  <c r="I55" i="92"/>
  <c r="H55" i="92"/>
  <c r="F55" i="92"/>
  <c r="E55" i="92"/>
  <c r="M55" i="91"/>
  <c r="L55" i="91"/>
  <c r="K55" i="91"/>
  <c r="I55" i="91"/>
  <c r="H55" i="91"/>
  <c r="F55" i="91"/>
  <c r="E55" i="91"/>
  <c r="M55" i="90"/>
  <c r="L55" i="90"/>
  <c r="K55" i="90"/>
  <c r="I55" i="90"/>
  <c r="H55" i="90"/>
  <c r="F55" i="90"/>
  <c r="E55" i="90"/>
  <c r="M55" i="89"/>
  <c r="L55" i="89"/>
  <c r="K55" i="89"/>
  <c r="I55" i="89"/>
  <c r="H55" i="89"/>
  <c r="F55" i="89"/>
  <c r="E55" i="89"/>
  <c r="M55" i="88"/>
  <c r="L55" i="88"/>
  <c r="K55" i="88"/>
  <c r="I55" i="88"/>
  <c r="H55" i="88"/>
  <c r="F55" i="88"/>
  <c r="E55" i="88"/>
  <c r="M55" i="87"/>
  <c r="L55" i="87"/>
  <c r="K55" i="87"/>
  <c r="I55" i="87"/>
  <c r="H55" i="87"/>
  <c r="F55" i="87"/>
  <c r="E55" i="87"/>
  <c r="M55" i="86"/>
  <c r="L55" i="86"/>
  <c r="K55" i="86"/>
  <c r="I55" i="86"/>
  <c r="H55" i="86"/>
  <c r="F55" i="86"/>
  <c r="E55" i="86"/>
  <c r="M55" i="82"/>
  <c r="L55" i="82"/>
  <c r="K55" i="82"/>
  <c r="I55" i="82"/>
  <c r="H55" i="82"/>
  <c r="E55" i="82"/>
  <c r="M55" i="83"/>
  <c r="L55" i="83"/>
  <c r="K55" i="83"/>
  <c r="I55" i="83"/>
  <c r="H55" i="83"/>
  <c r="E55" i="83"/>
  <c r="M55" i="84"/>
  <c r="L55" i="84"/>
  <c r="K55" i="84"/>
  <c r="I55" i="84"/>
  <c r="H55" i="84"/>
  <c r="E55" i="84"/>
  <c r="M55" i="85"/>
  <c r="L55" i="85"/>
  <c r="K55" i="85"/>
  <c r="I55" i="85"/>
  <c r="H55" i="85"/>
  <c r="F55" i="85"/>
  <c r="E55" i="85"/>
  <c r="M55" i="81"/>
  <c r="L55" i="81"/>
  <c r="K55" i="81"/>
  <c r="I55" i="81"/>
  <c r="H55" i="81"/>
  <c r="E55" i="81"/>
  <c r="J32" i="77"/>
  <c r="F32" i="77"/>
  <c r="J34" i="76"/>
  <c r="F34" i="76"/>
  <c r="J34" i="75"/>
  <c r="F34" i="75"/>
  <c r="J34" i="74"/>
  <c r="F34" i="74"/>
  <c r="J34" i="73"/>
  <c r="F34" i="73"/>
  <c r="J34" i="72"/>
  <c r="F34" i="72"/>
  <c r="J34" i="71"/>
  <c r="F34" i="71"/>
  <c r="J34" i="70"/>
  <c r="F34" i="70"/>
  <c r="J34" i="69"/>
  <c r="F34" i="69"/>
  <c r="J34" i="68"/>
  <c r="F34" i="68"/>
  <c r="J34" i="67"/>
  <c r="F34" i="67"/>
  <c r="J34" i="42"/>
  <c r="F34" i="42"/>
  <c r="J34" i="96"/>
  <c r="F34" i="96"/>
  <c r="J34" i="95"/>
  <c r="F34" i="95"/>
  <c r="J34" i="94"/>
  <c r="F34" i="94"/>
  <c r="J34" i="93"/>
  <c r="F34" i="93"/>
  <c r="J34" i="92"/>
  <c r="F34" i="92"/>
  <c r="J34" i="91"/>
  <c r="F34" i="91"/>
  <c r="J34" i="90"/>
  <c r="F34" i="90"/>
  <c r="J34" i="89"/>
  <c r="F34" i="89"/>
  <c r="J34" i="88"/>
  <c r="F34" i="88"/>
  <c r="J34" i="87"/>
  <c r="F34" i="87"/>
  <c r="J34" i="86"/>
  <c r="F34" i="86"/>
  <c r="J34" i="85"/>
  <c r="F34" i="85"/>
  <c r="J34" i="84"/>
  <c r="F34" i="84"/>
  <c r="J34" i="83"/>
  <c r="F34" i="83"/>
  <c r="J34" i="82"/>
  <c r="F34" i="82"/>
  <c r="J34" i="81"/>
  <c r="F34" i="81"/>
  <c r="F52" i="71" l="1"/>
  <c r="Q34" i="92"/>
  <c r="Q34" i="90"/>
  <c r="Q32" i="77"/>
  <c r="Q34" i="76"/>
  <c r="Q34" i="88"/>
  <c r="Q34" i="71"/>
  <c r="Q34" i="70"/>
  <c r="Q34" i="69"/>
  <c r="Q34" i="68"/>
  <c r="Q34" i="67"/>
  <c r="Q34" i="42"/>
  <c r="Q34" i="94"/>
  <c r="Q34" i="91"/>
  <c r="Q34" i="89"/>
  <c r="Q34" i="87"/>
  <c r="Q34" i="73"/>
  <c r="Q34" i="83"/>
  <c r="Q34" i="84"/>
  <c r="Q34" i="75"/>
  <c r="Q34" i="74"/>
  <c r="Q34" i="72"/>
  <c r="Q34" i="96"/>
  <c r="Q34" i="95"/>
  <c r="Q34" i="93"/>
  <c r="Q34" i="86"/>
  <c r="Q34" i="85"/>
  <c r="Q34" i="82"/>
  <c r="Q34" i="81"/>
  <c r="Q34" i="6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" i="55"/>
  <c r="S4" i="2" l="1"/>
  <c r="S5" i="2"/>
  <c r="S6" i="2"/>
  <c r="S7" i="2"/>
  <c r="S8" i="2"/>
  <c r="S9" i="2"/>
  <c r="S10" i="2"/>
  <c r="S11" i="2"/>
  <c r="S12" i="2"/>
  <c r="S13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" i="2"/>
  <c r="U3" i="2" s="1"/>
  <c r="T35" i="2"/>
  <c r="T34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P3" i="2" s="1"/>
  <c r="O35" i="2"/>
  <c r="O34" i="2"/>
  <c r="E4" i="2"/>
  <c r="E5" i="2"/>
  <c r="E6" i="2"/>
  <c r="E7" i="2"/>
  <c r="E8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4" i="6" s="1"/>
  <c r="E25" i="2"/>
  <c r="E26" i="2"/>
  <c r="E27" i="2"/>
  <c r="E28" i="2"/>
  <c r="E29" i="2"/>
  <c r="E30" i="2"/>
  <c r="E31" i="2"/>
  <c r="E32" i="2"/>
  <c r="E33" i="2"/>
  <c r="E3" i="2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8" i="1"/>
  <c r="E29" i="1"/>
  <c r="E30" i="1"/>
  <c r="E31" i="1"/>
  <c r="E32" i="1"/>
  <c r="E33" i="1"/>
  <c r="E3" i="1"/>
  <c r="G3" i="1" s="1"/>
  <c r="E28" i="6" l="1"/>
  <c r="AN28" i="2"/>
  <c r="E29" i="6"/>
  <c r="AN29" i="2"/>
  <c r="E17" i="6"/>
  <c r="AN17" i="2"/>
  <c r="E11" i="6"/>
  <c r="AN11" i="2"/>
  <c r="E4" i="6"/>
  <c r="AN4" i="2"/>
  <c r="E10" i="6"/>
  <c r="AN10" i="2"/>
  <c r="E33" i="6"/>
  <c r="AN33" i="2"/>
  <c r="E27" i="6"/>
  <c r="AN27" i="2"/>
  <c r="AN21" i="2"/>
  <c r="E15" i="6"/>
  <c r="AN15" i="2"/>
  <c r="E8" i="6"/>
  <c r="AN8" i="2"/>
  <c r="E16" i="6"/>
  <c r="AN16" i="2"/>
  <c r="E32" i="6"/>
  <c r="AN32" i="2"/>
  <c r="AN20" i="2"/>
  <c r="E14" i="6"/>
  <c r="AN14" i="2"/>
  <c r="E7" i="6"/>
  <c r="AN7" i="2"/>
  <c r="E3" i="6"/>
  <c r="AN3" i="2"/>
  <c r="E31" i="6"/>
  <c r="AN31" i="2"/>
  <c r="E25" i="6"/>
  <c r="AN25" i="2"/>
  <c r="AN19" i="2"/>
  <c r="E13" i="6"/>
  <c r="AN13" i="2"/>
  <c r="E6" i="6"/>
  <c r="AN6" i="2"/>
  <c r="AN9" i="2"/>
  <c r="E22" i="6"/>
  <c r="AN22" i="2"/>
  <c r="AN18" i="2"/>
  <c r="E30" i="6"/>
  <c r="AN30" i="2"/>
  <c r="E12" i="6"/>
  <c r="AN12" i="2"/>
  <c r="E5" i="6"/>
  <c r="AN5" i="2"/>
  <c r="E26" i="6"/>
  <c r="AN26" i="2"/>
  <c r="AN24" i="2"/>
  <c r="E23" i="6"/>
  <c r="AN23" i="2"/>
  <c r="G3" i="2"/>
  <c r="BG3" i="2"/>
  <c r="E20" i="6"/>
  <c r="BG20" i="2"/>
  <c r="E19" i="6"/>
  <c r="BG19" i="2"/>
  <c r="E18" i="6"/>
  <c r="BG18" i="2"/>
  <c r="E21" i="6"/>
  <c r="BG21" i="2"/>
  <c r="E9" i="6"/>
  <c r="M55" i="80"/>
  <c r="L55" i="80"/>
  <c r="K55" i="80"/>
  <c r="I55" i="80"/>
  <c r="H55" i="80"/>
  <c r="G55" i="80"/>
  <c r="G55" i="81"/>
  <c r="G52" i="81" s="1"/>
  <c r="G53" i="81" s="1"/>
  <c r="G53" i="82"/>
  <c r="G55" i="85"/>
  <c r="G55" i="87"/>
  <c r="G55" i="88"/>
  <c r="G55" i="89"/>
  <c r="G55" i="90"/>
  <c r="G55" i="91"/>
  <c r="G55" i="92"/>
  <c r="G55" i="93"/>
  <c r="G55" i="94"/>
  <c r="G55" i="95"/>
  <c r="G55" i="96"/>
  <c r="G55" i="42"/>
  <c r="G52" i="42" s="1"/>
  <c r="G53" i="42" s="1"/>
  <c r="G55" i="67"/>
  <c r="G55" i="68"/>
  <c r="G53" i="68" s="1"/>
  <c r="G55" i="69"/>
  <c r="G55" i="71"/>
  <c r="G55" i="72"/>
  <c r="G55" i="75"/>
  <c r="G55" i="76"/>
  <c r="G55" i="70" l="1"/>
  <c r="G53" i="70" s="1"/>
  <c r="G55" i="74"/>
  <c r="K30" i="55"/>
  <c r="G55" i="73"/>
  <c r="G53" i="73" s="1"/>
  <c r="G53" i="71"/>
  <c r="G52" i="96"/>
  <c r="G53" i="96" s="1"/>
  <c r="G52" i="76"/>
  <c r="G53" i="76" s="1"/>
  <c r="G53" i="95"/>
  <c r="G52" i="89"/>
  <c r="G53" i="89" s="1"/>
  <c r="G52" i="69"/>
  <c r="G53" i="69" s="1"/>
  <c r="G53" i="94"/>
  <c r="G53" i="88"/>
  <c r="G52" i="75"/>
  <c r="G53" i="75" s="1"/>
  <c r="G53" i="74"/>
  <c r="G53" i="93"/>
  <c r="G53" i="87"/>
  <c r="G53" i="67"/>
  <c r="G53" i="92"/>
  <c r="G53" i="72"/>
  <c r="G53" i="91"/>
  <c r="G55" i="86"/>
  <c r="G53" i="86" s="1"/>
  <c r="G52" i="85"/>
  <c r="G53" i="85" s="1"/>
  <c r="G53" i="84"/>
  <c r="G52" i="83"/>
  <c r="G53" i="83" s="1"/>
  <c r="J34" i="80"/>
  <c r="F34" i="80"/>
  <c r="J34" i="79"/>
  <c r="F34" i="79"/>
  <c r="J34" i="78"/>
  <c r="F34" i="78"/>
  <c r="G34" i="78" s="1"/>
  <c r="AB6" i="12"/>
  <c r="Q34" i="79" l="1"/>
  <c r="L34" i="78"/>
  <c r="L34" i="79" s="1"/>
  <c r="L34" i="80" s="1"/>
  <c r="L34" i="81" s="1"/>
  <c r="L34" i="82" s="1"/>
  <c r="L34" i="83" s="1"/>
  <c r="L34" i="84" s="1"/>
  <c r="L34" i="85" s="1"/>
  <c r="L34" i="86" s="1"/>
  <c r="L34" i="87" s="1"/>
  <c r="L34" i="88" s="1"/>
  <c r="L34" i="89" s="1"/>
  <c r="L34" i="90" s="1"/>
  <c r="L34" i="91" s="1"/>
  <c r="L34" i="92" s="1"/>
  <c r="L34" i="93" s="1"/>
  <c r="L34" i="94" s="1"/>
  <c r="L34" i="95" s="1"/>
  <c r="L34" i="96" s="1"/>
  <c r="L34" i="42" s="1"/>
  <c r="L34" i="67" s="1"/>
  <c r="L34" i="68" s="1"/>
  <c r="L34" i="69" s="1"/>
  <c r="L34" i="70" s="1"/>
  <c r="L34" i="71" s="1"/>
  <c r="L34" i="72" s="1"/>
  <c r="L34" i="73" s="1"/>
  <c r="L34" i="74" s="1"/>
  <c r="L34" i="75" s="1"/>
  <c r="L34" i="76" s="1"/>
  <c r="L32" i="77" s="1"/>
  <c r="Q34" i="78"/>
  <c r="H34" i="78"/>
  <c r="H34" i="79" s="1"/>
  <c r="H34" i="80" s="1"/>
  <c r="H34" i="81" s="1"/>
  <c r="H34" i="82" s="1"/>
  <c r="H34" i="83" s="1"/>
  <c r="H34" i="84" s="1"/>
  <c r="H34" i="85" s="1"/>
  <c r="H34" i="86" s="1"/>
  <c r="H34" i="87" s="1"/>
  <c r="H34" i="88" s="1"/>
  <c r="H34" i="89" s="1"/>
  <c r="H34" i="90" s="1"/>
  <c r="H34" i="91" s="1"/>
  <c r="H34" i="92" s="1"/>
  <c r="H34" i="93" s="1"/>
  <c r="H34" i="94" s="1"/>
  <c r="H34" i="95" s="1"/>
  <c r="H34" i="96" s="1"/>
  <c r="H34" i="42" s="1"/>
  <c r="H34" i="67" s="1"/>
  <c r="H34" i="68" s="1"/>
  <c r="H34" i="69" s="1"/>
  <c r="H34" i="70" s="1"/>
  <c r="H34" i="71" s="1"/>
  <c r="H34" i="72" s="1"/>
  <c r="H34" i="73" s="1"/>
  <c r="H34" i="74" s="1"/>
  <c r="H34" i="75" s="1"/>
  <c r="H34" i="76" s="1"/>
  <c r="H32" i="77" s="1"/>
  <c r="G52" i="80"/>
  <c r="G53" i="80" s="1"/>
  <c r="Q34" i="80"/>
  <c r="G34" i="79"/>
  <c r="G34" i="80" s="1"/>
  <c r="G34" i="81" s="1"/>
  <c r="G34" i="82" s="1"/>
  <c r="G34" i="83" s="1"/>
  <c r="G34" i="84" s="1"/>
  <c r="G34" i="85" s="1"/>
  <c r="G34" i="86" s="1"/>
  <c r="G34" i="87" s="1"/>
  <c r="G34" i="88" s="1"/>
  <c r="G34" i="89" s="1"/>
  <c r="G34" i="90" s="1"/>
  <c r="G34" i="91" s="1"/>
  <c r="G34" i="92" s="1"/>
  <c r="G34" i="93" s="1"/>
  <c r="G34" i="94" s="1"/>
  <c r="G34" i="95" s="1"/>
  <c r="G34" i="96" s="1"/>
  <c r="G34" i="42" s="1"/>
  <c r="G34" i="67" s="1"/>
  <c r="G34" i="68" s="1"/>
  <c r="G34" i="69" s="1"/>
  <c r="G34" i="70" s="1"/>
  <c r="G34" i="71" s="1"/>
  <c r="G34" i="72" s="1"/>
  <c r="G34" i="73" s="1"/>
  <c r="G34" i="74" s="1"/>
  <c r="G34" i="75" s="1"/>
  <c r="G34" i="76" s="1"/>
  <c r="G32" i="77" s="1"/>
  <c r="K34" i="78"/>
  <c r="K34" i="79" s="1"/>
  <c r="K34" i="80" s="1"/>
  <c r="K34" i="81" s="1"/>
  <c r="K34" i="82" s="1"/>
  <c r="K34" i="83" s="1"/>
  <c r="K34" i="84" s="1"/>
  <c r="K34" i="85" s="1"/>
  <c r="K34" i="86" s="1"/>
  <c r="K34" i="87" s="1"/>
  <c r="K34" i="88" s="1"/>
  <c r="K34" i="89" s="1"/>
  <c r="K34" i="90" s="1"/>
  <c r="K34" i="91" s="1"/>
  <c r="K34" i="92" s="1"/>
  <c r="K34" i="93" s="1"/>
  <c r="K34" i="94" s="1"/>
  <c r="K34" i="95" s="1"/>
  <c r="K34" i="96" s="1"/>
  <c r="K34" i="42" s="1"/>
  <c r="K34" i="67" s="1"/>
  <c r="K34" i="68" s="1"/>
  <c r="K34" i="69" s="1"/>
  <c r="K34" i="70" s="1"/>
  <c r="K34" i="71" s="1"/>
  <c r="K34" i="72" s="1"/>
  <c r="K34" i="73" s="1"/>
  <c r="K34" i="74" s="1"/>
  <c r="K34" i="75" s="1"/>
  <c r="K34" i="76" s="1"/>
  <c r="K32" i="77" s="1"/>
  <c r="R4" i="6" l="1"/>
  <c r="R5" i="6"/>
  <c r="R6" i="6"/>
  <c r="R7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" i="6"/>
  <c r="E39" i="99"/>
  <c r="D39" i="99"/>
  <c r="E35" i="99"/>
  <c r="D35" i="99"/>
  <c r="C35" i="99"/>
  <c r="E34" i="99"/>
  <c r="D34" i="99"/>
  <c r="C34" i="99"/>
  <c r="H34" i="99" l="1"/>
  <c r="H35" i="99"/>
  <c r="P3" i="55" l="1"/>
  <c r="V4" i="12" l="1"/>
  <c r="W4" i="12"/>
  <c r="T4" i="12"/>
  <c r="U4" i="12"/>
  <c r="AI4" i="12" l="1"/>
  <c r="E3" i="3" s="1"/>
  <c r="AD4" i="12"/>
  <c r="AH4" i="12"/>
  <c r="AC4" i="12"/>
  <c r="AO4" i="12"/>
  <c r="AU4" i="97"/>
  <c r="W4" i="97"/>
  <c r="AD4" i="97" s="1"/>
  <c r="AR4" i="97"/>
  <c r="P4" i="97"/>
  <c r="N4" i="97"/>
  <c r="M4" i="97"/>
  <c r="F3" i="3" l="1"/>
  <c r="AT4" i="97"/>
  <c r="AS4" i="97"/>
  <c r="G3" i="3" l="1"/>
  <c r="I24" i="78"/>
  <c r="K24" i="78" s="1"/>
  <c r="AQ4" i="97"/>
  <c r="AF4" i="97"/>
  <c r="AL4" i="97" s="1"/>
  <c r="AK4" i="97" l="1"/>
  <c r="S11" i="97"/>
  <c r="T11" i="97"/>
  <c r="AH11" i="97" s="1"/>
  <c r="AG11" i="97" l="1"/>
  <c r="AB11" i="97"/>
  <c r="AN11" i="97"/>
  <c r="AG33" i="97"/>
  <c r="AN33" i="97" l="1"/>
  <c r="AX32" i="12"/>
  <c r="AX33" i="12"/>
  <c r="T32" i="55" s="1"/>
  <c r="AX34" i="12"/>
  <c r="T33" i="55" s="1"/>
  <c r="AX35" i="12"/>
  <c r="V32" i="55" l="1"/>
  <c r="R4" i="98" l="1"/>
  <c r="R5" i="98"/>
  <c r="R6" i="98"/>
  <c r="R7" i="98"/>
  <c r="R8" i="98"/>
  <c r="R9" i="98"/>
  <c r="R10" i="98"/>
  <c r="R11" i="98"/>
  <c r="R12" i="98"/>
  <c r="R13" i="98"/>
  <c r="R14" i="98"/>
  <c r="R15" i="98"/>
  <c r="R16" i="98"/>
  <c r="R17" i="98"/>
  <c r="R18" i="98"/>
  <c r="R19" i="98"/>
  <c r="R20" i="98"/>
  <c r="R21" i="98"/>
  <c r="R22" i="98"/>
  <c r="R23" i="98"/>
  <c r="R24" i="98"/>
  <c r="R25" i="98"/>
  <c r="R26" i="98"/>
  <c r="R27" i="98"/>
  <c r="R28" i="98"/>
  <c r="R29" i="98"/>
  <c r="R30" i="98"/>
  <c r="R31" i="98"/>
  <c r="R32" i="98"/>
  <c r="R33" i="98"/>
  <c r="D4" i="98"/>
  <c r="L4" i="98" s="1"/>
  <c r="D5" i="98"/>
  <c r="L5" i="98" s="1"/>
  <c r="D6" i="98"/>
  <c r="L6" i="98" s="1"/>
  <c r="D7" i="98"/>
  <c r="L7" i="98" s="1"/>
  <c r="D8" i="98"/>
  <c r="L8" i="98" s="1"/>
  <c r="D9" i="98"/>
  <c r="L9" i="98" s="1"/>
  <c r="D10" i="98"/>
  <c r="L10" i="98" s="1"/>
  <c r="D11" i="98"/>
  <c r="L11" i="98" s="1"/>
  <c r="D12" i="98"/>
  <c r="L12" i="98" s="1"/>
  <c r="D13" i="98"/>
  <c r="L13" i="98" s="1"/>
  <c r="D14" i="98"/>
  <c r="L14" i="98" s="1"/>
  <c r="D15" i="98"/>
  <c r="L15" i="98" s="1"/>
  <c r="D16" i="98"/>
  <c r="L16" i="98" s="1"/>
  <c r="D17" i="98"/>
  <c r="L17" i="98" s="1"/>
  <c r="D18" i="98"/>
  <c r="L18" i="98" s="1"/>
  <c r="D19" i="98"/>
  <c r="L19" i="98" s="1"/>
  <c r="D20" i="98"/>
  <c r="L20" i="98" s="1"/>
  <c r="D21" i="98"/>
  <c r="L21" i="98" s="1"/>
  <c r="D22" i="98"/>
  <c r="L22" i="98" s="1"/>
  <c r="D23" i="98"/>
  <c r="L23" i="98" s="1"/>
  <c r="D24" i="98"/>
  <c r="L24" i="98" s="1"/>
  <c r="D25" i="98"/>
  <c r="L25" i="98" s="1"/>
  <c r="D26" i="98"/>
  <c r="L26" i="98" s="1"/>
  <c r="D27" i="98"/>
  <c r="L27" i="98" s="1"/>
  <c r="D28" i="98"/>
  <c r="D29" i="98"/>
  <c r="L29" i="98" s="1"/>
  <c r="D30" i="98"/>
  <c r="L30" i="98" s="1"/>
  <c r="D31" i="98"/>
  <c r="L31" i="98" s="1"/>
  <c r="D32" i="98"/>
  <c r="L32" i="98" s="1"/>
  <c r="D33" i="98"/>
  <c r="L33" i="98" s="1"/>
  <c r="D3" i="98"/>
  <c r="E4" i="98"/>
  <c r="M4" i="98" s="1"/>
  <c r="E5" i="98"/>
  <c r="M5" i="98" s="1"/>
  <c r="E6" i="98"/>
  <c r="M6" i="98" s="1"/>
  <c r="E7" i="98"/>
  <c r="M7" i="98" s="1"/>
  <c r="E8" i="98"/>
  <c r="M8" i="98" s="1"/>
  <c r="E9" i="98"/>
  <c r="M9" i="98" s="1"/>
  <c r="E10" i="98"/>
  <c r="M10" i="98" s="1"/>
  <c r="E11" i="98"/>
  <c r="M11" i="98" s="1"/>
  <c r="E12" i="98"/>
  <c r="M12" i="98" s="1"/>
  <c r="E13" i="98"/>
  <c r="M13" i="98" s="1"/>
  <c r="E14" i="98"/>
  <c r="M14" i="98" s="1"/>
  <c r="E15" i="98"/>
  <c r="M15" i="98" s="1"/>
  <c r="E16" i="98"/>
  <c r="M16" i="98" s="1"/>
  <c r="E17" i="98"/>
  <c r="M17" i="98" s="1"/>
  <c r="E18" i="98"/>
  <c r="M18" i="98" s="1"/>
  <c r="E19" i="98"/>
  <c r="M19" i="98" s="1"/>
  <c r="E20" i="98"/>
  <c r="M20" i="98" s="1"/>
  <c r="E21" i="98"/>
  <c r="M21" i="98" s="1"/>
  <c r="E22" i="98"/>
  <c r="M22" i="98" s="1"/>
  <c r="E23" i="98"/>
  <c r="M23" i="98" s="1"/>
  <c r="E24" i="98"/>
  <c r="M24" i="98" s="1"/>
  <c r="E25" i="98"/>
  <c r="M25" i="98" s="1"/>
  <c r="E26" i="98"/>
  <c r="M26" i="98" s="1"/>
  <c r="E27" i="98"/>
  <c r="E28" i="98"/>
  <c r="M28" i="98" s="1"/>
  <c r="E29" i="98"/>
  <c r="M29" i="98" s="1"/>
  <c r="E30" i="98"/>
  <c r="M30" i="98" s="1"/>
  <c r="E31" i="98"/>
  <c r="M31" i="98" s="1"/>
  <c r="E32" i="98"/>
  <c r="M32" i="98" s="1"/>
  <c r="E33" i="98"/>
  <c r="M33" i="98" s="1"/>
  <c r="M27" i="98"/>
  <c r="L28" i="98"/>
  <c r="R33" i="97" l="1"/>
  <c r="S33" i="12"/>
  <c r="AB33" i="12" s="1"/>
  <c r="AA33" i="97" l="1"/>
  <c r="V32" i="97"/>
  <c r="AC32" i="97" s="1"/>
  <c r="D40" i="12" l="1"/>
  <c r="E40" i="12"/>
  <c r="F40" i="12"/>
  <c r="H40" i="12"/>
  <c r="I40" i="12"/>
  <c r="J40" i="12"/>
  <c r="K40" i="12"/>
  <c r="AJ40" i="12"/>
  <c r="AK40" i="12"/>
  <c r="C40" i="12"/>
  <c r="D41" i="97"/>
  <c r="E41" i="97"/>
  <c r="F41" i="97"/>
  <c r="H41" i="97"/>
  <c r="I41" i="97"/>
  <c r="J41" i="97"/>
  <c r="AI41" i="97"/>
  <c r="AJ41" i="97"/>
  <c r="C41" i="97"/>
  <c r="AI42" i="97" l="1"/>
  <c r="AJ42" i="97"/>
  <c r="J42" i="97"/>
  <c r="K42" i="97"/>
  <c r="I42" i="97"/>
  <c r="D42" i="97"/>
  <c r="F42" i="97"/>
  <c r="H42" i="97"/>
  <c r="E42" i="97"/>
  <c r="T29" i="97"/>
  <c r="AH29" i="97" s="1"/>
  <c r="AN29" i="97" l="1"/>
  <c r="AB29" i="97"/>
  <c r="P4" i="55"/>
  <c r="P5" i="55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V26" i="97" l="1"/>
  <c r="AC26" i="97" s="1"/>
  <c r="AH26" i="97" l="1"/>
  <c r="AB26" i="97" l="1"/>
  <c r="AH24" i="12" l="1"/>
  <c r="AO24" i="12"/>
  <c r="W22" i="12"/>
  <c r="AD22" i="12" s="1"/>
  <c r="AG21" i="97" l="1"/>
  <c r="AN21" i="97"/>
  <c r="AH20" i="97"/>
  <c r="AE9" i="12" l="1"/>
  <c r="AE16" i="12"/>
  <c r="AE17" i="12"/>
  <c r="AE34" i="12"/>
  <c r="Y20" i="12"/>
  <c r="AE20" i="12" s="1"/>
  <c r="W20" i="12"/>
  <c r="AD20" i="12" s="1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4" i="12"/>
  <c r="P40" i="12" s="1"/>
  <c r="AG20" i="97" l="1"/>
  <c r="AB20" i="97"/>
  <c r="AN20" i="97"/>
  <c r="AH19" i="12"/>
  <c r="V18" i="97"/>
  <c r="U18" i="97"/>
  <c r="AO19" i="12" l="1"/>
  <c r="AC19" i="12"/>
  <c r="AC18" i="97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D34" i="8" l="1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C34" i="8"/>
  <c r="G12" i="55" l="1"/>
  <c r="J55" i="87" s="1"/>
  <c r="G13" i="55"/>
  <c r="J55" i="88" s="1"/>
  <c r="G14" i="55"/>
  <c r="J55" i="89" s="1"/>
  <c r="G15" i="55"/>
  <c r="J55" i="90" s="1"/>
  <c r="G11" i="55"/>
  <c r="G10" i="55"/>
  <c r="J55" i="85" s="1"/>
  <c r="N55" i="85" s="1"/>
  <c r="J55" i="86" l="1"/>
  <c r="N55" i="86" s="1"/>
  <c r="K11" i="55"/>
  <c r="N55" i="88"/>
  <c r="N55" i="90"/>
  <c r="N55" i="89"/>
  <c r="N55" i="87"/>
  <c r="Y11" i="12"/>
  <c r="AE11" i="12" s="1"/>
  <c r="Y13" i="12"/>
  <c r="Y14" i="12"/>
  <c r="AE14" i="12" s="1"/>
  <c r="Y15" i="12"/>
  <c r="AE15" i="12" s="1"/>
  <c r="AE13" i="12" l="1"/>
  <c r="AI13" i="12"/>
  <c r="AE12" i="12"/>
  <c r="AI12" i="12"/>
  <c r="R13" i="97"/>
  <c r="AA13" i="97" l="1"/>
  <c r="EY4" i="1"/>
  <c r="EY5" i="1"/>
  <c r="EY6" i="1"/>
  <c r="EY7" i="1"/>
  <c r="EY8" i="1"/>
  <c r="EY9" i="1"/>
  <c r="EY10" i="1"/>
  <c r="EY11" i="1"/>
  <c r="EY12" i="1"/>
  <c r="EY13" i="1"/>
  <c r="EY3" i="1"/>
  <c r="Y10" i="12"/>
  <c r="AE10" i="12" l="1"/>
  <c r="CC9" i="6" l="1"/>
  <c r="V33" i="12" l="1"/>
  <c r="AH33" i="12" s="1"/>
  <c r="AB33" i="97" l="1"/>
  <c r="AH33" i="97"/>
  <c r="M35" i="74"/>
  <c r="D29" i="6" l="1"/>
  <c r="S34" i="55" l="1"/>
  <c r="V29" i="12" l="1"/>
  <c r="AH29" i="12" s="1"/>
  <c r="W29" i="12"/>
  <c r="AD29" i="12" l="1"/>
  <c r="W23" i="12"/>
  <c r="AD23" i="12" s="1"/>
  <c r="W16" i="12" l="1"/>
  <c r="AI16" i="12" s="1"/>
  <c r="V16" i="12"/>
  <c r="AH16" i="12" l="1"/>
  <c r="AD16" i="12"/>
  <c r="AH13" i="97"/>
  <c r="E12" i="3" l="1"/>
  <c r="AB13" i="97"/>
  <c r="Z12" i="6"/>
  <c r="F12" i="3" l="1"/>
  <c r="I24" i="87" s="1"/>
  <c r="U10" i="12"/>
  <c r="AC10" i="12" s="1"/>
  <c r="V5" i="55" l="1"/>
  <c r="G4" i="55" l="1"/>
  <c r="K4" i="55" s="1"/>
  <c r="G5" i="55"/>
  <c r="J55" i="80" s="1"/>
  <c r="G6" i="55"/>
  <c r="J55" i="82"/>
  <c r="G8" i="55"/>
  <c r="J55" i="83" s="1"/>
  <c r="N55" i="83" s="1"/>
  <c r="G9" i="55"/>
  <c r="J55" i="84" s="1"/>
  <c r="N55" i="84" s="1"/>
  <c r="G16" i="55"/>
  <c r="J55" i="91" s="1"/>
  <c r="G17" i="55"/>
  <c r="J55" i="92" s="1"/>
  <c r="G18" i="55"/>
  <c r="J55" i="93" s="1"/>
  <c r="G19" i="55"/>
  <c r="J55" i="94" s="1"/>
  <c r="G20" i="55"/>
  <c r="J55" i="95" s="1"/>
  <c r="G21" i="55"/>
  <c r="J55" i="96" s="1"/>
  <c r="G22" i="55"/>
  <c r="J55" i="42" s="1"/>
  <c r="G23" i="55"/>
  <c r="J55" i="67" s="1"/>
  <c r="J55" i="68"/>
  <c r="J55" i="69"/>
  <c r="G26" i="55"/>
  <c r="G27" i="55"/>
  <c r="J55" i="71" s="1"/>
  <c r="G28" i="55"/>
  <c r="J55" i="72" s="1"/>
  <c r="G29" i="55"/>
  <c r="J55" i="74"/>
  <c r="G31" i="55"/>
  <c r="J55" i="75" s="1"/>
  <c r="G32" i="55"/>
  <c r="J55" i="76" s="1"/>
  <c r="G33" i="55"/>
  <c r="I53" i="77" s="1"/>
  <c r="G3" i="55"/>
  <c r="G34" i="55" s="1"/>
  <c r="F55" i="81"/>
  <c r="C3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J55" i="73" l="1"/>
  <c r="N55" i="73" s="1"/>
  <c r="K29" i="55"/>
  <c r="J55" i="70"/>
  <c r="N55" i="70" s="1"/>
  <c r="K26" i="55"/>
  <c r="N55" i="69"/>
  <c r="N55" i="94"/>
  <c r="N55" i="96"/>
  <c r="N55" i="68"/>
  <c r="N55" i="93"/>
  <c r="J55" i="81"/>
  <c r="N55" i="81" s="1"/>
  <c r="K6" i="55"/>
  <c r="N55" i="71"/>
  <c r="N55" i="76"/>
  <c r="N55" i="75"/>
  <c r="N55" i="67"/>
  <c r="N55" i="92"/>
  <c r="N55" i="95"/>
  <c r="N55" i="74"/>
  <c r="N55" i="72"/>
  <c r="N55" i="42"/>
  <c r="N55" i="91"/>
  <c r="K9" i="55"/>
  <c r="N55" i="82"/>
  <c r="V4" i="55"/>
  <c r="T5" i="12" l="1"/>
  <c r="U5" i="12"/>
  <c r="AI5" i="12" s="1"/>
  <c r="AH5" i="12" l="1"/>
  <c r="AO5" i="12"/>
  <c r="AC5" i="12"/>
  <c r="R34" i="55"/>
  <c r="O34" i="55"/>
  <c r="Q34" i="55" s="1"/>
  <c r="ES4" i="1" l="1"/>
  <c r="ES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" i="1"/>
  <c r="T32" i="97" l="1"/>
  <c r="AB32" i="97" s="1"/>
  <c r="AH32" i="97"/>
  <c r="AB32" i="12"/>
  <c r="AA32" i="97" l="1"/>
  <c r="R40" i="12"/>
  <c r="S12" i="97" l="1"/>
  <c r="AG12" i="97" l="1"/>
  <c r="AN12" i="97"/>
  <c r="T11" i="12"/>
  <c r="AH11" i="12" l="1"/>
  <c r="AO11" i="12"/>
  <c r="W10" i="12"/>
  <c r="AI10" i="12" l="1"/>
  <c r="E9" i="3" s="1"/>
  <c r="AD10" i="12"/>
  <c r="F9" i="3" l="1"/>
  <c r="I24" i="84" s="1"/>
  <c r="AH9" i="12"/>
  <c r="AO9" i="12"/>
  <c r="U6" i="12"/>
  <c r="AI6" i="12" s="1"/>
  <c r="CM4" i="6" l="1"/>
  <c r="CM5" i="6"/>
  <c r="CM6" i="6"/>
  <c r="CM7" i="6"/>
  <c r="CM8" i="6"/>
  <c r="CM9" i="6"/>
  <c r="CM10" i="6"/>
  <c r="CM11" i="6"/>
  <c r="CM12" i="6"/>
  <c r="CM13" i="6"/>
  <c r="CM14" i="6"/>
  <c r="CM15" i="6"/>
  <c r="CM16" i="6"/>
  <c r="CM17" i="6"/>
  <c r="CM18" i="6"/>
  <c r="CM19" i="6"/>
  <c r="CM20" i="6"/>
  <c r="CM21" i="6"/>
  <c r="CM22" i="6"/>
  <c r="CM23" i="6"/>
  <c r="CM24" i="6"/>
  <c r="CM25" i="6"/>
  <c r="CM26" i="6"/>
  <c r="CM27" i="6"/>
  <c r="CM28" i="6"/>
  <c r="CM29" i="6"/>
  <c r="CM30" i="6"/>
  <c r="CM31" i="6"/>
  <c r="CM32" i="6"/>
  <c r="CM33" i="6"/>
  <c r="V34" i="12" l="1"/>
  <c r="AH34" i="12" s="1"/>
  <c r="S34" i="12"/>
  <c r="AB34" i="12" s="1"/>
  <c r="O34" i="12" l="1"/>
  <c r="O31" i="6" l="1"/>
  <c r="R36" i="97" l="1"/>
  <c r="U31" i="12" l="1"/>
  <c r="AC31" i="12" s="1"/>
  <c r="AU31" i="12" s="1"/>
  <c r="AH25" i="12" l="1"/>
  <c r="AO25" i="12"/>
  <c r="AC25" i="12"/>
  <c r="U24" i="12"/>
  <c r="AC24" i="12" s="1"/>
  <c r="U22" i="12" l="1"/>
  <c r="AC22" i="12" s="1"/>
  <c r="U41" i="97" l="1"/>
  <c r="AU5" i="97" l="1"/>
  <c r="U4" i="55" s="1"/>
  <c r="AU6" i="97"/>
  <c r="U5" i="55" s="1"/>
  <c r="AU7" i="97"/>
  <c r="U6" i="55" s="1"/>
  <c r="AU8" i="97"/>
  <c r="U7" i="55" s="1"/>
  <c r="AU9" i="97"/>
  <c r="U8" i="55" s="1"/>
  <c r="AU10" i="97"/>
  <c r="U9" i="55" s="1"/>
  <c r="AU11" i="97"/>
  <c r="U10" i="55" s="1"/>
  <c r="AU12" i="97"/>
  <c r="U11" i="55" s="1"/>
  <c r="AU13" i="97"/>
  <c r="U12" i="55" s="1"/>
  <c r="AU14" i="97"/>
  <c r="U13" i="55" s="1"/>
  <c r="AU15" i="97"/>
  <c r="U14" i="55" s="1"/>
  <c r="AU16" i="97"/>
  <c r="U15" i="55" s="1"/>
  <c r="AU17" i="97"/>
  <c r="U16" i="55" s="1"/>
  <c r="AU18" i="97"/>
  <c r="U17" i="55" s="1"/>
  <c r="AU19" i="97"/>
  <c r="U18" i="55" s="1"/>
  <c r="AU20" i="97"/>
  <c r="U19" i="55" s="1"/>
  <c r="AU21" i="97"/>
  <c r="U20" i="55" s="1"/>
  <c r="AU22" i="97"/>
  <c r="U21" i="55" s="1"/>
  <c r="AU23" i="97"/>
  <c r="U22" i="55" s="1"/>
  <c r="AU24" i="97"/>
  <c r="U23" i="55" s="1"/>
  <c r="AU25" i="97"/>
  <c r="U24" i="55" s="1"/>
  <c r="AU26" i="97"/>
  <c r="U25" i="55" s="1"/>
  <c r="AU27" i="97"/>
  <c r="U26" i="55" s="1"/>
  <c r="AU28" i="97"/>
  <c r="U27" i="55" s="1"/>
  <c r="AU29" i="97"/>
  <c r="U28" i="55" s="1"/>
  <c r="AU30" i="97"/>
  <c r="AU31" i="97"/>
  <c r="U30" i="55" s="1"/>
  <c r="AU32" i="97"/>
  <c r="U31" i="55" s="1"/>
  <c r="AU33" i="97"/>
  <c r="U32" i="55" s="1"/>
  <c r="AU34" i="97"/>
  <c r="U33" i="55" s="1"/>
  <c r="AU35" i="97"/>
  <c r="AU36" i="97"/>
  <c r="U3" i="55"/>
  <c r="AX36" i="12"/>
  <c r="AX5" i="12"/>
  <c r="AX6" i="12"/>
  <c r="AX7" i="12"/>
  <c r="T6" i="55" s="1"/>
  <c r="AX8" i="12"/>
  <c r="T7" i="55" s="1"/>
  <c r="AX9" i="12"/>
  <c r="T8" i="55" s="1"/>
  <c r="AX10" i="12"/>
  <c r="T9" i="55" s="1"/>
  <c r="AX11" i="12"/>
  <c r="T10" i="55" s="1"/>
  <c r="AX12" i="12"/>
  <c r="T11" i="55" s="1"/>
  <c r="AX13" i="12"/>
  <c r="T12" i="55" s="1"/>
  <c r="AX14" i="12"/>
  <c r="T13" i="55" s="1"/>
  <c r="AX15" i="12"/>
  <c r="T14" i="55" s="1"/>
  <c r="AX16" i="12"/>
  <c r="T15" i="55" s="1"/>
  <c r="AX17" i="12"/>
  <c r="T16" i="55" s="1"/>
  <c r="AX18" i="12"/>
  <c r="T17" i="55" s="1"/>
  <c r="AX19" i="12"/>
  <c r="T18" i="55" s="1"/>
  <c r="AX20" i="12"/>
  <c r="T19" i="55" s="1"/>
  <c r="AX21" i="12"/>
  <c r="T20" i="55" s="1"/>
  <c r="AX22" i="12"/>
  <c r="T21" i="55" s="1"/>
  <c r="AX23" i="12"/>
  <c r="T22" i="55" s="1"/>
  <c r="AX24" i="12"/>
  <c r="T23" i="55" s="1"/>
  <c r="AX25" i="12"/>
  <c r="T24" i="55" s="1"/>
  <c r="AX26" i="12"/>
  <c r="T25" i="55" s="1"/>
  <c r="AX27" i="12"/>
  <c r="T26" i="55" s="1"/>
  <c r="AX28" i="12"/>
  <c r="T27" i="55" s="1"/>
  <c r="AX29" i="12"/>
  <c r="T28" i="55" s="1"/>
  <c r="AX30" i="12"/>
  <c r="AX31" i="12"/>
  <c r="T30" i="55" s="1"/>
  <c r="T31" i="55"/>
  <c r="AX4" i="12"/>
  <c r="T3" i="55" s="1"/>
  <c r="T4" i="55" l="1"/>
  <c r="AX40" i="12"/>
  <c r="T34" i="55" s="1"/>
  <c r="U29" i="55"/>
  <c r="AU41" i="97"/>
  <c r="U34" i="55" s="1"/>
  <c r="T29" i="55"/>
  <c r="T5" i="55"/>
  <c r="F38" i="77"/>
  <c r="V34" i="97" l="1"/>
  <c r="AC34" i="97" s="1"/>
  <c r="Q41" i="97"/>
  <c r="T33" i="98"/>
  <c r="G33" i="98"/>
  <c r="O33" i="98" s="1"/>
  <c r="F33" i="98"/>
  <c r="N33" i="98" s="1"/>
  <c r="Q42" i="97" l="1"/>
  <c r="W34" i="12"/>
  <c r="AI34" i="12" l="1"/>
  <c r="AD34" i="12"/>
  <c r="AI33" i="6"/>
  <c r="AH33" i="6"/>
  <c r="AG34" i="12" l="1"/>
  <c r="AB4" i="55"/>
  <c r="AB5" i="55"/>
  <c r="AB6" i="55"/>
  <c r="AB7" i="55"/>
  <c r="AB8" i="55"/>
  <c r="AB9" i="55"/>
  <c r="AB10" i="55"/>
  <c r="AB11" i="55"/>
  <c r="AB12" i="55"/>
  <c r="AB13" i="55"/>
  <c r="AB14" i="55"/>
  <c r="AB15" i="55"/>
  <c r="AB16" i="55"/>
  <c r="AB17" i="55"/>
  <c r="AB18" i="55"/>
  <c r="AB19" i="55"/>
  <c r="AB20" i="55"/>
  <c r="AB21" i="55"/>
  <c r="AB22" i="55"/>
  <c r="AB23" i="55"/>
  <c r="AB24" i="55"/>
  <c r="AB25" i="55"/>
  <c r="AB26" i="55"/>
  <c r="AB27" i="55"/>
  <c r="AB28" i="55"/>
  <c r="AB29" i="55"/>
  <c r="AB30" i="55"/>
  <c r="AB31" i="55"/>
  <c r="AB32" i="55"/>
  <c r="AB3" i="55"/>
  <c r="AC4" i="55"/>
  <c r="AC5" i="55"/>
  <c r="AC6" i="55"/>
  <c r="AC7" i="55"/>
  <c r="AC8" i="55"/>
  <c r="AC9" i="55"/>
  <c r="AC10" i="55"/>
  <c r="AC11" i="55"/>
  <c r="AC12" i="55"/>
  <c r="AC13" i="55"/>
  <c r="AC14" i="55"/>
  <c r="AC15" i="55"/>
  <c r="AC16" i="55"/>
  <c r="AC17" i="55"/>
  <c r="AC18" i="55"/>
  <c r="AC19" i="55"/>
  <c r="AC20" i="55"/>
  <c r="AC21" i="55"/>
  <c r="AC22" i="55"/>
  <c r="AC23" i="55"/>
  <c r="AC24" i="55"/>
  <c r="AC25" i="55"/>
  <c r="AC26" i="55"/>
  <c r="AC27" i="55"/>
  <c r="AC28" i="55"/>
  <c r="AC29" i="55"/>
  <c r="AC30" i="55"/>
  <c r="AC31" i="55"/>
  <c r="AC32" i="55"/>
  <c r="AC3" i="55"/>
  <c r="AC33" i="55" s="1"/>
  <c r="AB33" i="55" l="1"/>
  <c r="W33" i="12"/>
  <c r="AD33" i="12" s="1"/>
  <c r="AE30" i="6" l="1"/>
  <c r="AE31" i="6"/>
  <c r="AE32" i="6"/>
  <c r="AE33" i="6"/>
  <c r="AF30" i="6"/>
  <c r="AF31" i="6"/>
  <c r="AF32" i="6"/>
  <c r="AF33" i="6"/>
  <c r="S40" i="12" l="1"/>
  <c r="AB40" i="12" s="1"/>
  <c r="U30" i="12" l="1"/>
  <c r="AO30" i="12" l="1"/>
  <c r="AC30" i="12"/>
  <c r="AU30" i="12" s="1"/>
  <c r="J33" i="69"/>
  <c r="F52" i="69" s="1"/>
  <c r="F53" i="69" s="1"/>
  <c r="W25" i="12" l="1"/>
  <c r="AD25" i="12" s="1"/>
  <c r="Y22" i="12" l="1"/>
  <c r="AI22" i="12" s="1"/>
  <c r="AE22" i="12" l="1"/>
  <c r="W16" i="97" l="1"/>
  <c r="AD16" i="97" s="1"/>
  <c r="U15" i="12"/>
  <c r="AI15" i="12" l="1"/>
  <c r="E14" i="3" s="1"/>
  <c r="AC15" i="12"/>
  <c r="EQ34" i="1"/>
  <c r="F14" i="3" l="1"/>
  <c r="I24" i="89" s="1"/>
  <c r="W11" i="97"/>
  <c r="AD11" i="97" s="1"/>
  <c r="BL35" i="6" l="1"/>
  <c r="AL20" i="6" l="1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B33" i="6"/>
  <c r="AC33" i="6"/>
  <c r="CP3" i="6" l="1"/>
  <c r="CU33" i="6"/>
  <c r="CN3" i="6" l="1"/>
  <c r="CU3" i="6"/>
  <c r="CN8" i="6"/>
  <c r="CU8" i="6"/>
  <c r="CN14" i="6"/>
  <c r="CU14" i="6"/>
  <c r="CN6" i="6"/>
  <c r="CU6" i="6"/>
  <c r="CN26" i="6"/>
  <c r="CU26" i="6"/>
  <c r="CN25" i="6"/>
  <c r="CU25" i="6"/>
  <c r="CN13" i="6"/>
  <c r="CU13" i="6"/>
  <c r="CN18" i="6"/>
  <c r="CU18" i="6"/>
  <c r="CN11" i="6"/>
  <c r="CU11" i="6"/>
  <c r="CN5" i="6"/>
  <c r="CU5" i="6"/>
  <c r="CN20" i="6"/>
  <c r="CU20" i="6"/>
  <c r="CN19" i="6"/>
  <c r="CU19" i="6"/>
  <c r="CN30" i="6"/>
  <c r="CU30" i="6"/>
  <c r="CN12" i="6"/>
  <c r="CU12" i="6"/>
  <c r="CN23" i="6"/>
  <c r="CU23" i="6"/>
  <c r="CN16" i="6"/>
  <c r="CU16" i="6"/>
  <c r="CN10" i="6"/>
  <c r="CU10" i="6"/>
  <c r="CN4" i="6"/>
  <c r="CU4" i="6"/>
  <c r="CN32" i="6"/>
  <c r="CU32" i="6"/>
  <c r="CN31" i="6"/>
  <c r="CU31" i="6"/>
  <c r="CN7" i="6"/>
  <c r="CU7" i="6"/>
  <c r="CN24" i="6"/>
  <c r="CU24" i="6"/>
  <c r="CN29" i="6"/>
  <c r="CU29" i="6"/>
  <c r="CN17" i="6"/>
  <c r="CU17" i="6"/>
  <c r="CN28" i="6"/>
  <c r="CU28" i="6"/>
  <c r="CN22" i="6"/>
  <c r="CU22" i="6"/>
  <c r="CN27" i="6"/>
  <c r="CU27" i="6"/>
  <c r="CN21" i="6"/>
  <c r="CU21" i="6"/>
  <c r="CN15" i="6"/>
  <c r="CU15" i="6"/>
  <c r="CN9" i="6"/>
  <c r="CU9" i="6"/>
  <c r="N33" i="3"/>
  <c r="O33" i="3" s="1"/>
  <c r="AK24" i="6"/>
  <c r="AK25" i="6"/>
  <c r="F40" i="69" s="1"/>
  <c r="AK26" i="6"/>
  <c r="F40" i="70" s="1"/>
  <c r="Q40" i="70" s="1"/>
  <c r="AK27" i="6"/>
  <c r="F40" i="71" s="1"/>
  <c r="AK28" i="6"/>
  <c r="AK29" i="6"/>
  <c r="F40" i="73" s="1"/>
  <c r="AK30" i="6"/>
  <c r="AK31" i="6"/>
  <c r="F40" i="75" s="1"/>
  <c r="AI24" i="6"/>
  <c r="AI25" i="6"/>
  <c r="AI26" i="6"/>
  <c r="AI27" i="6"/>
  <c r="AI28" i="6"/>
  <c r="AI29" i="6"/>
  <c r="AI30" i="6"/>
  <c r="AI31" i="6"/>
  <c r="AI32" i="6"/>
  <c r="AH26" i="6"/>
  <c r="AH27" i="6"/>
  <c r="AH28" i="6"/>
  <c r="AH29" i="6"/>
  <c r="AH30" i="6"/>
  <c r="AH31" i="6"/>
  <c r="AH32" i="6"/>
  <c r="AF25" i="6"/>
  <c r="AF26" i="6"/>
  <c r="AF27" i="6"/>
  <c r="AF28" i="6"/>
  <c r="AF29" i="6"/>
  <c r="AE28" i="6"/>
  <c r="AE29" i="6"/>
  <c r="AC28" i="6"/>
  <c r="AC29" i="6"/>
  <c r="AC30" i="6"/>
  <c r="AC31" i="6"/>
  <c r="AC32" i="6"/>
  <c r="AB29" i="6"/>
  <c r="AB30" i="6"/>
  <c r="AB31" i="6"/>
  <c r="AB32" i="6"/>
  <c r="AM30" i="6" l="1"/>
  <c r="F40" i="74"/>
  <c r="AM24" i="6"/>
  <c r="F40" i="68"/>
  <c r="AM28" i="6"/>
  <c r="F40" i="72"/>
  <c r="AM27" i="6"/>
  <c r="AD31" i="6"/>
  <c r="AM26" i="6"/>
  <c r="AM31" i="6"/>
  <c r="AM25" i="6"/>
  <c r="AD32" i="6"/>
  <c r="AM29" i="6"/>
  <c r="AD30" i="6"/>
  <c r="U29" i="12" l="1"/>
  <c r="AC29" i="12" s="1"/>
  <c r="T4" i="98" l="1"/>
  <c r="T5" i="98"/>
  <c r="T6" i="98"/>
  <c r="T7" i="98"/>
  <c r="T8" i="98"/>
  <c r="T9" i="98"/>
  <c r="T10" i="98"/>
  <c r="T11" i="98"/>
  <c r="T12" i="98"/>
  <c r="T13" i="98"/>
  <c r="T14" i="98"/>
  <c r="T15" i="98"/>
  <c r="T16" i="98"/>
  <c r="T17" i="98"/>
  <c r="T18" i="98"/>
  <c r="T19" i="98"/>
  <c r="T20" i="98"/>
  <c r="T21" i="98"/>
  <c r="T22" i="98"/>
  <c r="T23" i="98"/>
  <c r="T24" i="98"/>
  <c r="T25" i="98"/>
  <c r="T26" i="98"/>
  <c r="T27" i="98"/>
  <c r="T28" i="98"/>
  <c r="T30" i="98"/>
  <c r="T31" i="98"/>
  <c r="T32" i="98"/>
  <c r="F4" i="98"/>
  <c r="N4" i="98" s="1"/>
  <c r="F5" i="98"/>
  <c r="N5" i="98" s="1"/>
  <c r="F6" i="98"/>
  <c r="N6" i="98" s="1"/>
  <c r="F7" i="98"/>
  <c r="N7" i="98" s="1"/>
  <c r="F8" i="98"/>
  <c r="N8" i="98" s="1"/>
  <c r="F9" i="98"/>
  <c r="N9" i="98" s="1"/>
  <c r="F10" i="98"/>
  <c r="N10" i="98" s="1"/>
  <c r="F11" i="98"/>
  <c r="N11" i="98" s="1"/>
  <c r="F12" i="98"/>
  <c r="N12" i="98" s="1"/>
  <c r="F13" i="98"/>
  <c r="N13" i="98" s="1"/>
  <c r="F14" i="98"/>
  <c r="N14" i="98" s="1"/>
  <c r="F15" i="98"/>
  <c r="N15" i="98" s="1"/>
  <c r="F16" i="98"/>
  <c r="N16" i="98" s="1"/>
  <c r="F17" i="98"/>
  <c r="N17" i="98" s="1"/>
  <c r="F18" i="98"/>
  <c r="N18" i="98" s="1"/>
  <c r="F19" i="98"/>
  <c r="N19" i="98" s="1"/>
  <c r="F20" i="98"/>
  <c r="N20" i="98" s="1"/>
  <c r="F21" i="98"/>
  <c r="N21" i="98" s="1"/>
  <c r="F22" i="98"/>
  <c r="N22" i="98" s="1"/>
  <c r="F23" i="98"/>
  <c r="N23" i="98" s="1"/>
  <c r="F24" i="98"/>
  <c r="N24" i="98" s="1"/>
  <c r="F25" i="98"/>
  <c r="N25" i="98" s="1"/>
  <c r="F26" i="98"/>
  <c r="N26" i="98" s="1"/>
  <c r="F27" i="98"/>
  <c r="N27" i="98" s="1"/>
  <c r="F28" i="98"/>
  <c r="N28" i="98" s="1"/>
  <c r="F29" i="98"/>
  <c r="N29" i="98" s="1"/>
  <c r="F30" i="98"/>
  <c r="N30" i="98" s="1"/>
  <c r="F31" i="98"/>
  <c r="N31" i="98" s="1"/>
  <c r="F32" i="98"/>
  <c r="N32" i="98" s="1"/>
  <c r="G4" i="98"/>
  <c r="O4" i="98" s="1"/>
  <c r="G5" i="98"/>
  <c r="O5" i="98" s="1"/>
  <c r="G6" i="98"/>
  <c r="O6" i="98" s="1"/>
  <c r="G7" i="98"/>
  <c r="O7" i="98" s="1"/>
  <c r="G8" i="98"/>
  <c r="O8" i="98" s="1"/>
  <c r="G9" i="98"/>
  <c r="O9" i="98" s="1"/>
  <c r="G10" i="98"/>
  <c r="O10" i="98" s="1"/>
  <c r="G11" i="98"/>
  <c r="O11" i="98" s="1"/>
  <c r="G12" i="98"/>
  <c r="O12" i="98" s="1"/>
  <c r="G13" i="98"/>
  <c r="O13" i="98" s="1"/>
  <c r="G14" i="98"/>
  <c r="O14" i="98" s="1"/>
  <c r="G15" i="98"/>
  <c r="O15" i="98" s="1"/>
  <c r="G16" i="98"/>
  <c r="O16" i="98" s="1"/>
  <c r="G17" i="98"/>
  <c r="O17" i="98" s="1"/>
  <c r="G18" i="98"/>
  <c r="O18" i="98" s="1"/>
  <c r="G19" i="98"/>
  <c r="O19" i="98" s="1"/>
  <c r="G20" i="98"/>
  <c r="O20" i="98" s="1"/>
  <c r="G21" i="98"/>
  <c r="O21" i="98" s="1"/>
  <c r="G22" i="98"/>
  <c r="O22" i="98" s="1"/>
  <c r="G23" i="98"/>
  <c r="O23" i="98" s="1"/>
  <c r="G24" i="98"/>
  <c r="O24" i="98" s="1"/>
  <c r="G25" i="98"/>
  <c r="O25" i="98" s="1"/>
  <c r="G26" i="98"/>
  <c r="O26" i="98" s="1"/>
  <c r="G27" i="98"/>
  <c r="O27" i="98" s="1"/>
  <c r="G28" i="98"/>
  <c r="O28" i="98" s="1"/>
  <c r="G29" i="98"/>
  <c r="O29" i="98" s="1"/>
  <c r="G30" i="98"/>
  <c r="O30" i="98" s="1"/>
  <c r="G31" i="98"/>
  <c r="O31" i="98" s="1"/>
  <c r="G32" i="98"/>
  <c r="O32" i="98" s="1"/>
  <c r="G3" i="98"/>
  <c r="F3" i="98"/>
  <c r="N3" i="98" s="1"/>
  <c r="E3" i="98"/>
  <c r="G34" i="98" l="1"/>
  <c r="M3" i="98"/>
  <c r="E34" i="98"/>
  <c r="L3" i="98"/>
  <c r="D34" i="98"/>
  <c r="F34" i="98"/>
  <c r="T3" i="98"/>
  <c r="R34" i="98"/>
  <c r="O3" i="98"/>
  <c r="O34" i="98" s="1"/>
  <c r="T29" i="98"/>
  <c r="T28" i="12"/>
  <c r="AH28" i="12" s="1"/>
  <c r="U28" i="12"/>
  <c r="AC28" i="12" l="1"/>
  <c r="AO28" i="12"/>
  <c r="T34" i="98"/>
  <c r="S35" i="98" s="1"/>
  <c r="Q16" i="78" s="1"/>
  <c r="O35" i="98"/>
  <c r="Q12" i="42" s="1"/>
  <c r="M34" i="98"/>
  <c r="M35" i="98" s="1"/>
  <c r="Q10" i="81" s="1"/>
  <c r="L34" i="98"/>
  <c r="L35" i="98" s="1"/>
  <c r="Q9" i="81" s="1"/>
  <c r="N34" i="98"/>
  <c r="N35" i="98" s="1"/>
  <c r="S36" i="98"/>
  <c r="Q16" i="89" l="1"/>
  <c r="Q16" i="96"/>
  <c r="Q16" i="92"/>
  <c r="Q16" i="42"/>
  <c r="Q16" i="86"/>
  <c r="Q16" i="94"/>
  <c r="Q16" i="79"/>
  <c r="Q16" i="72"/>
  <c r="Q16" i="75"/>
  <c r="Q14" i="77"/>
  <c r="Q16" i="69"/>
  <c r="Q16" i="81"/>
  <c r="Q16" i="80"/>
  <c r="Q12" i="80"/>
  <c r="Q12" i="81"/>
  <c r="Q11" i="80"/>
  <c r="Q11" i="81"/>
  <c r="Q9" i="79"/>
  <c r="Q9" i="80"/>
  <c r="Q10" i="79"/>
  <c r="Q10" i="80"/>
  <c r="Q11" i="77"/>
  <c r="Q11" i="79"/>
  <c r="Q12" i="77"/>
  <c r="Q12" i="79"/>
  <c r="Q12" i="75"/>
  <c r="Q12" i="76"/>
  <c r="Q11" i="75"/>
  <c r="Q11" i="76"/>
  <c r="Q11" i="73"/>
  <c r="Q11" i="74"/>
  <c r="Q12" i="73"/>
  <c r="Q12" i="74"/>
  <c r="Q11" i="71"/>
  <c r="Q11" i="72"/>
  <c r="Q12" i="71"/>
  <c r="Q12" i="72"/>
  <c r="Q11" i="70"/>
  <c r="Q11" i="69"/>
  <c r="Q11" i="68"/>
  <c r="Q12" i="70"/>
  <c r="Q12" i="69"/>
  <c r="Q12" i="68"/>
  <c r="Q11" i="42"/>
  <c r="Q11" i="67"/>
  <c r="Q11" i="95"/>
  <c r="Q11" i="96"/>
  <c r="Q12" i="95"/>
  <c r="Q12" i="96"/>
  <c r="Q12" i="91"/>
  <c r="Q12" i="94"/>
  <c r="Q12" i="92"/>
  <c r="Q12" i="93"/>
  <c r="Q11" i="91"/>
  <c r="Q11" i="94"/>
  <c r="Q11" i="92"/>
  <c r="Q11" i="93"/>
  <c r="Q11" i="89"/>
  <c r="Q11" i="90"/>
  <c r="Q12" i="89"/>
  <c r="Q12" i="90"/>
  <c r="Q12" i="86"/>
  <c r="Q12" i="87"/>
  <c r="Q12" i="88"/>
  <c r="Q11" i="87"/>
  <c r="Q11" i="86"/>
  <c r="Q11" i="88"/>
  <c r="Q12" i="84"/>
  <c r="Q12" i="85"/>
  <c r="Q12" i="83"/>
  <c r="Q12" i="82"/>
  <c r="Q11" i="83"/>
  <c r="Q11" i="84"/>
  <c r="Q11" i="85"/>
  <c r="Q11" i="82"/>
  <c r="Q12" i="78"/>
  <c r="Q11" i="78"/>
  <c r="Q9" i="77"/>
  <c r="Q10" i="77"/>
  <c r="AW5" i="12"/>
  <c r="AW6" i="12"/>
  <c r="AW7" i="12"/>
  <c r="AW8" i="12"/>
  <c r="AW9" i="12"/>
  <c r="AW10" i="12"/>
  <c r="AW11" i="12"/>
  <c r="AW12" i="12"/>
  <c r="AW13" i="12"/>
  <c r="AW14" i="12"/>
  <c r="AW15" i="12"/>
  <c r="AW16" i="12"/>
  <c r="AW17" i="12"/>
  <c r="AW4" i="12"/>
  <c r="AW40" i="12" s="1"/>
  <c r="Q16" i="74" l="1"/>
  <c r="Q16" i="90"/>
  <c r="Q16" i="76"/>
  <c r="Q16" i="68"/>
  <c r="Q16" i="84"/>
  <c r="Q16" i="91"/>
  <c r="Q16" i="82"/>
  <c r="Q16" i="87"/>
  <c r="Q16" i="83"/>
  <c r="Q16" i="70"/>
  <c r="Q16" i="88"/>
  <c r="Q16" i="85"/>
  <c r="Q16" i="95"/>
  <c r="Q16" i="71"/>
  <c r="Q9" i="76"/>
  <c r="Q9" i="75"/>
  <c r="Q10" i="75"/>
  <c r="Q10" i="76"/>
  <c r="Q10" i="73"/>
  <c r="Q10" i="74"/>
  <c r="Q9" i="73"/>
  <c r="Q9" i="74"/>
  <c r="Q9" i="71"/>
  <c r="Q9" i="72"/>
  <c r="Q10" i="71"/>
  <c r="Q10" i="72"/>
  <c r="Q9" i="70"/>
  <c r="Q9" i="69"/>
  <c r="Q9" i="68"/>
  <c r="Q10" i="69"/>
  <c r="Q10" i="70"/>
  <c r="Q10" i="68"/>
  <c r="Q10" i="42"/>
  <c r="Q10" i="67"/>
  <c r="Q9" i="42"/>
  <c r="Q9" i="67"/>
  <c r="Q10" i="95"/>
  <c r="Q10" i="96"/>
  <c r="Q9" i="95"/>
  <c r="Q9" i="96"/>
  <c r="Q9" i="91"/>
  <c r="Q9" i="94"/>
  <c r="Q9" i="93"/>
  <c r="Q9" i="92"/>
  <c r="Q10" i="91"/>
  <c r="Q10" i="92"/>
  <c r="Q10" i="94"/>
  <c r="Q10" i="93"/>
  <c r="Q10" i="89"/>
  <c r="Q10" i="90"/>
  <c r="Q9" i="89"/>
  <c r="Q9" i="90"/>
  <c r="Q10" i="88"/>
  <c r="Q10" i="86"/>
  <c r="Q10" i="87"/>
  <c r="Q9" i="87"/>
  <c r="Q9" i="88"/>
  <c r="Q9" i="86"/>
  <c r="Q9" i="85"/>
  <c r="Q9" i="84"/>
  <c r="Q10" i="83"/>
  <c r="Q10" i="85"/>
  <c r="Q10" i="84"/>
  <c r="Q9" i="83"/>
  <c r="Q9" i="82"/>
  <c r="Q10" i="82"/>
  <c r="Q9" i="78"/>
  <c r="Q10" i="78"/>
  <c r="Y25" i="12" l="1"/>
  <c r="AI25" i="12" s="1"/>
  <c r="AE25" i="12" l="1"/>
  <c r="R41" i="97"/>
  <c r="R42" i="97" l="1"/>
  <c r="AA42" i="97" s="1"/>
  <c r="AA41" i="97"/>
  <c r="AG16" i="97" l="1"/>
  <c r="AN16" i="97"/>
  <c r="U14" i="12"/>
  <c r="AI14" i="12" l="1"/>
  <c r="E13" i="3" s="1"/>
  <c r="F13" i="3" s="1"/>
  <c r="AC14" i="12"/>
  <c r="X11" i="6"/>
  <c r="I24" i="88" l="1"/>
  <c r="U11" i="12"/>
  <c r="AI11" i="12" l="1"/>
  <c r="E10" i="3" s="1"/>
  <c r="F10" i="3" s="1"/>
  <c r="AC11" i="12"/>
  <c r="W9" i="97"/>
  <c r="AD9" i="97" s="1"/>
  <c r="I24" i="85" l="1"/>
  <c r="CC4" i="6"/>
  <c r="X3" i="6" l="1"/>
  <c r="W33" i="97" l="1"/>
  <c r="AD33" i="97" s="1"/>
  <c r="AF33" i="97" s="1"/>
  <c r="W22" i="97" l="1"/>
  <c r="AD22" i="97" s="1"/>
  <c r="W20" i="97" l="1"/>
  <c r="AD20" i="97" s="1"/>
  <c r="X41" i="97"/>
  <c r="AG18" i="97" l="1"/>
  <c r="AN18" i="97"/>
  <c r="W13" i="97"/>
  <c r="AD13" i="97" s="1"/>
  <c r="AI9" i="12" l="1"/>
  <c r="E8" i="3" s="1"/>
  <c r="F8" i="3" s="1"/>
  <c r="I24" i="83" s="1"/>
  <c r="AC9" i="12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T21" i="97" l="1"/>
  <c r="W19" i="97" l="1"/>
  <c r="AD19" i="97" s="1"/>
  <c r="W15" i="97" l="1"/>
  <c r="AD15" i="97" s="1"/>
  <c r="AH18" i="97" l="1"/>
  <c r="W17" i="97"/>
  <c r="AD17" i="97" s="1"/>
  <c r="AB18" i="97" l="1"/>
  <c r="T16" i="97"/>
  <c r="AH16" i="97" s="1"/>
  <c r="E15" i="3" s="1"/>
  <c r="F15" i="3" s="1"/>
  <c r="I24" i="90" l="1"/>
  <c r="AB16" i="97"/>
  <c r="W5" i="97"/>
  <c r="AD5" i="97" s="1"/>
  <c r="AF5" i="97" s="1"/>
  <c r="P5" i="97"/>
  <c r="N5" i="97"/>
  <c r="M5" i="97"/>
  <c r="AS5" i="97" l="1"/>
  <c r="AR5" i="97"/>
  <c r="AT5" i="97"/>
  <c r="AQ5" i="97"/>
  <c r="AL5" i="97" l="1"/>
  <c r="AK5" i="97" l="1"/>
  <c r="AL15" i="6"/>
  <c r="AL16" i="6"/>
  <c r="AL17" i="6"/>
  <c r="J40" i="92" s="1"/>
  <c r="AL18" i="6"/>
  <c r="AL19" i="6"/>
  <c r="J38" i="77"/>
  <c r="Y33" i="12"/>
  <c r="AI33" i="12" s="1"/>
  <c r="AW22" i="12"/>
  <c r="Y23" i="12"/>
  <c r="AI23" i="12" s="1"/>
  <c r="AI24" i="12"/>
  <c r="AW25" i="12"/>
  <c r="AI26" i="12"/>
  <c r="Y27" i="12"/>
  <c r="AI27" i="12" s="1"/>
  <c r="Y28" i="12"/>
  <c r="AI28" i="12" s="1"/>
  <c r="Y29" i="12"/>
  <c r="AI29" i="12" s="1"/>
  <c r="Y30" i="12"/>
  <c r="AI30" i="12" s="1"/>
  <c r="Y31" i="12"/>
  <c r="AI31" i="12" s="1"/>
  <c r="Y32" i="12"/>
  <c r="AE32" i="12" l="1"/>
  <c r="AG32" i="12" s="1"/>
  <c r="AI32" i="12"/>
  <c r="AE30" i="12"/>
  <c r="AG30" i="12" s="1"/>
  <c r="AE29" i="12"/>
  <c r="AE31" i="12"/>
  <c r="AG31" i="12" s="1"/>
  <c r="AE24" i="12"/>
  <c r="AW24" i="12" s="1"/>
  <c r="AE23" i="12"/>
  <c r="AW23" i="12" s="1"/>
  <c r="AE28" i="12"/>
  <c r="AW28" i="12" s="1"/>
  <c r="AE27" i="12"/>
  <c r="AW27" i="12" s="1"/>
  <c r="AE33" i="12"/>
  <c r="AG33" i="12" s="1"/>
  <c r="AE26" i="12"/>
  <c r="AW26" i="12" s="1"/>
  <c r="AW29" i="12" l="1"/>
  <c r="AG29" i="12"/>
  <c r="AV7" i="2"/>
  <c r="Y21" i="12" l="1"/>
  <c r="AI21" i="12" s="1"/>
  <c r="AE21" i="12" l="1"/>
  <c r="AW21" i="12"/>
  <c r="Y19" i="12"/>
  <c r="AI19" i="12" s="1"/>
  <c r="E18" i="3" s="1"/>
  <c r="F18" i="3" s="1"/>
  <c r="I24" i="93" l="1"/>
  <c r="AE19" i="12"/>
  <c r="AW19" i="12" s="1"/>
  <c r="AW20" i="12"/>
  <c r="AL4" i="6"/>
  <c r="AL5" i="6"/>
  <c r="AL6" i="6"/>
  <c r="AL7" i="6"/>
  <c r="AL8" i="6"/>
  <c r="J40" i="83" s="1"/>
  <c r="AL9" i="6"/>
  <c r="AL10" i="6"/>
  <c r="J40" i="85" s="1"/>
  <c r="AL11" i="6"/>
  <c r="J40" i="86" s="1"/>
  <c r="AL12" i="6"/>
  <c r="J40" i="87" s="1"/>
  <c r="AL13" i="6"/>
  <c r="AL14" i="6"/>
  <c r="J40" i="94"/>
  <c r="J40" i="95"/>
  <c r="J40" i="96"/>
  <c r="J40" i="42"/>
  <c r="J40" i="67"/>
  <c r="J40" i="68"/>
  <c r="J40" i="69"/>
  <c r="AL3" i="6"/>
  <c r="AK4" i="6"/>
  <c r="AK5" i="6"/>
  <c r="F40" i="80" s="1"/>
  <c r="AK6" i="6"/>
  <c r="F40" i="81" s="1"/>
  <c r="AK7" i="6"/>
  <c r="F40" i="82" s="1"/>
  <c r="AK8" i="6"/>
  <c r="F40" i="83" s="1"/>
  <c r="AK9" i="6"/>
  <c r="F40" i="84" s="1"/>
  <c r="AK10" i="6"/>
  <c r="F40" i="85" s="1"/>
  <c r="AK11" i="6"/>
  <c r="F40" i="86" s="1"/>
  <c r="AK12" i="6"/>
  <c r="F40" i="87" s="1"/>
  <c r="AK13" i="6"/>
  <c r="F40" i="88" s="1"/>
  <c r="AK14" i="6"/>
  <c r="F40" i="89" s="1"/>
  <c r="AK15" i="6"/>
  <c r="F40" i="90" s="1"/>
  <c r="AK16" i="6"/>
  <c r="F40" i="91" s="1"/>
  <c r="AK17" i="6"/>
  <c r="F40" i="92" s="1"/>
  <c r="AK18" i="6"/>
  <c r="F40" i="93" s="1"/>
  <c r="AK19" i="6"/>
  <c r="F40" i="94" s="1"/>
  <c r="AK20" i="6"/>
  <c r="F40" i="95" s="1"/>
  <c r="AK21" i="6"/>
  <c r="F40" i="96" s="1"/>
  <c r="AK22" i="6"/>
  <c r="AK23" i="6"/>
  <c r="AK32" i="6"/>
  <c r="F40" i="76" s="1"/>
  <c r="AK3" i="6"/>
  <c r="F40" i="78" s="1"/>
  <c r="J40" i="84" l="1"/>
  <c r="J40" i="82"/>
  <c r="H40" i="78"/>
  <c r="G40" i="78"/>
  <c r="AM23" i="6"/>
  <c r="F40" i="67"/>
  <c r="AM22" i="6"/>
  <c r="F40" i="42"/>
  <c r="AK35" i="6"/>
  <c r="F40" i="79"/>
  <c r="AL35" i="6"/>
  <c r="AM13" i="6"/>
  <c r="AM4" i="6"/>
  <c r="AM16" i="6"/>
  <c r="AM10" i="6"/>
  <c r="AM7" i="6"/>
  <c r="AM32" i="6"/>
  <c r="AM20" i="6"/>
  <c r="AM14" i="6"/>
  <c r="AM8" i="6"/>
  <c r="AM18" i="6"/>
  <c r="AM12" i="6"/>
  <c r="AM6" i="6"/>
  <c r="AM17" i="6"/>
  <c r="AM5" i="6"/>
  <c r="AM11" i="6"/>
  <c r="AM3" i="6"/>
  <c r="AM21" i="6"/>
  <c r="AM15" i="6"/>
  <c r="AM9" i="6"/>
  <c r="AM19" i="6"/>
  <c r="Y18" i="12"/>
  <c r="X18" i="12"/>
  <c r="X40" i="12" s="1"/>
  <c r="L40" i="82" l="1"/>
  <c r="L40" i="83" s="1"/>
  <c r="L40" i="84" s="1"/>
  <c r="K40" i="82"/>
  <c r="K40" i="83" s="1"/>
  <c r="K40" i="84" s="1"/>
  <c r="G40" i="79"/>
  <c r="G40" i="80" s="1"/>
  <c r="G40" i="81" s="1"/>
  <c r="G40" i="82" s="1"/>
  <c r="G40" i="83" s="1"/>
  <c r="G40" i="84" s="1"/>
  <c r="G40" i="85" s="1"/>
  <c r="G40" i="86" s="1"/>
  <c r="G40" i="87" s="1"/>
  <c r="G40" i="88" s="1"/>
  <c r="G40" i="89" s="1"/>
  <c r="G40" i="90" s="1"/>
  <c r="G40" i="91" s="1"/>
  <c r="G40" i="92" s="1"/>
  <c r="H40" i="79"/>
  <c r="H40" i="80" s="1"/>
  <c r="H40" i="81" s="1"/>
  <c r="H40" i="82" s="1"/>
  <c r="H40" i="83" s="1"/>
  <c r="H40" i="84" s="1"/>
  <c r="H40" i="85" s="1"/>
  <c r="H40" i="86" s="1"/>
  <c r="H40" i="87" s="1"/>
  <c r="H40" i="88" s="1"/>
  <c r="H40" i="89" s="1"/>
  <c r="H40" i="90" s="1"/>
  <c r="H40" i="91" s="1"/>
  <c r="H40" i="92" s="1"/>
  <c r="Y40" i="12"/>
  <c r="X42" i="97" s="1"/>
  <c r="AI18" i="12"/>
  <c r="E17" i="3" s="1"/>
  <c r="AE18" i="12"/>
  <c r="F17" i="3" l="1"/>
  <c r="I24" i="92" s="1"/>
  <c r="AW18" i="12"/>
  <c r="AE40" i="12"/>
  <c r="S41" i="97"/>
  <c r="G40" i="93" l="1"/>
  <c r="H40" i="93"/>
  <c r="M6" i="97"/>
  <c r="N6" i="97"/>
  <c r="P6" i="97"/>
  <c r="W6" i="97"/>
  <c r="AD6" i="97" s="1"/>
  <c r="AT6" i="97" l="1"/>
  <c r="AR6" i="97"/>
  <c r="AS6" i="97"/>
  <c r="AF6" i="97" l="1"/>
  <c r="AL6" i="97" s="1"/>
  <c r="AQ6" i="97"/>
  <c r="AK6" i="97" l="1"/>
  <c r="AM4" i="2"/>
  <c r="W31" i="97" l="1"/>
  <c r="AD31" i="97" s="1"/>
  <c r="AF31" i="97" s="1"/>
  <c r="AS28" i="12" l="1"/>
  <c r="O28" i="12"/>
  <c r="N28" i="12"/>
  <c r="M28" i="12"/>
  <c r="AT28" i="12" l="1"/>
  <c r="AU28" i="12"/>
  <c r="AG28" i="12" l="1"/>
  <c r="AL28" i="12" l="1"/>
  <c r="AM28" i="12"/>
  <c r="W28" i="97"/>
  <c r="AD28" i="97" s="1"/>
  <c r="AF28" i="97" s="1"/>
  <c r="P28" i="97"/>
  <c r="N28" i="97"/>
  <c r="M28" i="97"/>
  <c r="W29" i="97"/>
  <c r="AD29" i="97" s="1"/>
  <c r="AF29" i="97" s="1"/>
  <c r="E27" i="3" l="1"/>
  <c r="F27" i="3" s="1"/>
  <c r="AR28" i="97"/>
  <c r="AT28" i="97"/>
  <c r="AS28" i="97"/>
  <c r="R27" i="3"/>
  <c r="S27" i="3" l="1"/>
  <c r="I23" i="71" s="1"/>
  <c r="I24" i="71"/>
  <c r="AL28" i="97"/>
  <c r="AQ28" i="97"/>
  <c r="EL27" i="1" l="1"/>
  <c r="EU27" i="1" s="1"/>
  <c r="AK28" i="97"/>
  <c r="W26" i="97" l="1"/>
  <c r="AD26" i="97" s="1"/>
  <c r="AF26" i="97" s="1"/>
  <c r="P26" i="97"/>
  <c r="N26" i="97"/>
  <c r="M26" i="97"/>
  <c r="AS26" i="12"/>
  <c r="O26" i="12"/>
  <c r="N26" i="12"/>
  <c r="M26" i="12"/>
  <c r="W25" i="97"/>
  <c r="AD25" i="97" s="1"/>
  <c r="W24" i="97"/>
  <c r="AD24" i="97" s="1"/>
  <c r="W23" i="97"/>
  <c r="AD23" i="97" s="1"/>
  <c r="T21" i="97"/>
  <c r="AH21" i="97" s="1"/>
  <c r="E20" i="3" s="1"/>
  <c r="F20" i="3" l="1"/>
  <c r="I24" i="95" s="1"/>
  <c r="AB21" i="97"/>
  <c r="AS26" i="97"/>
  <c r="AR26" i="97"/>
  <c r="AT26" i="97"/>
  <c r="AU26" i="12"/>
  <c r="AL26" i="97" l="1"/>
  <c r="AG26" i="12"/>
  <c r="AM26" i="12" s="1"/>
  <c r="R25" i="3"/>
  <c r="E25" i="3"/>
  <c r="F25" i="3" s="1"/>
  <c r="AT26" i="12"/>
  <c r="AQ26" i="97"/>
  <c r="AP26" i="97"/>
  <c r="S25" i="3" l="1"/>
  <c r="I23" i="69" s="1"/>
  <c r="I24" i="69"/>
  <c r="EL25" i="1"/>
  <c r="EU25" i="1" s="1"/>
  <c r="AL26" i="12"/>
  <c r="AK26" i="97"/>
  <c r="W12" i="97" l="1"/>
  <c r="AD12" i="97" s="1"/>
  <c r="W8" i="97" l="1"/>
  <c r="AD8" i="97" s="1"/>
  <c r="W7" i="97" l="1"/>
  <c r="AD7" i="97" s="1"/>
  <c r="F60" i="77" l="1"/>
  <c r="F62" i="76"/>
  <c r="F62" i="75"/>
  <c r="F62" i="74"/>
  <c r="F62" i="73"/>
  <c r="F62" i="72"/>
  <c r="F62" i="71"/>
  <c r="F62" i="70"/>
  <c r="F62" i="69"/>
  <c r="F62" i="67"/>
  <c r="F62" i="42"/>
  <c r="F62" i="96"/>
  <c r="F62" i="95"/>
  <c r="F62" i="94"/>
  <c r="F62" i="93"/>
  <c r="F62" i="91"/>
  <c r="F62" i="90"/>
  <c r="F62" i="89"/>
  <c r="F62" i="88"/>
  <c r="F62" i="87"/>
  <c r="F62" i="86"/>
  <c r="F62" i="85"/>
  <c r="F62" i="84"/>
  <c r="F62" i="83"/>
  <c r="F62" i="82"/>
  <c r="F62" i="80"/>
  <c r="F62" i="79"/>
  <c r="F62" i="78"/>
  <c r="H62" i="78" s="1"/>
  <c r="F62" i="81"/>
  <c r="G62" i="78" l="1"/>
  <c r="G62" i="79" s="1"/>
  <c r="G62" i="80" s="1"/>
  <c r="G62" i="81" s="1"/>
  <c r="G62" i="82" s="1"/>
  <c r="G62" i="83" s="1"/>
  <c r="G62" i="84" s="1"/>
  <c r="G62" i="85" s="1"/>
  <c r="G62" i="86" s="1"/>
  <c r="G62" i="87" s="1"/>
  <c r="G62" i="88" s="1"/>
  <c r="G62" i="89" s="1"/>
  <c r="G62" i="90" s="1"/>
  <c r="G62" i="91" s="1"/>
  <c r="H62" i="79"/>
  <c r="S35" i="97"/>
  <c r="T34" i="97"/>
  <c r="W34" i="97"/>
  <c r="AD34" i="97" s="1"/>
  <c r="W32" i="97"/>
  <c r="AD32" i="97" s="1"/>
  <c r="AF32" i="97" s="1"/>
  <c r="EP34" i="1"/>
  <c r="AB34" i="97" l="1"/>
  <c r="AF34" i="97" s="1"/>
  <c r="AH34" i="97"/>
  <c r="W30" i="97"/>
  <c r="AD30" i="97" s="1"/>
  <c r="AF30" i="97" s="1"/>
  <c r="U20" i="12" l="1"/>
  <c r="AI20" i="12" l="1"/>
  <c r="E19" i="3" s="1"/>
  <c r="AC20" i="12"/>
  <c r="W18" i="97"/>
  <c r="AD18" i="97" s="1"/>
  <c r="F19" i="3" l="1"/>
  <c r="I24" i="94" s="1"/>
  <c r="V41" i="97"/>
  <c r="W14" i="97" l="1"/>
  <c r="AD14" i="97" s="1"/>
  <c r="T12" i="97" l="1"/>
  <c r="M38" i="77"/>
  <c r="M40" i="76"/>
  <c r="M40" i="75"/>
  <c r="M40" i="74"/>
  <c r="M40" i="69"/>
  <c r="M40" i="68"/>
  <c r="M40" i="67"/>
  <c r="M40" i="42"/>
  <c r="M40" i="96"/>
  <c r="M40" i="95"/>
  <c r="M40" i="94"/>
  <c r="M40" i="93"/>
  <c r="M40" i="92"/>
  <c r="M40" i="91"/>
  <c r="M40" i="90"/>
  <c r="M40" i="89"/>
  <c r="M40" i="88"/>
  <c r="M40" i="87"/>
  <c r="M40" i="86"/>
  <c r="I48" i="74"/>
  <c r="M40" i="85"/>
  <c r="AB12" i="97" l="1"/>
  <c r="AH12" i="97"/>
  <c r="E11" i="3" s="1"/>
  <c r="T41" i="97"/>
  <c r="AB41" i="97" s="1"/>
  <c r="U40" i="12"/>
  <c r="W10" i="97"/>
  <c r="AD10" i="97" s="1"/>
  <c r="M40" i="84"/>
  <c r="F11" i="3" l="1"/>
  <c r="I24" i="86" s="1"/>
  <c r="T42" i="97"/>
  <c r="M40" i="83"/>
  <c r="M40" i="82" l="1"/>
  <c r="M40" i="81"/>
  <c r="M40" i="80"/>
  <c r="M40" i="79"/>
  <c r="M40" i="78"/>
  <c r="T6" i="12"/>
  <c r="AH6" i="12" s="1"/>
  <c r="M6" i="12"/>
  <c r="N6" i="12"/>
  <c r="O6" i="12"/>
  <c r="AS6" i="12"/>
  <c r="AO6" i="12" l="1"/>
  <c r="AC6" i="12"/>
  <c r="AU6" i="12" s="1"/>
  <c r="T40" i="12"/>
  <c r="AV6" i="12"/>
  <c r="S42" i="97" l="1"/>
  <c r="AB42" i="97" s="1"/>
  <c r="AC40" i="12"/>
  <c r="AG6" i="12"/>
  <c r="AM6" i="12" s="1"/>
  <c r="AT6" i="12"/>
  <c r="P34" i="97"/>
  <c r="P33" i="97"/>
  <c r="P32" i="97"/>
  <c r="P31" i="97"/>
  <c r="P30" i="97"/>
  <c r="P29" i="97"/>
  <c r="P27" i="97"/>
  <c r="P25" i="97"/>
  <c r="P24" i="97"/>
  <c r="P23" i="97"/>
  <c r="P22" i="97"/>
  <c r="P21" i="97"/>
  <c r="P20" i="97"/>
  <c r="P19" i="97"/>
  <c r="P18" i="97"/>
  <c r="P17" i="97"/>
  <c r="P16" i="97"/>
  <c r="P15" i="97"/>
  <c r="P14" i="97"/>
  <c r="P13" i="97"/>
  <c r="P12" i="97"/>
  <c r="P11" i="97"/>
  <c r="P10" i="97"/>
  <c r="P9" i="97"/>
  <c r="P8" i="97"/>
  <c r="P7" i="97"/>
  <c r="P41" i="97" s="1"/>
  <c r="I40" i="78"/>
  <c r="P42" i="97" l="1"/>
  <c r="AL6" i="12"/>
  <c r="L55" i="79"/>
  <c r="K55" i="79"/>
  <c r="J55" i="79"/>
  <c r="I55" i="79"/>
  <c r="H55" i="79"/>
  <c r="G55" i="79"/>
  <c r="F55" i="79"/>
  <c r="E55" i="79"/>
  <c r="L55" i="78"/>
  <c r="K55" i="78"/>
  <c r="J55" i="78"/>
  <c r="I55" i="78"/>
  <c r="H55" i="78"/>
  <c r="G55" i="78"/>
  <c r="F55" i="78"/>
  <c r="E55" i="78"/>
  <c r="O40" i="78" l="1"/>
  <c r="O40" i="79" s="1"/>
  <c r="BT35" i="6"/>
  <c r="O40" i="80" l="1"/>
  <c r="O40" i="81" s="1"/>
  <c r="O40" i="82" s="1"/>
  <c r="O40" i="83" s="1"/>
  <c r="M40" i="73"/>
  <c r="O40" i="84" l="1"/>
  <c r="O40" i="85" s="1"/>
  <c r="M40" i="70"/>
  <c r="W27" i="97"/>
  <c r="M40" i="72"/>
  <c r="M40" i="71"/>
  <c r="O40" i="86" l="1"/>
  <c r="O40" i="87" s="1"/>
  <c r="O40" i="88" s="1"/>
  <c r="O40" i="89" s="1"/>
  <c r="W41" i="97"/>
  <c r="W42" i="97" s="1"/>
  <c r="AD27" i="97"/>
  <c r="AF27" i="97" s="1"/>
  <c r="O40" i="90" l="1"/>
  <c r="O40" i="91" s="1"/>
  <c r="F55" i="80"/>
  <c r="E55" i="80"/>
  <c r="E9" i="78"/>
  <c r="K5" i="55"/>
  <c r="K8" i="55"/>
  <c r="K10" i="55"/>
  <c r="K3" i="55"/>
  <c r="CC5" i="6"/>
  <c r="CC6" i="6"/>
  <c r="CC7" i="6"/>
  <c r="CC8" i="6"/>
  <c r="CC10" i="6"/>
  <c r="CC11" i="6"/>
  <c r="CC14" i="6"/>
  <c r="CC15" i="6"/>
  <c r="CC16" i="6"/>
  <c r="CC17" i="6"/>
  <c r="CC18" i="6"/>
  <c r="CC19" i="6"/>
  <c r="CC20" i="6"/>
  <c r="CC21" i="6"/>
  <c r="CC22" i="6"/>
  <c r="CC23" i="6"/>
  <c r="CC24" i="6"/>
  <c r="CC25" i="6"/>
  <c r="CC26" i="6"/>
  <c r="CC27" i="6"/>
  <c r="CC28" i="6"/>
  <c r="CC30" i="6"/>
  <c r="CC31" i="6"/>
  <c r="CC3" i="6"/>
  <c r="D35" i="2"/>
  <c r="O40" i="92" l="1"/>
  <c r="O40" i="93" s="1"/>
  <c r="O40" i="94" s="1"/>
  <c r="N21" i="97"/>
  <c r="M21" i="97"/>
  <c r="O40" i="95" l="1"/>
  <c r="O40" i="96" s="1"/>
  <c r="O40" i="42" s="1"/>
  <c r="O40" i="67" s="1"/>
  <c r="O40" i="68" s="1"/>
  <c r="O40" i="69" s="1"/>
  <c r="O40" i="70" s="1"/>
  <c r="O40" i="71" s="1"/>
  <c r="O40" i="72" s="1"/>
  <c r="O40" i="73" s="1"/>
  <c r="O40" i="74" s="1"/>
  <c r="O40" i="75" s="1"/>
  <c r="O40" i="76" s="1"/>
  <c r="AS21" i="97"/>
  <c r="AR21" i="97"/>
  <c r="AQ21" i="97" l="1"/>
  <c r="AF21" i="97"/>
  <c r="AL21" i="97" s="1"/>
  <c r="AK21" i="97" l="1"/>
  <c r="V40" i="12" l="1"/>
  <c r="U42" i="97" l="1"/>
  <c r="AU35" i="12"/>
  <c r="BA4" i="2" l="1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3" i="2"/>
  <c r="CL4" i="6" l="1"/>
  <c r="CL5" i="6"/>
  <c r="CL6" i="6"/>
  <c r="CL7" i="6"/>
  <c r="CL8" i="6"/>
  <c r="CL9" i="6"/>
  <c r="CL10" i="6"/>
  <c r="CL11" i="6"/>
  <c r="CL12" i="6"/>
  <c r="CL13" i="6"/>
  <c r="CL14" i="6"/>
  <c r="CL15" i="6"/>
  <c r="CL16" i="6"/>
  <c r="CL17" i="6"/>
  <c r="CL18" i="6"/>
  <c r="CL19" i="6"/>
  <c r="CL20" i="6"/>
  <c r="CL21" i="6"/>
  <c r="CL22" i="6"/>
  <c r="CL23" i="6"/>
  <c r="CL24" i="6"/>
  <c r="CL3" i="6"/>
  <c r="BC4" i="2" l="1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3" i="2"/>
  <c r="BC26" i="2"/>
  <c r="BB4" i="2" l="1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3" i="2"/>
  <c r="AM15" i="2" l="1"/>
  <c r="AI40" i="12" l="1"/>
  <c r="W40" i="12"/>
  <c r="AS5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7" i="12"/>
  <c r="AS29" i="12"/>
  <c r="AS30" i="12"/>
  <c r="AS31" i="12"/>
  <c r="AS32" i="12"/>
  <c r="AS33" i="12"/>
  <c r="AS4" i="12"/>
  <c r="V42" i="97" l="1"/>
  <c r="AD40" i="12"/>
  <c r="AS40" i="12"/>
  <c r="E26" i="3" l="1"/>
  <c r="F26" i="3" s="1"/>
  <c r="I24" i="70" l="1"/>
  <c r="M37" i="79"/>
  <c r="D31" i="6" l="1"/>
  <c r="D32" i="6"/>
  <c r="D33" i="6"/>
  <c r="F9" i="77" s="1"/>
  <c r="DZ4" i="1" l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" i="1"/>
  <c r="CP4" i="6" l="1"/>
  <c r="CP5" i="6"/>
  <c r="CP6" i="6"/>
  <c r="CP7" i="6"/>
  <c r="CP8" i="6"/>
  <c r="CP9" i="6"/>
  <c r="CP10" i="6"/>
  <c r="CP11" i="6"/>
  <c r="CP12" i="6"/>
  <c r="CP13" i="6"/>
  <c r="CP14" i="6"/>
  <c r="CP15" i="6"/>
  <c r="CP16" i="6"/>
  <c r="CP17" i="6"/>
  <c r="CP18" i="6"/>
  <c r="CP19" i="6"/>
  <c r="CP20" i="6"/>
  <c r="CP21" i="6"/>
  <c r="CP22" i="6"/>
  <c r="CP23" i="6"/>
  <c r="CP24" i="6"/>
  <c r="CP25" i="6"/>
  <c r="CP26" i="6"/>
  <c r="CP27" i="6"/>
  <c r="CP28" i="6"/>
  <c r="CP29" i="6"/>
  <c r="CP30" i="6"/>
  <c r="CP31" i="6"/>
  <c r="CP32" i="6"/>
  <c r="CP33" i="6"/>
  <c r="CM3" i="6"/>
  <c r="CL25" i="6"/>
  <c r="CL26" i="6"/>
  <c r="CL27" i="6"/>
  <c r="CL28" i="6"/>
  <c r="CL29" i="6"/>
  <c r="CL30" i="6"/>
  <c r="CL31" i="6"/>
  <c r="CL32" i="6"/>
  <c r="CL33" i="6"/>
  <c r="Z17" i="55" l="1"/>
  <c r="Z18" i="55"/>
  <c r="Z4" i="55" l="1"/>
  <c r="Z5" i="55"/>
  <c r="Z6" i="55"/>
  <c r="Z7" i="55"/>
  <c r="Z8" i="55"/>
  <c r="Z9" i="55"/>
  <c r="Z10" i="55"/>
  <c r="Z11" i="55"/>
  <c r="Z12" i="55"/>
  <c r="Z13" i="55"/>
  <c r="Z14" i="55"/>
  <c r="Z15" i="55"/>
  <c r="Z16" i="55"/>
  <c r="Z3" i="55"/>
  <c r="CP34" i="1" l="1"/>
  <c r="CO34" i="1"/>
  <c r="AJ3" i="1" l="1"/>
  <c r="Q38" i="77"/>
  <c r="I46" i="77"/>
  <c r="E16" i="78" l="1"/>
  <c r="I12" i="70" l="1"/>
  <c r="DY35" i="1"/>
  <c r="DX35" i="1"/>
  <c r="DY34" i="1"/>
  <c r="DX34" i="1"/>
  <c r="BE27" i="2" l="1"/>
  <c r="BF27" i="2" s="1"/>
  <c r="BE26" i="2"/>
  <c r="BF26" i="2" s="1"/>
  <c r="DZ34" i="1"/>
  <c r="DZ35" i="1" s="1"/>
  <c r="EA3" i="1"/>
  <c r="DW4" i="1" s="1"/>
  <c r="EA4" i="1" s="1"/>
  <c r="DW5" i="1" s="1"/>
  <c r="EA5" i="1" s="1"/>
  <c r="DW6" i="1" s="1"/>
  <c r="EA6" i="1" s="1"/>
  <c r="DW7" i="1" s="1"/>
  <c r="EA7" i="1" s="1"/>
  <c r="DW8" i="1" s="1"/>
  <c r="EA8" i="1" s="1"/>
  <c r="DW9" i="1" s="1"/>
  <c r="EA9" i="1" s="1"/>
  <c r="DW10" i="1" s="1"/>
  <c r="EA10" i="1" s="1"/>
  <c r="DW11" i="1" s="1"/>
  <c r="EA11" i="1" s="1"/>
  <c r="DW12" i="1" s="1"/>
  <c r="EA12" i="1" s="1"/>
  <c r="DW13" i="1" s="1"/>
  <c r="EA13" i="1" s="1"/>
  <c r="DW14" i="1" s="1"/>
  <c r="EA14" i="1" s="1"/>
  <c r="DW15" i="1" s="1"/>
  <c r="EA15" i="1" s="1"/>
  <c r="DW16" i="1" s="1"/>
  <c r="EA16" i="1" s="1"/>
  <c r="DW17" i="1" s="1"/>
  <c r="EA17" i="1" s="1"/>
  <c r="DW18" i="1" s="1"/>
  <c r="EA18" i="1" s="1"/>
  <c r="DW19" i="1" s="1"/>
  <c r="EA19" i="1" s="1"/>
  <c r="DW20" i="1" s="1"/>
  <c r="EA20" i="1" s="1"/>
  <c r="DW21" i="1" s="1"/>
  <c r="EA21" i="1" s="1"/>
  <c r="DW22" i="1" s="1"/>
  <c r="EA22" i="1" s="1"/>
  <c r="DW23" i="1" s="1"/>
  <c r="EA23" i="1" s="1"/>
  <c r="DW24" i="1" s="1"/>
  <c r="EA24" i="1" s="1"/>
  <c r="DW25" i="1" s="1"/>
  <c r="EA25" i="1" s="1"/>
  <c r="DW26" i="1" s="1"/>
  <c r="EA26" i="1" s="1"/>
  <c r="DW27" i="1" s="1"/>
  <c r="EA27" i="1" s="1"/>
  <c r="DW28" i="1" s="1"/>
  <c r="EA28" i="1" s="1"/>
  <c r="DW29" i="1" s="1"/>
  <c r="EA29" i="1" s="1"/>
  <c r="DW30" i="1" s="1"/>
  <c r="EA30" i="1" s="1"/>
  <c r="DW31" i="1" s="1"/>
  <c r="EA31" i="1" s="1"/>
  <c r="DW32" i="1" s="1"/>
  <c r="EA32" i="1" s="1"/>
  <c r="DW33" i="1" s="1"/>
  <c r="EA33" i="1" s="1"/>
  <c r="I9" i="69" l="1"/>
  <c r="BE25" i="2" l="1"/>
  <c r="BF25" i="2" s="1"/>
  <c r="F62" i="68"/>
  <c r="F62" i="92"/>
  <c r="G62" i="92" s="1"/>
  <c r="G62" i="93" s="1"/>
  <c r="G62" i="94" s="1"/>
  <c r="G62" i="95" s="1"/>
  <c r="G62" i="96" s="1"/>
  <c r="G62" i="42" s="1"/>
  <c r="G62" i="67" s="1"/>
  <c r="G62" i="68" l="1"/>
  <c r="G62" i="69" s="1"/>
  <c r="G62" i="70" s="1"/>
  <c r="G62" i="71" s="1"/>
  <c r="G62" i="72" s="1"/>
  <c r="G62" i="73" s="1"/>
  <c r="G62" i="74" s="1"/>
  <c r="G62" i="75" s="1"/>
  <c r="G62" i="76" s="1"/>
  <c r="G60" i="77" s="1"/>
  <c r="I9" i="82"/>
  <c r="I9" i="85"/>
  <c r="I9" i="86"/>
  <c r="I9" i="87"/>
  <c r="I9" i="88"/>
  <c r="I9" i="89"/>
  <c r="I9" i="90"/>
  <c r="I9" i="91"/>
  <c r="I9" i="80"/>
  <c r="I9" i="81"/>
  <c r="BE6" i="2" l="1"/>
  <c r="BF6" i="2" s="1"/>
  <c r="H62" i="80"/>
  <c r="H62" i="81" s="1"/>
  <c r="H62" i="82" s="1"/>
  <c r="H62" i="83" s="1"/>
  <c r="H62" i="84" s="1"/>
  <c r="H62" i="85" s="1"/>
  <c r="H62" i="86" s="1"/>
  <c r="H62" i="87" s="1"/>
  <c r="H62" i="88" s="1"/>
  <c r="H62" i="89" s="1"/>
  <c r="H62" i="90" s="1"/>
  <c r="H62" i="91" s="1"/>
  <c r="H62" i="92" s="1"/>
  <c r="H62" i="93" s="1"/>
  <c r="H62" i="94" s="1"/>
  <c r="H62" i="95" s="1"/>
  <c r="H62" i="96" s="1"/>
  <c r="H62" i="42" s="1"/>
  <c r="H62" i="67" s="1"/>
  <c r="H62" i="68" s="1"/>
  <c r="H62" i="69" s="1"/>
  <c r="H62" i="70" s="1"/>
  <c r="H62" i="71" s="1"/>
  <c r="H62" i="72" s="1"/>
  <c r="H62" i="73" s="1"/>
  <c r="H62" i="74" s="1"/>
  <c r="H62" i="75" s="1"/>
  <c r="H62" i="76" s="1"/>
  <c r="H60" i="77" s="1"/>
  <c r="D4" i="6"/>
  <c r="F9" i="79" s="1"/>
  <c r="D5" i="6"/>
  <c r="F9" i="80" s="1"/>
  <c r="D6" i="6"/>
  <c r="F9" i="81" s="1"/>
  <c r="D7" i="6"/>
  <c r="D8" i="6"/>
  <c r="D9" i="6"/>
  <c r="D10" i="6"/>
  <c r="F9" i="85" s="1"/>
  <c r="D11" i="6"/>
  <c r="F9" i="86" s="1"/>
  <c r="D12" i="6"/>
  <c r="F9" i="87" s="1"/>
  <c r="D13" i="6"/>
  <c r="F9" i="88" s="1"/>
  <c r="D14" i="6"/>
  <c r="F9" i="89" s="1"/>
  <c r="D15" i="6"/>
  <c r="F9" i="90" s="1"/>
  <c r="D16" i="6"/>
  <c r="F9" i="91" s="1"/>
  <c r="D17" i="6"/>
  <c r="F9" i="92" s="1"/>
  <c r="D18" i="6"/>
  <c r="F9" i="93" s="1"/>
  <c r="D19" i="6"/>
  <c r="F9" i="94" s="1"/>
  <c r="D20" i="6"/>
  <c r="F9" i="95" s="1"/>
  <c r="D21" i="6"/>
  <c r="F9" i="96" s="1"/>
  <c r="D22" i="6"/>
  <c r="F9" i="42" s="1"/>
  <c r="D23" i="6"/>
  <c r="F9" i="67" s="1"/>
  <c r="D24" i="6"/>
  <c r="F9" i="68" s="1"/>
  <c r="D25" i="6"/>
  <c r="F9" i="69" s="1"/>
  <c r="D26" i="6"/>
  <c r="F9" i="70" s="1"/>
  <c r="D27" i="6"/>
  <c r="F9" i="71" s="1"/>
  <c r="D28" i="6"/>
  <c r="F9" i="72" s="1"/>
  <c r="F9" i="73"/>
  <c r="D30" i="6"/>
  <c r="F9" i="74" s="1"/>
  <c r="F9" i="75"/>
  <c r="F9" i="76"/>
  <c r="I9" i="83"/>
  <c r="M9" i="83" s="1"/>
  <c r="I9" i="84"/>
  <c r="I9" i="92"/>
  <c r="I9" i="93"/>
  <c r="I9" i="94"/>
  <c r="I9" i="95"/>
  <c r="I9" i="96"/>
  <c r="I9" i="42"/>
  <c r="I9" i="67"/>
  <c r="I9" i="68"/>
  <c r="I9" i="70"/>
  <c r="I9" i="71"/>
  <c r="I9" i="72"/>
  <c r="I9" i="73"/>
  <c r="I9" i="74"/>
  <c r="I9" i="75"/>
  <c r="I9" i="76"/>
  <c r="I9" i="77"/>
  <c r="E34" i="6" l="1"/>
  <c r="E35" i="6"/>
  <c r="J32" i="83"/>
  <c r="E52" i="83" s="1"/>
  <c r="F9" i="83"/>
  <c r="J32" i="82"/>
  <c r="E52" i="82" s="1"/>
  <c r="F9" i="82"/>
  <c r="J32" i="84"/>
  <c r="F9" i="84"/>
  <c r="J32" i="79"/>
  <c r="AJ35" i="64"/>
  <c r="AJ34" i="64"/>
  <c r="AG34" i="64"/>
  <c r="AG35" i="64" s="1"/>
  <c r="AK33" i="64"/>
  <c r="AK30" i="64"/>
  <c r="AF31" i="64" s="1"/>
  <c r="AK31" i="64" s="1"/>
  <c r="AF32" i="64" s="1"/>
  <c r="AK32" i="64" s="1"/>
  <c r="AK27" i="64"/>
  <c r="AF28" i="64" s="1"/>
  <c r="AK28" i="64" s="1"/>
  <c r="AF29" i="64" s="1"/>
  <c r="AK29" i="64" s="1"/>
  <c r="AK24" i="64"/>
  <c r="AF25" i="64" s="1"/>
  <c r="AK25" i="64" s="1"/>
  <c r="AF26" i="64" s="1"/>
  <c r="AK26" i="64" s="1"/>
  <c r="AK21" i="64"/>
  <c r="AF22" i="64" s="1"/>
  <c r="AK22" i="64" s="1"/>
  <c r="AF23" i="64" s="1"/>
  <c r="AK23" i="64" s="1"/>
  <c r="AK18" i="64"/>
  <c r="AF19" i="64" s="1"/>
  <c r="AK19" i="64" s="1"/>
  <c r="AF20" i="64" s="1"/>
  <c r="AK20" i="64" s="1"/>
  <c r="AK15" i="64"/>
  <c r="AF16" i="64" s="1"/>
  <c r="AK16" i="64" s="1"/>
  <c r="AF17" i="64" s="1"/>
  <c r="AK17" i="64" s="1"/>
  <c r="AK12" i="64"/>
  <c r="AF13" i="64" s="1"/>
  <c r="AK13" i="64" s="1"/>
  <c r="AF14" i="64" s="1"/>
  <c r="AK14" i="64" s="1"/>
  <c r="AK9" i="64"/>
  <c r="AF10" i="64" s="1"/>
  <c r="AK10" i="64" s="1"/>
  <c r="AF11" i="64" s="1"/>
  <c r="AK11" i="64" s="1"/>
  <c r="AK6" i="64"/>
  <c r="AF7" i="64" s="1"/>
  <c r="AK7" i="64" s="1"/>
  <c r="AF8" i="64" s="1"/>
  <c r="AK8" i="64" s="1"/>
  <c r="AK3" i="64"/>
  <c r="AF4" i="64" s="1"/>
  <c r="AK4" i="64" s="1"/>
  <c r="AF5" i="64" s="1"/>
  <c r="AK5" i="64" s="1"/>
  <c r="I32" i="78"/>
  <c r="I9" i="78"/>
  <c r="I9" i="79"/>
  <c r="D3" i="6"/>
  <c r="F9" i="78" s="1"/>
  <c r="H9" i="78" s="1"/>
  <c r="H9" i="79" s="1"/>
  <c r="DT35" i="1"/>
  <c r="DS35" i="1"/>
  <c r="DO35" i="1"/>
  <c r="DJ35" i="1"/>
  <c r="DI35" i="1"/>
  <c r="DE35" i="1"/>
  <c r="DD35" i="1"/>
  <c r="CZ35" i="1"/>
  <c r="CY35" i="1"/>
  <c r="CA35" i="1"/>
  <c r="W34" i="2"/>
  <c r="W35" i="2" s="1"/>
  <c r="Q40" i="76"/>
  <c r="Q40" i="75"/>
  <c r="Q40" i="74"/>
  <c r="I48" i="75"/>
  <c r="E52" i="84" l="1"/>
  <c r="K9" i="78"/>
  <c r="I48" i="73"/>
  <c r="Q40" i="73"/>
  <c r="Q40" i="72" l="1"/>
  <c r="Q40" i="71"/>
  <c r="I48" i="70" l="1"/>
  <c r="Q40" i="69"/>
  <c r="Q40" i="68"/>
  <c r="I48" i="68"/>
  <c r="Q40" i="67"/>
  <c r="I48" i="67"/>
  <c r="O38" i="77" l="1"/>
  <c r="Q40" i="42"/>
  <c r="I48" i="95" l="1"/>
  <c r="Q40" i="96"/>
  <c r="Q40" i="95" l="1"/>
  <c r="I48" i="94"/>
  <c r="Q40" i="94"/>
  <c r="Q40" i="93"/>
  <c r="Q40" i="92"/>
  <c r="Q40" i="91" l="1"/>
  <c r="I21" i="90"/>
  <c r="Q40" i="90"/>
  <c r="I48" i="90"/>
  <c r="I48" i="89"/>
  <c r="Q40" i="89"/>
  <c r="Q40" i="88"/>
  <c r="Q40" i="87"/>
  <c r="Q40" i="86" l="1"/>
  <c r="I48" i="85"/>
  <c r="Q40" i="85"/>
  <c r="Q40" i="84" l="1"/>
  <c r="I48" i="84"/>
  <c r="Q40" i="82"/>
  <c r="I48" i="82"/>
  <c r="Q40" i="81"/>
  <c r="I48" i="81"/>
  <c r="Q40" i="80"/>
  <c r="Q40" i="79"/>
  <c r="N40" i="78"/>
  <c r="N40" i="79" s="1"/>
  <c r="N40" i="80" l="1"/>
  <c r="N40" i="81" s="1"/>
  <c r="N40" i="82" s="1"/>
  <c r="N40" i="83" s="1"/>
  <c r="G40" i="94"/>
  <c r="G40" i="95" s="1"/>
  <c r="G40" i="96" s="1"/>
  <c r="G40" i="42" s="1"/>
  <c r="G40" i="67" s="1"/>
  <c r="G40" i="68" s="1"/>
  <c r="G40" i="69" s="1"/>
  <c r="G40" i="70" s="1"/>
  <c r="G40" i="71" s="1"/>
  <c r="G40" i="72" s="1"/>
  <c r="G40" i="73" s="1"/>
  <c r="G40" i="74" s="1"/>
  <c r="G40" i="75" s="1"/>
  <c r="G40" i="76" s="1"/>
  <c r="G38" i="77" s="1"/>
  <c r="Q40" i="78"/>
  <c r="N40" i="84" l="1"/>
  <c r="AW3" i="6"/>
  <c r="F45" i="78" s="1"/>
  <c r="H45" i="78" s="1"/>
  <c r="E21" i="3"/>
  <c r="F21" i="3" s="1"/>
  <c r="E22" i="3"/>
  <c r="E23" i="3"/>
  <c r="E24" i="3"/>
  <c r="F24" i="3" s="1"/>
  <c r="E30" i="3"/>
  <c r="F30" i="3" s="1"/>
  <c r="E31" i="3"/>
  <c r="E32" i="3"/>
  <c r="F32" i="3" s="1"/>
  <c r="CI3" i="6"/>
  <c r="I48" i="78"/>
  <c r="BT34" i="6"/>
  <c r="BA4" i="6"/>
  <c r="BS4" i="6" s="1"/>
  <c r="BA5" i="6"/>
  <c r="BS5" i="6" s="1"/>
  <c r="BA6" i="6"/>
  <c r="BS6" i="6" s="1"/>
  <c r="BA7" i="6"/>
  <c r="BA8" i="6"/>
  <c r="BA9" i="6"/>
  <c r="BS9" i="6" s="1"/>
  <c r="BA10" i="6"/>
  <c r="BA11" i="6"/>
  <c r="BS11" i="6" s="1"/>
  <c r="BA12" i="6"/>
  <c r="BA13" i="6"/>
  <c r="BA14" i="6"/>
  <c r="BA15" i="6"/>
  <c r="BS15" i="6" s="1"/>
  <c r="BA16" i="6"/>
  <c r="BA17" i="6"/>
  <c r="BA18" i="6"/>
  <c r="BA19" i="6"/>
  <c r="BS19" i="6" s="1"/>
  <c r="BA20" i="6"/>
  <c r="BS20" i="6" s="1"/>
  <c r="BA21" i="6"/>
  <c r="BS21" i="6" s="1"/>
  <c r="BA22" i="6"/>
  <c r="BS22" i="6" s="1"/>
  <c r="BA23" i="6"/>
  <c r="BS23" i="6" s="1"/>
  <c r="BA24" i="6"/>
  <c r="BS24" i="6" s="1"/>
  <c r="BA25" i="6"/>
  <c r="BS25" i="6" s="1"/>
  <c r="BA26" i="6"/>
  <c r="BS26" i="6" s="1"/>
  <c r="BA27" i="6"/>
  <c r="BS27" i="6" s="1"/>
  <c r="BA28" i="6"/>
  <c r="BA29" i="6"/>
  <c r="BS29" i="6" s="1"/>
  <c r="BA30" i="6"/>
  <c r="BS30" i="6" s="1"/>
  <c r="BA31" i="6"/>
  <c r="BS31" i="6" s="1"/>
  <c r="BA32" i="6"/>
  <c r="BS32" i="6" s="1"/>
  <c r="BA33" i="6"/>
  <c r="BS33" i="6" s="1"/>
  <c r="BA3" i="6"/>
  <c r="AZ4" i="6"/>
  <c r="F46" i="79" s="1"/>
  <c r="AZ5" i="6"/>
  <c r="F46" i="80" s="1"/>
  <c r="AZ6" i="6"/>
  <c r="F46" i="81" s="1"/>
  <c r="AZ7" i="6"/>
  <c r="F46" i="82" s="1"/>
  <c r="AZ8" i="6"/>
  <c r="F46" i="83" s="1"/>
  <c r="AZ9" i="6"/>
  <c r="F46" i="84" s="1"/>
  <c r="AZ10" i="6"/>
  <c r="F46" i="85" s="1"/>
  <c r="AZ11" i="6"/>
  <c r="F46" i="86" s="1"/>
  <c r="AZ12" i="6"/>
  <c r="F46" i="87" s="1"/>
  <c r="AZ13" i="6"/>
  <c r="F46" i="88" s="1"/>
  <c r="AZ14" i="6"/>
  <c r="F46" i="89" s="1"/>
  <c r="AZ15" i="6"/>
  <c r="F46" i="90" s="1"/>
  <c r="AZ16" i="6"/>
  <c r="F46" i="91" s="1"/>
  <c r="AZ17" i="6"/>
  <c r="F46" i="92" s="1"/>
  <c r="AZ18" i="6"/>
  <c r="F46" i="93" s="1"/>
  <c r="AZ19" i="6"/>
  <c r="F46" i="94" s="1"/>
  <c r="AZ20" i="6"/>
  <c r="F46" i="95" s="1"/>
  <c r="AZ21" i="6"/>
  <c r="F46" i="96" s="1"/>
  <c r="AZ22" i="6"/>
  <c r="F46" i="42" s="1"/>
  <c r="AZ23" i="6"/>
  <c r="F46" i="67" s="1"/>
  <c r="AZ24" i="6"/>
  <c r="F46" i="68" s="1"/>
  <c r="AZ25" i="6"/>
  <c r="F46" i="69" s="1"/>
  <c r="AZ26" i="6"/>
  <c r="F46" i="70" s="1"/>
  <c r="AZ27" i="6"/>
  <c r="F46" i="71" s="1"/>
  <c r="AZ28" i="6"/>
  <c r="F46" i="72" s="1"/>
  <c r="AZ29" i="6"/>
  <c r="F46" i="73" s="1"/>
  <c r="AZ30" i="6"/>
  <c r="F46" i="74" s="1"/>
  <c r="AZ31" i="6"/>
  <c r="AZ32" i="6"/>
  <c r="F46" i="76" s="1"/>
  <c r="AZ33" i="6"/>
  <c r="F44" i="77" s="1"/>
  <c r="AZ3" i="6"/>
  <c r="F46" i="78" s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" i="6"/>
  <c r="AW4" i="6"/>
  <c r="F45" i="79" s="1"/>
  <c r="AW5" i="6"/>
  <c r="F45" i="80" s="1"/>
  <c r="AW6" i="6"/>
  <c r="F45" i="81" s="1"/>
  <c r="AW7" i="6"/>
  <c r="F45" i="82" s="1"/>
  <c r="AW8" i="6"/>
  <c r="F45" i="83" s="1"/>
  <c r="AW9" i="6"/>
  <c r="F45" i="84" s="1"/>
  <c r="AW10" i="6"/>
  <c r="F45" i="85" s="1"/>
  <c r="AW11" i="6"/>
  <c r="F45" i="86" s="1"/>
  <c r="AW12" i="6"/>
  <c r="F45" i="87" s="1"/>
  <c r="AW13" i="6"/>
  <c r="F45" i="88" s="1"/>
  <c r="AW14" i="6"/>
  <c r="F45" i="89" s="1"/>
  <c r="AW15" i="6"/>
  <c r="F45" i="90" s="1"/>
  <c r="AW16" i="6"/>
  <c r="F45" i="91" s="1"/>
  <c r="AW17" i="6"/>
  <c r="F45" i="92" s="1"/>
  <c r="AW18" i="6"/>
  <c r="F45" i="93" s="1"/>
  <c r="AW19" i="6"/>
  <c r="F45" i="94" s="1"/>
  <c r="AW20" i="6"/>
  <c r="F45" i="95" s="1"/>
  <c r="AW21" i="6"/>
  <c r="F45" i="96" s="1"/>
  <c r="AW22" i="6"/>
  <c r="F45" i="42" s="1"/>
  <c r="AW23" i="6"/>
  <c r="F45" i="67" s="1"/>
  <c r="AW24" i="6"/>
  <c r="F45" i="68" s="1"/>
  <c r="AW25" i="6"/>
  <c r="F45" i="69" s="1"/>
  <c r="AW26" i="6"/>
  <c r="F45" i="70" s="1"/>
  <c r="AW27" i="6"/>
  <c r="F45" i="71" s="1"/>
  <c r="AW28" i="6"/>
  <c r="F45" i="72" s="1"/>
  <c r="AW29" i="6"/>
  <c r="F45" i="73" s="1"/>
  <c r="AW30" i="6"/>
  <c r="F45" i="74" s="1"/>
  <c r="AW31" i="6"/>
  <c r="AW32" i="6"/>
  <c r="F45" i="76" s="1"/>
  <c r="AW33" i="6"/>
  <c r="F43" i="77" s="1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" i="6"/>
  <c r="AT4" i="6"/>
  <c r="F43" i="79" s="1"/>
  <c r="AT5" i="6"/>
  <c r="F43" i="80" s="1"/>
  <c r="AT6" i="6"/>
  <c r="AT7" i="6"/>
  <c r="F43" i="82" s="1"/>
  <c r="AT8" i="6"/>
  <c r="F43" i="83" s="1"/>
  <c r="AT9" i="6"/>
  <c r="F43" i="84" s="1"/>
  <c r="AT10" i="6"/>
  <c r="AT11" i="6"/>
  <c r="F43" i="86" s="1"/>
  <c r="AT12" i="6"/>
  <c r="F43" i="87" s="1"/>
  <c r="AT13" i="6"/>
  <c r="F43" i="88" s="1"/>
  <c r="AT14" i="6"/>
  <c r="F43" i="89" s="1"/>
  <c r="AT15" i="6"/>
  <c r="F43" i="90" s="1"/>
  <c r="AT16" i="6"/>
  <c r="F43" i="91" s="1"/>
  <c r="AT17" i="6"/>
  <c r="F43" i="92" s="1"/>
  <c r="AT18" i="6"/>
  <c r="F43" i="93" s="1"/>
  <c r="AT19" i="6"/>
  <c r="F43" i="94" s="1"/>
  <c r="AT20" i="6"/>
  <c r="F43" i="95" s="1"/>
  <c r="AT21" i="6"/>
  <c r="F43" i="96" s="1"/>
  <c r="AT22" i="6"/>
  <c r="F43" i="42" s="1"/>
  <c r="AT23" i="6"/>
  <c r="AT24" i="6"/>
  <c r="F43" i="68" s="1"/>
  <c r="AT25" i="6"/>
  <c r="F43" i="69" s="1"/>
  <c r="AT26" i="6"/>
  <c r="F43" i="70" s="1"/>
  <c r="AT27" i="6"/>
  <c r="AT28" i="6"/>
  <c r="AT29" i="6"/>
  <c r="F43" i="73" s="1"/>
  <c r="AT30" i="6"/>
  <c r="F43" i="74" s="1"/>
  <c r="AT31" i="6"/>
  <c r="F43" i="75" s="1"/>
  <c r="AT32" i="6"/>
  <c r="F43" i="76" s="1"/>
  <c r="AT33" i="6"/>
  <c r="F41" i="77" s="1"/>
  <c r="AT3" i="6"/>
  <c r="F43" i="78" s="1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" i="6"/>
  <c r="AQ4" i="6"/>
  <c r="AQ5" i="6"/>
  <c r="AQ6" i="6"/>
  <c r="CT6" i="6" s="1"/>
  <c r="AQ7" i="6"/>
  <c r="AQ8" i="6"/>
  <c r="AQ9" i="6"/>
  <c r="AQ10" i="6"/>
  <c r="AQ11" i="6"/>
  <c r="AQ12" i="6"/>
  <c r="AQ13" i="6"/>
  <c r="AQ14" i="6"/>
  <c r="AQ15" i="6"/>
  <c r="AQ16" i="6"/>
  <c r="AQ17" i="6"/>
  <c r="AQ18" i="6"/>
  <c r="CT18" i="6" s="1"/>
  <c r="AQ19" i="6"/>
  <c r="AQ20" i="6"/>
  <c r="AQ21" i="6"/>
  <c r="AQ22" i="6"/>
  <c r="AQ23" i="6"/>
  <c r="AQ24" i="6"/>
  <c r="CT24" i="6" s="1"/>
  <c r="AQ25" i="6"/>
  <c r="AQ26" i="6"/>
  <c r="AQ27" i="6"/>
  <c r="AQ28" i="6"/>
  <c r="AQ29" i="6"/>
  <c r="AQ30" i="6"/>
  <c r="CT30" i="6" s="1"/>
  <c r="AQ31" i="6"/>
  <c r="AQ32" i="6"/>
  <c r="AQ33" i="6"/>
  <c r="AQ3" i="6"/>
  <c r="S53" i="97"/>
  <c r="Q53" i="97"/>
  <c r="T40" i="97"/>
  <c r="S40" i="97"/>
  <c r="R40" i="97"/>
  <c r="Q40" i="97"/>
  <c r="N40" i="97"/>
  <c r="M40" i="97"/>
  <c r="T39" i="97"/>
  <c r="S39" i="97"/>
  <c r="R39" i="97"/>
  <c r="Q39" i="97"/>
  <c r="N39" i="97"/>
  <c r="M39" i="97"/>
  <c r="T38" i="97"/>
  <c r="S38" i="97"/>
  <c r="R38" i="97"/>
  <c r="Q38" i="97"/>
  <c r="N38" i="97"/>
  <c r="M38" i="97"/>
  <c r="T37" i="97"/>
  <c r="S37" i="97"/>
  <c r="R37" i="97"/>
  <c r="Q37" i="97"/>
  <c r="N37" i="97"/>
  <c r="M37" i="97"/>
  <c r="T36" i="97"/>
  <c r="AH36" i="97" s="1"/>
  <c r="S36" i="97"/>
  <c r="Q36" i="97"/>
  <c r="AA36" i="97" s="1"/>
  <c r="N36" i="97"/>
  <c r="M36" i="97"/>
  <c r="T35" i="97"/>
  <c r="AB35" i="97" s="1"/>
  <c r="R35" i="97"/>
  <c r="Q35" i="97"/>
  <c r="N35" i="97"/>
  <c r="M35" i="97"/>
  <c r="N34" i="97"/>
  <c r="M34" i="97"/>
  <c r="N33" i="97"/>
  <c r="M33" i="97"/>
  <c r="N32" i="97"/>
  <c r="M32" i="97"/>
  <c r="N31" i="97"/>
  <c r="M31" i="97"/>
  <c r="N30" i="97"/>
  <c r="M30" i="97"/>
  <c r="N29" i="97"/>
  <c r="M29" i="97"/>
  <c r="N27" i="97"/>
  <c r="M27" i="97"/>
  <c r="N25" i="97"/>
  <c r="M25" i="97"/>
  <c r="N24" i="97"/>
  <c r="M24" i="97"/>
  <c r="N23" i="97"/>
  <c r="M23" i="97"/>
  <c r="N22" i="97"/>
  <c r="M22" i="97"/>
  <c r="N20" i="97"/>
  <c r="M20" i="97"/>
  <c r="N19" i="97"/>
  <c r="M19" i="97"/>
  <c r="N18" i="97"/>
  <c r="M18" i="97"/>
  <c r="N17" i="97"/>
  <c r="M17" i="97"/>
  <c r="N16" i="97"/>
  <c r="M16" i="97"/>
  <c r="N15" i="97"/>
  <c r="M15" i="97"/>
  <c r="N14" i="97"/>
  <c r="M14" i="97"/>
  <c r="N13" i="97"/>
  <c r="M13" i="97"/>
  <c r="N12" i="97"/>
  <c r="M12" i="97"/>
  <c r="N11" i="97"/>
  <c r="M11" i="97"/>
  <c r="N10" i="97"/>
  <c r="M10" i="97"/>
  <c r="N9" i="97"/>
  <c r="M9" i="97"/>
  <c r="N8" i="97"/>
  <c r="M8" i="97"/>
  <c r="AP7" i="97"/>
  <c r="N7" i="97"/>
  <c r="N41" i="97" s="1"/>
  <c r="M7" i="97"/>
  <c r="CT12" i="6" l="1"/>
  <c r="AA37" i="97"/>
  <c r="F23" i="3"/>
  <c r="I24" i="67" s="1"/>
  <c r="F22" i="3"/>
  <c r="I24" i="42" s="1"/>
  <c r="F31" i="3"/>
  <c r="I24" i="75" s="1"/>
  <c r="CT17" i="6"/>
  <c r="CT5" i="6"/>
  <c r="CG30" i="6"/>
  <c r="I24" i="96"/>
  <c r="I24" i="76"/>
  <c r="I24" i="74"/>
  <c r="I24" i="68"/>
  <c r="CT29" i="6"/>
  <c r="CO29" i="6" s="1"/>
  <c r="CT23" i="6"/>
  <c r="CO23" i="6" s="1"/>
  <c r="CT3" i="6"/>
  <c r="CO3" i="6" s="1"/>
  <c r="AH35" i="97"/>
  <c r="CT11" i="6"/>
  <c r="CO11" i="6" s="1"/>
  <c r="AA35" i="97"/>
  <c r="AF35" i="97" s="1"/>
  <c r="AB36" i="97"/>
  <c r="AB37" i="97"/>
  <c r="AB38" i="97"/>
  <c r="AB39" i="97"/>
  <c r="CG31" i="6"/>
  <c r="AA38" i="97"/>
  <c r="AA40" i="97"/>
  <c r="CT28" i="6"/>
  <c r="CO28" i="6" s="1"/>
  <c r="CT22" i="6"/>
  <c r="CO22" i="6" s="1"/>
  <c r="CT16" i="6"/>
  <c r="CO16" i="6" s="1"/>
  <c r="CT10" i="6"/>
  <c r="CO10" i="6" s="1"/>
  <c r="CT4" i="6"/>
  <c r="CO4" i="6" s="1"/>
  <c r="AH37" i="97"/>
  <c r="AH38" i="97"/>
  <c r="AH39" i="97"/>
  <c r="AH40" i="97"/>
  <c r="CT33" i="6"/>
  <c r="CO33" i="6" s="1"/>
  <c r="CT27" i="6"/>
  <c r="CO27" i="6" s="1"/>
  <c r="CT21" i="6"/>
  <c r="CO21" i="6" s="1"/>
  <c r="CT15" i="6"/>
  <c r="CO15" i="6" s="1"/>
  <c r="CT9" i="6"/>
  <c r="CO9" i="6" s="1"/>
  <c r="CG28" i="6"/>
  <c r="AA39" i="97"/>
  <c r="AB40" i="97"/>
  <c r="H43" i="78"/>
  <c r="AQ24" i="97"/>
  <c r="CG29" i="6"/>
  <c r="CT32" i="6"/>
  <c r="CO32" i="6" s="1"/>
  <c r="CT26" i="6"/>
  <c r="CO26" i="6" s="1"/>
  <c r="CT20" i="6"/>
  <c r="CO20" i="6" s="1"/>
  <c r="CT14" i="6"/>
  <c r="CO14" i="6" s="1"/>
  <c r="CT8" i="6"/>
  <c r="CO8" i="6" s="1"/>
  <c r="CG33" i="6"/>
  <c r="CT31" i="6"/>
  <c r="CO31" i="6" s="1"/>
  <c r="CT25" i="6"/>
  <c r="CO25" i="6" s="1"/>
  <c r="CT19" i="6"/>
  <c r="CO19" i="6" s="1"/>
  <c r="CT13" i="6"/>
  <c r="CO13" i="6" s="1"/>
  <c r="CT7" i="6"/>
  <c r="CO7" i="6" s="1"/>
  <c r="CG32" i="6"/>
  <c r="BS28" i="6"/>
  <c r="J46" i="72"/>
  <c r="Q46" i="72" s="1"/>
  <c r="O41" i="97"/>
  <c r="M41" i="97"/>
  <c r="BS7" i="6"/>
  <c r="J46" i="82"/>
  <c r="E29" i="3"/>
  <c r="F29" i="3" s="1"/>
  <c r="AH41" i="97"/>
  <c r="AH42" i="97" s="1"/>
  <c r="BS3" i="6"/>
  <c r="BU3" i="6" s="1"/>
  <c r="CO30" i="6"/>
  <c r="CO24" i="6"/>
  <c r="CO18" i="6"/>
  <c r="CO12" i="6"/>
  <c r="CO6" i="6"/>
  <c r="CO17" i="6"/>
  <c r="CO5" i="6"/>
  <c r="BS8" i="6"/>
  <c r="J46" i="83"/>
  <c r="AT20" i="97"/>
  <c r="J46" i="42"/>
  <c r="Q46" i="42" s="1"/>
  <c r="J46" i="85"/>
  <c r="BS10" i="6"/>
  <c r="J46" i="76"/>
  <c r="Q46" i="76" s="1"/>
  <c r="J46" i="95"/>
  <c r="Q46" i="95" s="1"/>
  <c r="J46" i="89"/>
  <c r="Q46" i="89" s="1"/>
  <c r="BS14" i="6"/>
  <c r="J46" i="75"/>
  <c r="J46" i="69"/>
  <c r="Q46" i="69" s="1"/>
  <c r="J46" i="88"/>
  <c r="Q46" i="88" s="1"/>
  <c r="BS13" i="6"/>
  <c r="J46" i="93"/>
  <c r="Q46" i="93" s="1"/>
  <c r="BS18" i="6"/>
  <c r="J46" i="87"/>
  <c r="BS12" i="6"/>
  <c r="J46" i="91"/>
  <c r="Q46" i="91" s="1"/>
  <c r="BS16" i="6"/>
  <c r="J46" i="96"/>
  <c r="J46" i="67"/>
  <c r="J46" i="92"/>
  <c r="BS17" i="6"/>
  <c r="N40" i="85"/>
  <c r="N40" i="86" s="1"/>
  <c r="J45" i="67"/>
  <c r="J41" i="77"/>
  <c r="J43" i="71"/>
  <c r="J43" i="96"/>
  <c r="J43" i="90"/>
  <c r="J45" i="72"/>
  <c r="Q45" i="72" s="1"/>
  <c r="J45" i="42"/>
  <c r="Q45" i="42" s="1"/>
  <c r="J45" i="91"/>
  <c r="Q45" i="91" s="1"/>
  <c r="J43" i="67"/>
  <c r="J45" i="93"/>
  <c r="Q45" i="93" s="1"/>
  <c r="J43" i="76"/>
  <c r="J43" i="70"/>
  <c r="J43" i="95"/>
  <c r="J43" i="89"/>
  <c r="Q43" i="89" s="1"/>
  <c r="J43" i="83"/>
  <c r="J43" i="77"/>
  <c r="Q43" i="77" s="1"/>
  <c r="J45" i="71"/>
  <c r="J45" i="96"/>
  <c r="Q45" i="96" s="1"/>
  <c r="J45" i="90"/>
  <c r="Q45" i="90" s="1"/>
  <c r="J43" i="86"/>
  <c r="J45" i="68"/>
  <c r="Q45" i="68" s="1"/>
  <c r="J45" i="87"/>
  <c r="Q45" i="87" s="1"/>
  <c r="J43" i="42"/>
  <c r="J43" i="91"/>
  <c r="J43" i="79"/>
  <c r="J45" i="73"/>
  <c r="Q45" i="73" s="1"/>
  <c r="J45" i="86"/>
  <c r="Q45" i="86" s="1"/>
  <c r="J43" i="75"/>
  <c r="J43" i="69"/>
  <c r="J43" i="94"/>
  <c r="Q43" i="94" s="1"/>
  <c r="J43" i="88"/>
  <c r="J43" i="82"/>
  <c r="J45" i="76"/>
  <c r="Q45" i="76" s="1"/>
  <c r="J45" i="70"/>
  <c r="J45" i="95"/>
  <c r="Q45" i="95" s="1"/>
  <c r="J45" i="89"/>
  <c r="Q45" i="89" s="1"/>
  <c r="J43" i="73"/>
  <c r="J43" i="92"/>
  <c r="Q43" i="92" s="1"/>
  <c r="J43" i="80"/>
  <c r="J45" i="74"/>
  <c r="Q45" i="74" s="1"/>
  <c r="J45" i="81"/>
  <c r="Q45" i="81" s="1"/>
  <c r="J43" i="72"/>
  <c r="J43" i="85"/>
  <c r="J45" i="92"/>
  <c r="Q45" i="92" s="1"/>
  <c r="J43" i="74"/>
  <c r="Q43" i="74" s="1"/>
  <c r="J43" i="68"/>
  <c r="J43" i="93"/>
  <c r="Q43" i="93" s="1"/>
  <c r="J43" i="81"/>
  <c r="J45" i="75"/>
  <c r="J45" i="69"/>
  <c r="Q45" i="69" s="1"/>
  <c r="J45" i="94"/>
  <c r="Q45" i="94" s="1"/>
  <c r="J45" i="88"/>
  <c r="Q45" i="88" s="1"/>
  <c r="G46" i="78"/>
  <c r="H46" i="78"/>
  <c r="J44" i="95"/>
  <c r="CR20" i="6"/>
  <c r="J44" i="75"/>
  <c r="CR31" i="6"/>
  <c r="J44" i="71"/>
  <c r="CR27" i="6"/>
  <c r="J44" i="67"/>
  <c r="CR23" i="6"/>
  <c r="J44" i="94"/>
  <c r="CR19" i="6"/>
  <c r="J44" i="90"/>
  <c r="CR15" i="6"/>
  <c r="J44" i="86"/>
  <c r="CR11" i="6"/>
  <c r="J44" i="82"/>
  <c r="CR7" i="6"/>
  <c r="J44" i="72"/>
  <c r="CR28" i="6"/>
  <c r="J44" i="91"/>
  <c r="CR16" i="6"/>
  <c r="J44" i="79"/>
  <c r="CR4" i="6"/>
  <c r="J44" i="74"/>
  <c r="CR30" i="6"/>
  <c r="J44" i="70"/>
  <c r="CR26" i="6"/>
  <c r="J44" i="42"/>
  <c r="CR22" i="6"/>
  <c r="J44" i="93"/>
  <c r="CR18" i="6"/>
  <c r="J44" i="89"/>
  <c r="CR14" i="6"/>
  <c r="CR10" i="6"/>
  <c r="J44" i="81"/>
  <c r="CR6" i="6"/>
  <c r="J44" i="76"/>
  <c r="CR32" i="6"/>
  <c r="J44" i="68"/>
  <c r="CR24" i="6"/>
  <c r="J44" i="87"/>
  <c r="CR12" i="6"/>
  <c r="J44" i="83"/>
  <c r="CR8" i="6"/>
  <c r="J44" i="73"/>
  <c r="CR29" i="6"/>
  <c r="J44" i="69"/>
  <c r="CR25" i="6"/>
  <c r="J44" i="96"/>
  <c r="CR21" i="6"/>
  <c r="J44" i="92"/>
  <c r="CR17" i="6"/>
  <c r="J44" i="88"/>
  <c r="CR13" i="6"/>
  <c r="J44" i="84"/>
  <c r="CR9" i="6"/>
  <c r="J44" i="80"/>
  <c r="CR5" i="6"/>
  <c r="J44" i="78"/>
  <c r="K44" i="78" s="1"/>
  <c r="CR3" i="6"/>
  <c r="J42" i="77"/>
  <c r="CR33" i="6"/>
  <c r="F42" i="77"/>
  <c r="F44" i="76"/>
  <c r="F48" i="76" s="1"/>
  <c r="F44" i="72"/>
  <c r="F44" i="75"/>
  <c r="F44" i="71"/>
  <c r="AT34" i="97"/>
  <c r="J44" i="77"/>
  <c r="F44" i="67"/>
  <c r="F44" i="86"/>
  <c r="F48" i="86" s="1"/>
  <c r="F44" i="70"/>
  <c r="F48" i="70" s="1"/>
  <c r="F44" i="42"/>
  <c r="F48" i="42" s="1"/>
  <c r="F44" i="93"/>
  <c r="F48" i="93" s="1"/>
  <c r="F44" i="89"/>
  <c r="F48" i="89" s="1"/>
  <c r="F44" i="85"/>
  <c r="F44" i="81"/>
  <c r="F44" i="90"/>
  <c r="F48" i="90" s="1"/>
  <c r="F44" i="69"/>
  <c r="F48" i="69" s="1"/>
  <c r="F44" i="96"/>
  <c r="F48" i="96" s="1"/>
  <c r="F44" i="92"/>
  <c r="F48" i="92" s="1"/>
  <c r="F44" i="88"/>
  <c r="F48" i="88" s="1"/>
  <c r="F44" i="84"/>
  <c r="F48" i="84" s="1"/>
  <c r="F44" i="80"/>
  <c r="F48" i="80" s="1"/>
  <c r="F44" i="94"/>
  <c r="F48" i="94" s="1"/>
  <c r="F44" i="82"/>
  <c r="F48" i="82" s="1"/>
  <c r="F44" i="68"/>
  <c r="F48" i="68" s="1"/>
  <c r="F44" i="95"/>
  <c r="F48" i="95" s="1"/>
  <c r="F44" i="91"/>
  <c r="F48" i="91" s="1"/>
  <c r="F44" i="87"/>
  <c r="F48" i="87" s="1"/>
  <c r="F44" i="78"/>
  <c r="H44" i="78" s="1"/>
  <c r="F45" i="75"/>
  <c r="F43" i="71"/>
  <c r="F43" i="72"/>
  <c r="F44" i="73"/>
  <c r="F48" i="73" s="1"/>
  <c r="F44" i="74"/>
  <c r="F48" i="74" s="1"/>
  <c r="AT17" i="97"/>
  <c r="AS33" i="6"/>
  <c r="J46" i="73"/>
  <c r="J46" i="71"/>
  <c r="F46" i="75"/>
  <c r="J46" i="74"/>
  <c r="AT11" i="97"/>
  <c r="AT27" i="97"/>
  <c r="AV15" i="6"/>
  <c r="J46" i="68"/>
  <c r="J46" i="70"/>
  <c r="AV23" i="6"/>
  <c r="F43" i="67"/>
  <c r="J46" i="94"/>
  <c r="J46" i="90"/>
  <c r="H40" i="94"/>
  <c r="H40" i="95" s="1"/>
  <c r="H40" i="96" s="1"/>
  <c r="H40" i="42" s="1"/>
  <c r="H40" i="67" s="1"/>
  <c r="H40" i="68" s="1"/>
  <c r="H40" i="69" s="1"/>
  <c r="H40" i="70" s="1"/>
  <c r="H40" i="71" s="1"/>
  <c r="H40" i="72" s="1"/>
  <c r="H40" i="73" s="1"/>
  <c r="H40" i="74" s="1"/>
  <c r="H40" i="75" s="1"/>
  <c r="H40" i="76" s="1"/>
  <c r="H38" i="77" s="1"/>
  <c r="AS28" i="6"/>
  <c r="AS24" i="6"/>
  <c r="AS20" i="6"/>
  <c r="AS16" i="6"/>
  <c r="AS4" i="6"/>
  <c r="AV30" i="6"/>
  <c r="AV26" i="6"/>
  <c r="AV22" i="6"/>
  <c r="AV18" i="6"/>
  <c r="AV14" i="6"/>
  <c r="BB29" i="6"/>
  <c r="AS30" i="6"/>
  <c r="AS26" i="6"/>
  <c r="AS22" i="6"/>
  <c r="AS18" i="6"/>
  <c r="AS14" i="6"/>
  <c r="AV32" i="6"/>
  <c r="AV28" i="6"/>
  <c r="AV24" i="6"/>
  <c r="AV20" i="6"/>
  <c r="AV16" i="6"/>
  <c r="AV12" i="6"/>
  <c r="J43" i="87"/>
  <c r="AY33" i="6"/>
  <c r="AY29" i="6"/>
  <c r="AY25" i="6"/>
  <c r="AY21" i="6"/>
  <c r="AY17" i="6"/>
  <c r="AY13" i="6"/>
  <c r="AY5" i="6"/>
  <c r="AT22" i="97"/>
  <c r="AS25" i="6"/>
  <c r="AS12" i="6"/>
  <c r="AT10" i="97"/>
  <c r="J46" i="86"/>
  <c r="AT31" i="97"/>
  <c r="AT23" i="97"/>
  <c r="AT19" i="97"/>
  <c r="AT15" i="97"/>
  <c r="AT7" i="97"/>
  <c r="AT29" i="97"/>
  <c r="AT25" i="97"/>
  <c r="AS10" i="6"/>
  <c r="J44" i="85"/>
  <c r="AV4" i="6"/>
  <c r="AT18" i="97"/>
  <c r="AT14" i="97"/>
  <c r="AV7" i="6"/>
  <c r="AV10" i="6"/>
  <c r="F43" i="85"/>
  <c r="AV33" i="6"/>
  <c r="AY30" i="6"/>
  <c r="AY26" i="6"/>
  <c r="AY18" i="6"/>
  <c r="AY14" i="6"/>
  <c r="AY10" i="6"/>
  <c r="J45" i="85"/>
  <c r="AT9" i="97"/>
  <c r="AY22" i="6"/>
  <c r="F44" i="79"/>
  <c r="F48" i="79" s="1"/>
  <c r="BB3" i="6"/>
  <c r="BB22" i="6"/>
  <c r="BB18" i="6"/>
  <c r="BB14" i="6"/>
  <c r="BB10" i="6"/>
  <c r="AV13" i="6"/>
  <c r="AS6" i="6"/>
  <c r="AY32" i="6"/>
  <c r="AY28" i="6"/>
  <c r="AY24" i="6"/>
  <c r="AY20" i="6"/>
  <c r="AY16" i="6"/>
  <c r="AY12" i="6"/>
  <c r="AY8" i="6"/>
  <c r="J45" i="83"/>
  <c r="BB25" i="6"/>
  <c r="BB21" i="6"/>
  <c r="BB17" i="6"/>
  <c r="BB13" i="6"/>
  <c r="BB9" i="6"/>
  <c r="J46" i="84"/>
  <c r="BB5" i="6"/>
  <c r="AY9" i="6"/>
  <c r="J45" i="84"/>
  <c r="BB6" i="6"/>
  <c r="J46" i="81"/>
  <c r="AY31" i="6"/>
  <c r="AY27" i="6"/>
  <c r="AY23" i="6"/>
  <c r="AY19" i="6"/>
  <c r="AY15" i="6"/>
  <c r="AY11" i="6"/>
  <c r="AY7" i="6"/>
  <c r="J45" i="82"/>
  <c r="BB32" i="6"/>
  <c r="BB28" i="6"/>
  <c r="BB24" i="6"/>
  <c r="BB20" i="6"/>
  <c r="BB16" i="6"/>
  <c r="BB12" i="6"/>
  <c r="BB8" i="6"/>
  <c r="BB4" i="6"/>
  <c r="J45" i="80"/>
  <c r="Q45" i="80" s="1"/>
  <c r="AY6" i="6"/>
  <c r="AV8" i="6"/>
  <c r="AS8" i="6"/>
  <c r="F44" i="83"/>
  <c r="F48" i="83" s="1"/>
  <c r="AS31" i="6"/>
  <c r="AV6" i="6"/>
  <c r="F43" i="81"/>
  <c r="AV29" i="6"/>
  <c r="AV25" i="6"/>
  <c r="AV21" i="6"/>
  <c r="AV17" i="6"/>
  <c r="AV9" i="6"/>
  <c r="J43" i="84"/>
  <c r="BB23" i="6"/>
  <c r="BB7" i="6"/>
  <c r="J46" i="80"/>
  <c r="J45" i="78"/>
  <c r="L45" i="78" s="1"/>
  <c r="G43" i="78"/>
  <c r="H45" i="79"/>
  <c r="H45" i="80" s="1"/>
  <c r="H45" i="81" s="1"/>
  <c r="H45" i="82" s="1"/>
  <c r="H45" i="83" s="1"/>
  <c r="H45" i="84" s="1"/>
  <c r="H45" i="85" s="1"/>
  <c r="H45" i="86" s="1"/>
  <c r="H45" i="87" s="1"/>
  <c r="H45" i="88" s="1"/>
  <c r="H45" i="89" s="1"/>
  <c r="H45" i="90" s="1"/>
  <c r="H45" i="91" s="1"/>
  <c r="H45" i="92" s="1"/>
  <c r="H45" i="93" s="1"/>
  <c r="H45" i="94" s="1"/>
  <c r="H45" i="95" s="1"/>
  <c r="H45" i="96" s="1"/>
  <c r="H45" i="42" s="1"/>
  <c r="H45" i="67" s="1"/>
  <c r="H45" i="68" s="1"/>
  <c r="H45" i="69" s="1"/>
  <c r="G45" i="78"/>
  <c r="G45" i="79" s="1"/>
  <c r="G45" i="80" s="1"/>
  <c r="G45" i="81" s="1"/>
  <c r="G45" i="82" s="1"/>
  <c r="G45" i="83" s="1"/>
  <c r="G45" i="84" s="1"/>
  <c r="G45" i="85" s="1"/>
  <c r="G45" i="86" s="1"/>
  <c r="G45" i="87" s="1"/>
  <c r="G45" i="88" s="1"/>
  <c r="G45" i="89" s="1"/>
  <c r="G45" i="90" s="1"/>
  <c r="AY3" i="6"/>
  <c r="J43" i="78"/>
  <c r="AT32" i="97"/>
  <c r="AT24" i="97"/>
  <c r="AT16" i="97"/>
  <c r="AT12" i="97"/>
  <c r="AT8" i="97"/>
  <c r="BB26" i="6"/>
  <c r="BB30" i="6"/>
  <c r="BB19" i="6"/>
  <c r="BB15" i="6"/>
  <c r="BB11" i="6"/>
  <c r="J46" i="79"/>
  <c r="J46" i="78"/>
  <c r="P40" i="78" s="1"/>
  <c r="AV5" i="6"/>
  <c r="AY4" i="6"/>
  <c r="J45" i="79"/>
  <c r="BB31" i="6"/>
  <c r="BB27" i="6"/>
  <c r="AX35" i="6"/>
  <c r="AV31" i="6"/>
  <c r="AV19" i="6"/>
  <c r="AV11" i="6"/>
  <c r="BA35" i="6"/>
  <c r="AZ34" i="6"/>
  <c r="BB33" i="6"/>
  <c r="AV27" i="6"/>
  <c r="AS27" i="6"/>
  <c r="BA34" i="6"/>
  <c r="AZ35" i="6"/>
  <c r="AU35" i="6"/>
  <c r="AS5" i="6"/>
  <c r="AS9" i="6"/>
  <c r="AS13" i="6"/>
  <c r="AS17" i="6"/>
  <c r="AS21" i="6"/>
  <c r="AQ35" i="6"/>
  <c r="AV3" i="6"/>
  <c r="AX34" i="6"/>
  <c r="AS32" i="6"/>
  <c r="AR35" i="6"/>
  <c r="AW34" i="6"/>
  <c r="AS7" i="6"/>
  <c r="AS11" i="6"/>
  <c r="AS15" i="6"/>
  <c r="AS19" i="6"/>
  <c r="AS23" i="6"/>
  <c r="AT35" i="6"/>
  <c r="AS29" i="6"/>
  <c r="AT34" i="6"/>
  <c r="AS3" i="6"/>
  <c r="AQ34" i="6"/>
  <c r="AU34" i="6"/>
  <c r="AR34" i="6"/>
  <c r="AW35" i="6"/>
  <c r="AM35" i="97"/>
  <c r="AG36" i="97"/>
  <c r="AR27" i="97"/>
  <c r="AR31" i="97"/>
  <c r="AS22" i="97"/>
  <c r="R33" i="3"/>
  <c r="AR34" i="97"/>
  <c r="AM37" i="97"/>
  <c r="AS9" i="97"/>
  <c r="AS10" i="97"/>
  <c r="AR12" i="97"/>
  <c r="AS19" i="97"/>
  <c r="AR23" i="97"/>
  <c r="AP20" i="97"/>
  <c r="AP8" i="97"/>
  <c r="R17" i="3"/>
  <c r="AS20" i="97"/>
  <c r="AR29" i="97"/>
  <c r="AR7" i="97"/>
  <c r="AS23" i="97"/>
  <c r="AS24" i="97"/>
  <c r="AR32" i="97"/>
  <c r="AM36" i="97"/>
  <c r="AS18" i="97"/>
  <c r="AR22" i="97"/>
  <c r="AR25" i="97"/>
  <c r="AR33" i="97"/>
  <c r="AG37" i="97"/>
  <c r="AS32" i="97"/>
  <c r="AN41" i="97"/>
  <c r="AS27" i="97"/>
  <c r="AS31" i="97"/>
  <c r="AM38" i="97"/>
  <c r="AG38" i="97"/>
  <c r="AM40" i="97"/>
  <c r="AG40" i="97"/>
  <c r="AS8" i="97"/>
  <c r="AR9" i="97"/>
  <c r="AR10" i="97"/>
  <c r="AR11" i="97"/>
  <c r="AS25" i="97"/>
  <c r="AS13" i="97"/>
  <c r="AS29" i="97"/>
  <c r="AS33" i="97"/>
  <c r="AM39" i="97"/>
  <c r="AG39" i="97"/>
  <c r="AR14" i="97"/>
  <c r="AR15" i="97"/>
  <c r="AR16" i="97"/>
  <c r="AR17" i="97"/>
  <c r="AR18" i="97"/>
  <c r="AR19" i="97"/>
  <c r="AR20" i="97"/>
  <c r="AR13" i="97"/>
  <c r="AS14" i="97"/>
  <c r="AS15" i="97"/>
  <c r="AS16" i="97"/>
  <c r="AS17" i="97"/>
  <c r="AG35" i="97"/>
  <c r="H45" i="70" l="1"/>
  <c r="H45" i="71" s="1"/>
  <c r="H45" i="72" s="1"/>
  <c r="H45" i="73" s="1"/>
  <c r="H45" i="74" s="1"/>
  <c r="H45" i="75" s="1"/>
  <c r="H45" i="76" s="1"/>
  <c r="H43" i="77" s="1"/>
  <c r="Q45" i="70"/>
  <c r="S33" i="3"/>
  <c r="I21" i="77" s="1"/>
  <c r="J48" i="93"/>
  <c r="S17" i="3"/>
  <c r="I23" i="92" s="1"/>
  <c r="M32" i="92" s="1"/>
  <c r="F46" i="77"/>
  <c r="J48" i="67"/>
  <c r="Q45" i="71"/>
  <c r="J48" i="76"/>
  <c r="I24" i="73"/>
  <c r="J48" i="72"/>
  <c r="J48" i="73"/>
  <c r="Q48" i="73" s="1"/>
  <c r="J48" i="74"/>
  <c r="Q43" i="69"/>
  <c r="J48" i="69"/>
  <c r="J48" i="68"/>
  <c r="J48" i="75"/>
  <c r="Q43" i="70"/>
  <c r="J48" i="70"/>
  <c r="J48" i="71"/>
  <c r="F48" i="71"/>
  <c r="F48" i="75"/>
  <c r="F48" i="72"/>
  <c r="Q43" i="68"/>
  <c r="J48" i="94"/>
  <c r="Q46" i="67"/>
  <c r="Q46" i="96"/>
  <c r="Q43" i="95"/>
  <c r="J48" i="95"/>
  <c r="Q45" i="67"/>
  <c r="Q43" i="42"/>
  <c r="J48" i="42"/>
  <c r="Q43" i="96"/>
  <c r="J48" i="96"/>
  <c r="F48" i="67"/>
  <c r="Q46" i="92"/>
  <c r="J48" i="92"/>
  <c r="Q43" i="91"/>
  <c r="J48" i="91"/>
  <c r="Q43" i="90"/>
  <c r="J48" i="90"/>
  <c r="J48" i="88"/>
  <c r="F48" i="85"/>
  <c r="J48" i="86"/>
  <c r="J48" i="89"/>
  <c r="J48" i="87"/>
  <c r="J48" i="84"/>
  <c r="Q48" i="84" s="1"/>
  <c r="Q46" i="85"/>
  <c r="J48" i="85"/>
  <c r="F48" i="81"/>
  <c r="J48" i="81"/>
  <c r="J48" i="82"/>
  <c r="Q48" i="82" s="1"/>
  <c r="F48" i="78"/>
  <c r="J48" i="78"/>
  <c r="J48" i="80"/>
  <c r="J48" i="83"/>
  <c r="H48" i="78"/>
  <c r="L45" i="79"/>
  <c r="L45" i="80" s="1"/>
  <c r="L45" i="81" s="1"/>
  <c r="L45" i="82" s="1"/>
  <c r="H46" i="79"/>
  <c r="H46" i="80" s="1"/>
  <c r="H46" i="81" s="1"/>
  <c r="H46" i="82" s="1"/>
  <c r="H46" i="83" s="1"/>
  <c r="H46" i="84" s="1"/>
  <c r="H46" i="85" s="1"/>
  <c r="H46" i="86" s="1"/>
  <c r="G46" i="79"/>
  <c r="G46" i="80" s="1"/>
  <c r="G46" i="81" s="1"/>
  <c r="G46" i="82" s="1"/>
  <c r="G46" i="83" s="1"/>
  <c r="G46" i="84" s="1"/>
  <c r="G46" i="85" s="1"/>
  <c r="G46" i="86" s="1"/>
  <c r="J48" i="79"/>
  <c r="Q48" i="79" s="1"/>
  <c r="AF24" i="97"/>
  <c r="AL24" i="97" s="1"/>
  <c r="AL32" i="97"/>
  <c r="AF25" i="97"/>
  <c r="AL25" i="97" s="1"/>
  <c r="AF16" i="97"/>
  <c r="AL16" i="97" s="1"/>
  <c r="AF10" i="97"/>
  <c r="AL10" i="97" s="1"/>
  <c r="AL27" i="97"/>
  <c r="AF18" i="97"/>
  <c r="AL18" i="97" s="1"/>
  <c r="AF13" i="97"/>
  <c r="AL13" i="97" s="1"/>
  <c r="AF8" i="97"/>
  <c r="AL8" i="97" s="1"/>
  <c r="AF7" i="97"/>
  <c r="AL7" i="97" s="1"/>
  <c r="Q41" i="77"/>
  <c r="J46" i="77"/>
  <c r="AL31" i="97"/>
  <c r="AQ23" i="97"/>
  <c r="AF23" i="97"/>
  <c r="AL23" i="97" s="1"/>
  <c r="AF19" i="97"/>
  <c r="AL19" i="97" s="1"/>
  <c r="AF12" i="97"/>
  <c r="AL12" i="97" s="1"/>
  <c r="AF14" i="97"/>
  <c r="AL14" i="97" s="1"/>
  <c r="AL30" i="97"/>
  <c r="AQ22" i="97"/>
  <c r="AF22" i="97"/>
  <c r="AL22" i="97" s="1"/>
  <c r="AF11" i="97"/>
  <c r="AL11" i="97" s="1"/>
  <c r="AL29" i="97"/>
  <c r="AF15" i="97"/>
  <c r="AL15" i="97" s="1"/>
  <c r="Q43" i="76"/>
  <c r="AF20" i="97"/>
  <c r="AL20" i="97" s="1"/>
  <c r="AF17" i="97"/>
  <c r="AL17" i="97" s="1"/>
  <c r="AF9" i="97"/>
  <c r="AL9" i="97" s="1"/>
  <c r="Q43" i="75"/>
  <c r="AT33" i="97"/>
  <c r="AL33" i="97"/>
  <c r="Q43" i="73"/>
  <c r="AO41" i="97"/>
  <c r="AM41" i="97"/>
  <c r="Q43" i="80"/>
  <c r="Q43" i="86"/>
  <c r="Q43" i="88"/>
  <c r="Q43" i="79"/>
  <c r="AC41" i="97"/>
  <c r="AG41" i="97"/>
  <c r="AR30" i="97"/>
  <c r="AT30" i="97"/>
  <c r="AD41" i="97"/>
  <c r="AD42" i="97" s="1"/>
  <c r="AT13" i="97"/>
  <c r="AT41" i="97" s="1"/>
  <c r="Q43" i="83"/>
  <c r="Q46" i="87"/>
  <c r="CT34" i="6"/>
  <c r="AL34" i="97"/>
  <c r="AS30" i="97"/>
  <c r="Q44" i="72"/>
  <c r="AR24" i="97"/>
  <c r="AF40" i="97"/>
  <c r="AK40" i="97" s="1"/>
  <c r="AF38" i="97"/>
  <c r="AK38" i="97" s="1"/>
  <c r="AQ7" i="97"/>
  <c r="AQ8" i="97"/>
  <c r="AQ14" i="97"/>
  <c r="AQ10" i="97"/>
  <c r="AQ12" i="97"/>
  <c r="AQ11" i="97"/>
  <c r="EL5" i="1"/>
  <c r="Q43" i="72"/>
  <c r="AL35" i="97"/>
  <c r="AQ25" i="97"/>
  <c r="Q40" i="83"/>
  <c r="AQ15" i="97"/>
  <c r="AQ20" i="97"/>
  <c r="AQ9" i="97"/>
  <c r="Q43" i="82"/>
  <c r="AQ33" i="97"/>
  <c r="AQ32" i="97"/>
  <c r="AQ18" i="97"/>
  <c r="AF36" i="97"/>
  <c r="AL36" i="97" s="1"/>
  <c r="AQ31" i="97"/>
  <c r="AF39" i="97"/>
  <c r="AK39" i="97" s="1"/>
  <c r="AQ16" i="97"/>
  <c r="AQ13" i="97"/>
  <c r="AQ29" i="97"/>
  <c r="AQ30" i="97"/>
  <c r="AF37" i="97"/>
  <c r="AL37" i="97" s="1"/>
  <c r="AQ19" i="97"/>
  <c r="N40" i="87"/>
  <c r="N40" i="88" s="1"/>
  <c r="N40" i="89" s="1"/>
  <c r="AQ17" i="97"/>
  <c r="AS12" i="97"/>
  <c r="Q43" i="85"/>
  <c r="AS11" i="97"/>
  <c r="AR8" i="97"/>
  <c r="AS7" i="97"/>
  <c r="Q43" i="67"/>
  <c r="Q44" i="92"/>
  <c r="Q45" i="75"/>
  <c r="AQ34" i="97"/>
  <c r="AS34" i="97"/>
  <c r="L44" i="78"/>
  <c r="L44" i="79" s="1"/>
  <c r="Q44" i="67"/>
  <c r="Q44" i="85"/>
  <c r="Q44" i="81"/>
  <c r="BS35" i="6"/>
  <c r="AQ27" i="97"/>
  <c r="Q44" i="94"/>
  <c r="Q44" i="83"/>
  <c r="Q44" i="71"/>
  <c r="Q44" i="73"/>
  <c r="AR41" i="97"/>
  <c r="AR42" i="97" s="1"/>
  <c r="Q44" i="75"/>
  <c r="Q44" i="87"/>
  <c r="Q44" i="91"/>
  <c r="G44" i="78"/>
  <c r="G48" i="78" s="1"/>
  <c r="K44" i="79"/>
  <c r="BB34" i="6"/>
  <c r="Q44" i="84"/>
  <c r="Q44" i="69"/>
  <c r="Q42" i="77"/>
  <c r="Q44" i="76"/>
  <c r="Q44" i="42"/>
  <c r="Q44" i="93"/>
  <c r="Q44" i="86"/>
  <c r="Q44" i="89"/>
  <c r="Q44" i="68"/>
  <c r="Q44" i="90"/>
  <c r="Q44" i="95"/>
  <c r="Q44" i="77"/>
  <c r="Q43" i="71"/>
  <c r="Q44" i="88"/>
  <c r="Q44" i="70"/>
  <c r="Q44" i="82"/>
  <c r="Q44" i="80"/>
  <c r="Q44" i="96"/>
  <c r="Q44" i="74"/>
  <c r="Q46" i="80"/>
  <c r="Q46" i="79"/>
  <c r="Q46" i="71"/>
  <c r="Q46" i="75"/>
  <c r="Q46" i="74"/>
  <c r="Q46" i="73"/>
  <c r="Q46" i="70"/>
  <c r="Q46" i="68"/>
  <c r="G45" i="91"/>
  <c r="G45" i="92" s="1"/>
  <c r="G45" i="93" s="1"/>
  <c r="G45" i="94" s="1"/>
  <c r="G45" i="95" s="1"/>
  <c r="G45" i="96" s="1"/>
  <c r="G45" i="42" s="1"/>
  <c r="Q46" i="90"/>
  <c r="Q46" i="94"/>
  <c r="Q43" i="87"/>
  <c r="Q46" i="86"/>
  <c r="H44" i="79"/>
  <c r="Q45" i="85"/>
  <c r="Q44" i="79"/>
  <c r="BR4" i="6"/>
  <c r="BU4" i="6" s="1"/>
  <c r="Q46" i="82"/>
  <c r="Q46" i="81"/>
  <c r="BS34" i="6"/>
  <c r="Q46" i="83"/>
  <c r="Q43" i="81"/>
  <c r="Q45" i="84"/>
  <c r="Q45" i="82"/>
  <c r="Q43" i="84"/>
  <c r="Q46" i="84"/>
  <c r="Q45" i="83"/>
  <c r="Q45" i="79"/>
  <c r="K45" i="78"/>
  <c r="K45" i="79" s="1"/>
  <c r="H43" i="79"/>
  <c r="L43" i="78"/>
  <c r="K43" i="78"/>
  <c r="G43" i="79"/>
  <c r="Q46" i="78"/>
  <c r="L46" i="78"/>
  <c r="L46" i="79" s="1"/>
  <c r="L46" i="80" s="1"/>
  <c r="K46" i="78"/>
  <c r="K46" i="79" s="1"/>
  <c r="K46" i="80" s="1"/>
  <c r="AV34" i="6"/>
  <c r="AY34" i="6"/>
  <c r="AS34" i="6"/>
  <c r="AP25" i="97"/>
  <c r="AP41" i="97" s="1"/>
  <c r="K27" i="55"/>
  <c r="K28" i="55"/>
  <c r="L48" i="78" l="1"/>
  <c r="Q46" i="77"/>
  <c r="L45" i="83"/>
  <c r="G45" i="67"/>
  <c r="N40" i="90"/>
  <c r="N40" i="91" s="1"/>
  <c r="H46" i="87"/>
  <c r="H46" i="88" s="1"/>
  <c r="H46" i="89" s="1"/>
  <c r="H46" i="90" s="1"/>
  <c r="G46" i="87"/>
  <c r="G46" i="88" s="1"/>
  <c r="G46" i="89" s="1"/>
  <c r="G46" i="90" s="1"/>
  <c r="K45" i="80"/>
  <c r="K45" i="81" s="1"/>
  <c r="K45" i="82" s="1"/>
  <c r="K48" i="78"/>
  <c r="H44" i="80"/>
  <c r="H48" i="79"/>
  <c r="L44" i="80"/>
  <c r="K44" i="80"/>
  <c r="Q48" i="75"/>
  <c r="AS41" i="97"/>
  <c r="AQ41" i="97"/>
  <c r="K43" i="79"/>
  <c r="K48" i="79" s="1"/>
  <c r="Q48" i="87"/>
  <c r="Q48" i="95"/>
  <c r="Q48" i="69"/>
  <c r="Q48" i="93"/>
  <c r="Q48" i="70"/>
  <c r="Q48" i="88"/>
  <c r="Q48" i="89"/>
  <c r="Q48" i="96"/>
  <c r="Q48" i="80"/>
  <c r="Q48" i="68"/>
  <c r="Q48" i="90"/>
  <c r="Q48" i="76"/>
  <c r="Q48" i="42"/>
  <c r="Q48" i="86"/>
  <c r="EV5" i="1"/>
  <c r="EU5" i="1"/>
  <c r="AF41" i="97"/>
  <c r="L40" i="85"/>
  <c r="L40" i="86" s="1"/>
  <c r="L40" i="87" s="1"/>
  <c r="L40" i="88" s="1"/>
  <c r="L40" i="89" s="1"/>
  <c r="AK37" i="97"/>
  <c r="AK35" i="97"/>
  <c r="AK13" i="97"/>
  <c r="AK29" i="97"/>
  <c r="AK22" i="97"/>
  <c r="AK23" i="97"/>
  <c r="Q48" i="91"/>
  <c r="Q48" i="92"/>
  <c r="Q48" i="67"/>
  <c r="BR5" i="6"/>
  <c r="BU5" i="6" s="1"/>
  <c r="I40" i="79"/>
  <c r="P40" i="79" s="1"/>
  <c r="L43" i="79"/>
  <c r="L43" i="80" s="1"/>
  <c r="L43" i="81" s="1"/>
  <c r="L43" i="82" s="1"/>
  <c r="L43" i="83" s="1"/>
  <c r="AK34" i="97"/>
  <c r="Q48" i="71"/>
  <c r="G44" i="79"/>
  <c r="Q48" i="94"/>
  <c r="Q48" i="72"/>
  <c r="Q48" i="81"/>
  <c r="Q48" i="74"/>
  <c r="Q48" i="83"/>
  <c r="Q48" i="85"/>
  <c r="AK12" i="97"/>
  <c r="AK33" i="97"/>
  <c r="AK7" i="97"/>
  <c r="G43" i="80"/>
  <c r="H43" i="80"/>
  <c r="I48" i="79"/>
  <c r="AK24" i="97"/>
  <c r="AK32" i="97"/>
  <c r="AK27" i="97"/>
  <c r="AK36" i="97"/>
  <c r="AK11" i="97"/>
  <c r="AK14" i="97"/>
  <c r="AK25" i="97"/>
  <c r="AK31" i="97"/>
  <c r="AK10" i="97"/>
  <c r="AK9" i="97"/>
  <c r="AK16" i="97"/>
  <c r="AK20" i="97"/>
  <c r="AK17" i="97"/>
  <c r="AK19" i="97"/>
  <c r="AK8" i="97"/>
  <c r="AK30" i="97"/>
  <c r="AK15" i="97"/>
  <c r="AK18" i="97"/>
  <c r="K45" i="83" l="1"/>
  <c r="K45" i="84" s="1"/>
  <c r="K45" i="85" s="1"/>
  <c r="K45" i="86" s="1"/>
  <c r="K45" i="87" s="1"/>
  <c r="K45" i="88" s="1"/>
  <c r="K45" i="89" s="1"/>
  <c r="K45" i="90" s="1"/>
  <c r="K45" i="91" s="1"/>
  <c r="K45" i="92" s="1"/>
  <c r="K45" i="93" s="1"/>
  <c r="K45" i="94" s="1"/>
  <c r="K45" i="95" s="1"/>
  <c r="K45" i="96" s="1"/>
  <c r="K45" i="42" s="1"/>
  <c r="K45" i="67" s="1"/>
  <c r="L45" i="84"/>
  <c r="L45" i="85" s="1"/>
  <c r="L45" i="86" s="1"/>
  <c r="L45" i="87" s="1"/>
  <c r="L45" i="88" s="1"/>
  <c r="L45" i="89" s="1"/>
  <c r="L45" i="90" s="1"/>
  <c r="L45" i="91" s="1"/>
  <c r="L45" i="92" s="1"/>
  <c r="L45" i="93" s="1"/>
  <c r="L45" i="94" s="1"/>
  <c r="L45" i="95" s="1"/>
  <c r="L43" i="84"/>
  <c r="L43" i="85" s="1"/>
  <c r="L43" i="86" s="1"/>
  <c r="G45" i="68"/>
  <c r="G45" i="69" s="1"/>
  <c r="N40" i="92"/>
  <c r="N40" i="93" s="1"/>
  <c r="N40" i="94" s="1"/>
  <c r="L40" i="90"/>
  <c r="L40" i="91" s="1"/>
  <c r="G46" i="91"/>
  <c r="H46" i="91"/>
  <c r="H46" i="92" s="1"/>
  <c r="H46" i="93" s="1"/>
  <c r="L48" i="79"/>
  <c r="G44" i="80"/>
  <c r="G48" i="79"/>
  <c r="H44" i="81"/>
  <c r="H48" i="80"/>
  <c r="K44" i="81"/>
  <c r="L44" i="81"/>
  <c r="L48" i="80"/>
  <c r="K43" i="80"/>
  <c r="K48" i="80" s="1"/>
  <c r="K40" i="85"/>
  <c r="K40" i="86" s="1"/>
  <c r="K40" i="87" s="1"/>
  <c r="K40" i="88" s="1"/>
  <c r="K40" i="89" s="1"/>
  <c r="AK41" i="97"/>
  <c r="AL41" i="97"/>
  <c r="BR6" i="6"/>
  <c r="BU6" i="6" s="1"/>
  <c r="I40" i="80"/>
  <c r="P40" i="80" s="1"/>
  <c r="H43" i="81"/>
  <c r="L46" i="81"/>
  <c r="L46" i="82" s="1"/>
  <c r="L46" i="83" s="1"/>
  <c r="L46" i="84" s="1"/>
  <c r="G43" i="81"/>
  <c r="I48" i="80"/>
  <c r="G45" i="70" l="1"/>
  <c r="G45" i="71" s="1"/>
  <c r="G45" i="72" s="1"/>
  <c r="G45" i="73" s="1"/>
  <c r="G45" i="74" s="1"/>
  <c r="G45" i="75" s="1"/>
  <c r="G45" i="76" s="1"/>
  <c r="G43" i="77" s="1"/>
  <c r="L45" i="96"/>
  <c r="L45" i="42" s="1"/>
  <c r="L45" i="67" s="1"/>
  <c r="L45" i="68" s="1"/>
  <c r="L45" i="69" s="1"/>
  <c r="K45" i="68"/>
  <c r="K45" i="69" s="1"/>
  <c r="H46" i="94"/>
  <c r="H46" i="95" s="1"/>
  <c r="N40" i="95"/>
  <c r="N40" i="96" s="1"/>
  <c r="N40" i="42" s="1"/>
  <c r="N40" i="67" s="1"/>
  <c r="G46" i="92"/>
  <c r="G46" i="93" s="1"/>
  <c r="L40" i="92"/>
  <c r="L40" i="93" s="1"/>
  <c r="L40" i="94" s="1"/>
  <c r="L43" i="87"/>
  <c r="L43" i="88" s="1"/>
  <c r="L43" i="89" s="1"/>
  <c r="L43" i="90" s="1"/>
  <c r="L43" i="91" s="1"/>
  <c r="K40" i="90"/>
  <c r="K40" i="91" s="1"/>
  <c r="H44" i="82"/>
  <c r="H48" i="81"/>
  <c r="G44" i="81"/>
  <c r="G48" i="80"/>
  <c r="L44" i="82"/>
  <c r="L44" i="83" s="1"/>
  <c r="L48" i="81"/>
  <c r="K44" i="82"/>
  <c r="K44" i="83" s="1"/>
  <c r="K43" i="81"/>
  <c r="BR7" i="6"/>
  <c r="BU7" i="6" s="1"/>
  <c r="I40" i="81"/>
  <c r="P40" i="81" s="1"/>
  <c r="G43" i="82"/>
  <c r="H43" i="82"/>
  <c r="K46" i="81"/>
  <c r="K46" i="82" s="1"/>
  <c r="K46" i="83" s="1"/>
  <c r="K46" i="84" s="1"/>
  <c r="K45" i="70" l="1"/>
  <c r="K45" i="71" s="1"/>
  <c r="K45" i="72" s="1"/>
  <c r="K45" i="73" s="1"/>
  <c r="K45" i="74" s="1"/>
  <c r="K45" i="75" s="1"/>
  <c r="K45" i="76" s="1"/>
  <c r="K43" i="77" s="1"/>
  <c r="L45" i="70"/>
  <c r="L45" i="71" s="1"/>
  <c r="L45" i="72" s="1"/>
  <c r="L45" i="73" s="1"/>
  <c r="L45" i="74" s="1"/>
  <c r="L45" i="75" s="1"/>
  <c r="L45" i="76" s="1"/>
  <c r="L43" i="77" s="1"/>
  <c r="L48" i="83"/>
  <c r="L44" i="84"/>
  <c r="L48" i="84" s="1"/>
  <c r="N40" i="68"/>
  <c r="N40" i="69" s="1"/>
  <c r="N40" i="70" s="1"/>
  <c r="N40" i="71" s="1"/>
  <c r="N40" i="72" s="1"/>
  <c r="N40" i="73" s="1"/>
  <c r="L40" i="95"/>
  <c r="L40" i="96" s="1"/>
  <c r="G46" i="94"/>
  <c r="G46" i="95" s="1"/>
  <c r="H46" i="96"/>
  <c r="H46" i="42" s="1"/>
  <c r="H46" i="67" s="1"/>
  <c r="H46" i="68" s="1"/>
  <c r="H46" i="69" s="1"/>
  <c r="K40" i="92"/>
  <c r="K40" i="93" s="1"/>
  <c r="K40" i="94" s="1"/>
  <c r="K48" i="81"/>
  <c r="G44" i="82"/>
  <c r="G48" i="81"/>
  <c r="H48" i="82"/>
  <c r="H44" i="83"/>
  <c r="L48" i="82"/>
  <c r="K43" i="82"/>
  <c r="K48" i="82" s="1"/>
  <c r="BR8" i="6"/>
  <c r="BU8" i="6" s="1"/>
  <c r="I40" i="82"/>
  <c r="P40" i="82" s="1"/>
  <c r="L43" i="92"/>
  <c r="H43" i="83"/>
  <c r="G43" i="83"/>
  <c r="H46" i="70" l="1"/>
  <c r="H46" i="71" s="1"/>
  <c r="H46" i="72" s="1"/>
  <c r="H46" i="73" s="1"/>
  <c r="H46" i="74" s="1"/>
  <c r="H46" i="75" s="1"/>
  <c r="H46" i="76" s="1"/>
  <c r="H44" i="77" s="1"/>
  <c r="L40" i="42"/>
  <c r="L40" i="67" s="1"/>
  <c r="L40" i="68" s="1"/>
  <c r="L40" i="69" s="1"/>
  <c r="L40" i="70" s="1"/>
  <c r="L40" i="71" s="1"/>
  <c r="L40" i="72" s="1"/>
  <c r="L40" i="73" s="1"/>
  <c r="N40" i="74"/>
  <c r="N40" i="75" s="1"/>
  <c r="N40" i="76" s="1"/>
  <c r="N38" i="77" s="1"/>
  <c r="G46" i="96"/>
  <c r="G46" i="42" s="1"/>
  <c r="G46" i="67" s="1"/>
  <c r="K40" i="95"/>
  <c r="K40" i="96" s="1"/>
  <c r="H48" i="83"/>
  <c r="H44" i="84"/>
  <c r="G44" i="83"/>
  <c r="G48" i="82"/>
  <c r="K44" i="84"/>
  <c r="K43" i="83"/>
  <c r="BR9" i="6"/>
  <c r="BU9" i="6" s="1"/>
  <c r="I40" i="83"/>
  <c r="P40" i="83" s="1"/>
  <c r="L43" i="93"/>
  <c r="G43" i="84"/>
  <c r="H43" i="84"/>
  <c r="K40" i="42" l="1"/>
  <c r="K40" i="67" s="1"/>
  <c r="K40" i="68" s="1"/>
  <c r="K40" i="69" s="1"/>
  <c r="K40" i="70" s="1"/>
  <c r="K40" i="71" s="1"/>
  <c r="K40" i="72" s="1"/>
  <c r="K40" i="73" s="1"/>
  <c r="K43" i="84"/>
  <c r="K48" i="84" s="1"/>
  <c r="K48" i="83"/>
  <c r="G46" i="68"/>
  <c r="G46" i="69" s="1"/>
  <c r="L40" i="74"/>
  <c r="L40" i="75" s="1"/>
  <c r="L40" i="76" s="1"/>
  <c r="L38" i="77" s="1"/>
  <c r="H44" i="85"/>
  <c r="H48" i="84"/>
  <c r="G48" i="83"/>
  <c r="G44" i="84"/>
  <c r="K44" i="85"/>
  <c r="K44" i="86" s="1"/>
  <c r="K44" i="87" s="1"/>
  <c r="L44" i="85"/>
  <c r="L44" i="86" s="1"/>
  <c r="BR10" i="6"/>
  <c r="BU10" i="6" s="1"/>
  <c r="I40" i="84"/>
  <c r="P40" i="84" s="1"/>
  <c r="L43" i="94"/>
  <c r="H43" i="85"/>
  <c r="L46" i="85"/>
  <c r="G43" i="85"/>
  <c r="AM8" i="2"/>
  <c r="G46" i="70" l="1"/>
  <c r="G46" i="71" s="1"/>
  <c r="G46" i="72" s="1"/>
  <c r="G46" i="73" s="1"/>
  <c r="G46" i="74" s="1"/>
  <c r="G46" i="75" s="1"/>
  <c r="G46" i="76" s="1"/>
  <c r="G44" i="77" s="1"/>
  <c r="K43" i="85"/>
  <c r="K43" i="86" s="1"/>
  <c r="K43" i="87" s="1"/>
  <c r="K43" i="88" s="1"/>
  <c r="K43" i="89" s="1"/>
  <c r="K43" i="90" s="1"/>
  <c r="K43" i="91" s="1"/>
  <c r="K40" i="74"/>
  <c r="K40" i="75" s="1"/>
  <c r="K40" i="76" s="1"/>
  <c r="K38" i="77" s="1"/>
  <c r="L44" i="87"/>
  <c r="L44" i="88" s="1"/>
  <c r="L48" i="85"/>
  <c r="L46" i="86"/>
  <c r="L46" i="87" s="1"/>
  <c r="K44" i="88"/>
  <c r="H44" i="86"/>
  <c r="H44" i="87" s="1"/>
  <c r="H48" i="85"/>
  <c r="G44" i="85"/>
  <c r="G48" i="84"/>
  <c r="BR11" i="6"/>
  <c r="BU11" i="6" s="1"/>
  <c r="I40" i="85"/>
  <c r="P40" i="85" s="1"/>
  <c r="L43" i="95"/>
  <c r="K46" i="85"/>
  <c r="G43" i="86"/>
  <c r="H43" i="86"/>
  <c r="L48" i="87" l="1"/>
  <c r="K43" i="92"/>
  <c r="K43" i="93" s="1"/>
  <c r="K43" i="94" s="1"/>
  <c r="K43" i="95" s="1"/>
  <c r="H48" i="86"/>
  <c r="K48" i="85"/>
  <c r="K46" i="86"/>
  <c r="L48" i="86"/>
  <c r="H44" i="88"/>
  <c r="L44" i="89"/>
  <c r="K44" i="89"/>
  <c r="G44" i="86"/>
  <c r="G44" i="87" s="1"/>
  <c r="G48" i="85"/>
  <c r="BR12" i="6"/>
  <c r="BU12" i="6" s="1"/>
  <c r="I40" i="86"/>
  <c r="P40" i="86" s="1"/>
  <c r="L43" i="96"/>
  <c r="H43" i="87"/>
  <c r="H48" i="87" s="1"/>
  <c r="G43" i="87"/>
  <c r="E28" i="3"/>
  <c r="F28" i="3" s="1"/>
  <c r="I24" i="72" l="1"/>
  <c r="L43" i="42"/>
  <c r="G48" i="86"/>
  <c r="K46" i="87"/>
  <c r="K48" i="87" s="1"/>
  <c r="K48" i="86"/>
  <c r="G44" i="88"/>
  <c r="G48" i="87"/>
  <c r="H44" i="89"/>
  <c r="K44" i="90"/>
  <c r="L44" i="90"/>
  <c r="BR13" i="6"/>
  <c r="BU13" i="6" s="1"/>
  <c r="I40" i="87"/>
  <c r="P40" i="87" s="1"/>
  <c r="G43" i="88"/>
  <c r="K43" i="96"/>
  <c r="K43" i="42" s="1"/>
  <c r="L46" i="88"/>
  <c r="L48" i="88" s="1"/>
  <c r="H43" i="88"/>
  <c r="H48" i="88" s="1"/>
  <c r="AE35" i="2"/>
  <c r="L43" i="67" l="1"/>
  <c r="L43" i="68" s="1"/>
  <c r="K44" i="91"/>
  <c r="L44" i="91"/>
  <c r="H44" i="90"/>
  <c r="H44" i="91" s="1"/>
  <c r="H44" i="92" s="1"/>
  <c r="G44" i="89"/>
  <c r="G48" i="88"/>
  <c r="I40" i="88"/>
  <c r="P40" i="88" s="1"/>
  <c r="BR14" i="6"/>
  <c r="BU14" i="6" s="1"/>
  <c r="L46" i="89"/>
  <c r="K46" i="88"/>
  <c r="K48" i="88" s="1"/>
  <c r="H43" i="89"/>
  <c r="H48" i="89" s="1"/>
  <c r="G43" i="89"/>
  <c r="L43" i="69" l="1"/>
  <c r="K43" i="67"/>
  <c r="K43" i="68" s="1"/>
  <c r="K43" i="69" s="1"/>
  <c r="H44" i="93"/>
  <c r="L48" i="89"/>
  <c r="L46" i="90"/>
  <c r="L48" i="90" s="1"/>
  <c r="L44" i="92"/>
  <c r="K44" i="92"/>
  <c r="G44" i="90"/>
  <c r="G44" i="91" s="1"/>
  <c r="G44" i="92" s="1"/>
  <c r="G48" i="89"/>
  <c r="I40" i="89"/>
  <c r="P40" i="89" s="1"/>
  <c r="BR15" i="6"/>
  <c r="BU15" i="6" s="1"/>
  <c r="K46" i="89"/>
  <c r="G43" i="90"/>
  <c r="H43" i="90"/>
  <c r="H48" i="90" s="1"/>
  <c r="C34" i="64"/>
  <c r="BE9" i="2"/>
  <c r="BF9" i="2" s="1"/>
  <c r="L43" i="70" l="1"/>
  <c r="G48" i="90"/>
  <c r="H44" i="94"/>
  <c r="G44" i="93"/>
  <c r="K44" i="93"/>
  <c r="L44" i="93"/>
  <c r="K48" i="89"/>
  <c r="K46" i="90"/>
  <c r="K48" i="90" s="1"/>
  <c r="I40" i="90"/>
  <c r="BR16" i="6"/>
  <c r="BU16" i="6" s="1"/>
  <c r="AZ9" i="2"/>
  <c r="K43" i="70"/>
  <c r="L46" i="91"/>
  <c r="G43" i="91"/>
  <c r="G48" i="91" s="1"/>
  <c r="H43" i="91"/>
  <c r="H48" i="91" s="1"/>
  <c r="Z26" i="6"/>
  <c r="W26" i="55" s="1"/>
  <c r="K43" i="71" l="1"/>
  <c r="K43" i="72" s="1"/>
  <c r="K43" i="73" s="1"/>
  <c r="L43" i="71"/>
  <c r="H44" i="95"/>
  <c r="L48" i="91"/>
  <c r="L46" i="92"/>
  <c r="L48" i="92" s="1"/>
  <c r="G44" i="94"/>
  <c r="L44" i="94"/>
  <c r="K44" i="94"/>
  <c r="K43" i="74"/>
  <c r="K43" i="75" s="1"/>
  <c r="BR17" i="6"/>
  <c r="BU17" i="6" s="1"/>
  <c r="I40" i="91"/>
  <c r="P40" i="91" s="1"/>
  <c r="G43" i="92"/>
  <c r="G48" i="92" s="1"/>
  <c r="K46" i="91"/>
  <c r="H43" i="92"/>
  <c r="H48" i="92" s="1"/>
  <c r="L43" i="72" l="1"/>
  <c r="K43" i="76"/>
  <c r="G44" i="95"/>
  <c r="H44" i="96"/>
  <c r="H44" i="42" s="1"/>
  <c r="H44" i="67" s="1"/>
  <c r="H44" i="68" s="1"/>
  <c r="H44" i="69" s="1"/>
  <c r="K44" i="95"/>
  <c r="L44" i="95"/>
  <c r="K48" i="91"/>
  <c r="K46" i="92"/>
  <c r="K48" i="92" s="1"/>
  <c r="I40" i="92"/>
  <c r="P40" i="92" s="1"/>
  <c r="BR18" i="6"/>
  <c r="BU18" i="6" s="1"/>
  <c r="L46" i="93"/>
  <c r="L48" i="93" s="1"/>
  <c r="H43" i="93"/>
  <c r="H48" i="93" s="1"/>
  <c r="G43" i="93"/>
  <c r="G48" i="93" s="1"/>
  <c r="H44" i="70" l="1"/>
  <c r="H44" i="71" s="1"/>
  <c r="H44" i="72" s="1"/>
  <c r="H44" i="73" s="1"/>
  <c r="H44" i="74" s="1"/>
  <c r="H44" i="75" s="1"/>
  <c r="H44" i="76" s="1"/>
  <c r="H42" i="77" s="1"/>
  <c r="L43" i="73"/>
  <c r="L43" i="74" s="1"/>
  <c r="L43" i="75" s="1"/>
  <c r="L43" i="76" s="1"/>
  <c r="L41" i="77" s="1"/>
  <c r="K41" i="77"/>
  <c r="G44" i="96"/>
  <c r="G44" i="42" s="1"/>
  <c r="G44" i="67" s="1"/>
  <c r="L44" i="96"/>
  <c r="K44" i="96"/>
  <c r="BR19" i="6"/>
  <c r="BU19" i="6" s="1"/>
  <c r="I40" i="93"/>
  <c r="P40" i="93" s="1"/>
  <c r="L46" i="94"/>
  <c r="L48" i="94" s="1"/>
  <c r="H43" i="94"/>
  <c r="H48" i="94" s="1"/>
  <c r="G43" i="94"/>
  <c r="G48" i="94" s="1"/>
  <c r="K46" i="93"/>
  <c r="K48" i="93" s="1"/>
  <c r="M14" i="12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L44" i="42" l="1"/>
  <c r="K44" i="42"/>
  <c r="G44" i="68"/>
  <c r="G44" i="69" s="1"/>
  <c r="G44" i="70" s="1"/>
  <c r="G44" i="71" s="1"/>
  <c r="G44" i="72" s="1"/>
  <c r="G44" i="73" s="1"/>
  <c r="BR20" i="6"/>
  <c r="BU20" i="6" s="1"/>
  <c r="I40" i="94"/>
  <c r="P40" i="94" s="1"/>
  <c r="H43" i="95"/>
  <c r="H48" i="95" s="1"/>
  <c r="K46" i="94"/>
  <c r="K48" i="94" s="1"/>
  <c r="G43" i="95"/>
  <c r="G48" i="95" s="1"/>
  <c r="L46" i="95"/>
  <c r="L46" i="96" s="1"/>
  <c r="L46" i="42" s="1"/>
  <c r="AM10" i="2"/>
  <c r="O13" i="12"/>
  <c r="M12" i="12"/>
  <c r="L48" i="42" l="1"/>
  <c r="L48" i="96"/>
  <c r="L48" i="95"/>
  <c r="K44" i="67"/>
  <c r="L44" i="67"/>
  <c r="BR21" i="6"/>
  <c r="BU21" i="6" s="1"/>
  <c r="I40" i="95"/>
  <c r="P40" i="95" s="1"/>
  <c r="K46" i="95"/>
  <c r="G43" i="96"/>
  <c r="G48" i="96" s="1"/>
  <c r="H43" i="96"/>
  <c r="H48" i="96" s="1"/>
  <c r="G44" i="74" l="1"/>
  <c r="K44" i="68"/>
  <c r="L44" i="68"/>
  <c r="K46" i="96"/>
  <c r="K48" i="96" s="1"/>
  <c r="K48" i="95"/>
  <c r="I40" i="96"/>
  <c r="P40" i="96" s="1"/>
  <c r="BR22" i="6"/>
  <c r="BU22" i="6" s="1"/>
  <c r="H43" i="42"/>
  <c r="H48" i="42" s="1"/>
  <c r="G43" i="42"/>
  <c r="G48" i="42" s="1"/>
  <c r="O29" i="12"/>
  <c r="N29" i="12"/>
  <c r="M29" i="12"/>
  <c r="G44" i="75" l="1"/>
  <c r="K44" i="69"/>
  <c r="K44" i="70" s="1"/>
  <c r="L44" i="69"/>
  <c r="L44" i="70" s="1"/>
  <c r="L46" i="67"/>
  <c r="BR23" i="6"/>
  <c r="BU23" i="6" s="1"/>
  <c r="I40" i="42"/>
  <c r="P40" i="42" s="1"/>
  <c r="K46" i="42"/>
  <c r="K48" i="42" s="1"/>
  <c r="H43" i="67"/>
  <c r="H48" i="67" s="1"/>
  <c r="G43" i="67"/>
  <c r="G48" i="67" s="1"/>
  <c r="R28" i="3"/>
  <c r="AU29" i="12"/>
  <c r="G44" i="76" l="1"/>
  <c r="S28" i="3"/>
  <c r="I23" i="72" s="1"/>
  <c r="K44" i="71"/>
  <c r="K44" i="72" s="1"/>
  <c r="K44" i="73" s="1"/>
  <c r="L48" i="67"/>
  <c r="L46" i="68"/>
  <c r="L44" i="71"/>
  <c r="L44" i="72" s="1"/>
  <c r="L44" i="73" s="1"/>
  <c r="K46" i="67"/>
  <c r="AM29" i="12"/>
  <c r="AT29" i="12"/>
  <c r="BR24" i="6"/>
  <c r="BU24" i="6" s="1"/>
  <c r="I40" i="67"/>
  <c r="P40" i="67" s="1"/>
  <c r="G43" i="68"/>
  <c r="G48" i="68" s="1"/>
  <c r="H43" i="68"/>
  <c r="H48" i="68" s="1"/>
  <c r="G42" i="77" l="1"/>
  <c r="K48" i="67"/>
  <c r="K46" i="68"/>
  <c r="L46" i="69"/>
  <c r="L48" i="68"/>
  <c r="EL28" i="1"/>
  <c r="EU28" i="1" s="1"/>
  <c r="EW28" i="1" s="1"/>
  <c r="BR25" i="6"/>
  <c r="BU25" i="6" s="1"/>
  <c r="I40" i="68"/>
  <c r="H43" i="69"/>
  <c r="H48" i="69" s="1"/>
  <c r="G43" i="69"/>
  <c r="G48" i="69" s="1"/>
  <c r="AL29" i="12"/>
  <c r="L48" i="69" l="1"/>
  <c r="L46" i="70"/>
  <c r="L48" i="70" s="1"/>
  <c r="K46" i="69"/>
  <c r="K48" i="68"/>
  <c r="BR26" i="6"/>
  <c r="BU26" i="6" s="1"/>
  <c r="BR27" i="6" s="1"/>
  <c r="I40" i="69"/>
  <c r="H43" i="70"/>
  <c r="H48" i="70" s="1"/>
  <c r="G43" i="70"/>
  <c r="G48" i="70" s="1"/>
  <c r="K48" i="69" l="1"/>
  <c r="K46" i="70"/>
  <c r="K48" i="70" s="1"/>
  <c r="L46" i="71"/>
  <c r="L46" i="72" s="1"/>
  <c r="L46" i="73" s="1"/>
  <c r="K44" i="74"/>
  <c r="L44" i="74"/>
  <c r="L44" i="75" s="1"/>
  <c r="BU27" i="6"/>
  <c r="BR28" i="6" s="1"/>
  <c r="I40" i="71"/>
  <c r="I40" i="70"/>
  <c r="P40" i="70" s="1"/>
  <c r="G43" i="71"/>
  <c r="G48" i="71" s="1"/>
  <c r="H43" i="71"/>
  <c r="H48" i="71" s="1"/>
  <c r="L48" i="71" l="1"/>
  <c r="K46" i="71"/>
  <c r="K46" i="72" s="1"/>
  <c r="K46" i="73" s="1"/>
  <c r="K44" i="75"/>
  <c r="L44" i="76"/>
  <c r="BU28" i="6"/>
  <c r="BR29" i="6" s="1"/>
  <c r="I40" i="73" s="1"/>
  <c r="P40" i="73" s="1"/>
  <c r="H43" i="72"/>
  <c r="H48" i="72" s="1"/>
  <c r="G43" i="72"/>
  <c r="G48" i="72" s="1"/>
  <c r="BE30" i="2"/>
  <c r="BF30" i="2" s="1"/>
  <c r="K48" i="71" l="1"/>
  <c r="K44" i="76"/>
  <c r="L46" i="74"/>
  <c r="L46" i="75" s="1"/>
  <c r="L48" i="72"/>
  <c r="L42" i="77"/>
  <c r="I40" i="72"/>
  <c r="BU29" i="6"/>
  <c r="AZ30" i="2"/>
  <c r="G43" i="73"/>
  <c r="G48" i="73" s="1"/>
  <c r="H43" i="73"/>
  <c r="R24" i="3"/>
  <c r="S24" i="3" l="1"/>
  <c r="I23" i="68" s="1"/>
  <c r="K46" i="74"/>
  <c r="K48" i="72"/>
  <c r="K42" i="77"/>
  <c r="L46" i="76"/>
  <c r="L48" i="76" s="1"/>
  <c r="L48" i="75"/>
  <c r="BR30" i="6"/>
  <c r="BU30" i="6" s="1"/>
  <c r="H43" i="74"/>
  <c r="H48" i="74" s="1"/>
  <c r="G43" i="74"/>
  <c r="G48" i="74" s="1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" i="1"/>
  <c r="K46" i="75" l="1"/>
  <c r="K48" i="74"/>
  <c r="BR31" i="6"/>
  <c r="BU31" i="6" s="1"/>
  <c r="I40" i="74"/>
  <c r="P40" i="74" s="1"/>
  <c r="G43" i="75"/>
  <c r="G48" i="75" s="1"/>
  <c r="H43" i="75"/>
  <c r="H48" i="75" s="1"/>
  <c r="BE16" i="2"/>
  <c r="BF16" i="2" s="1"/>
  <c r="BE17" i="2"/>
  <c r="BF17" i="2" s="1"/>
  <c r="K46" i="76" l="1"/>
  <c r="K48" i="76" s="1"/>
  <c r="K48" i="75"/>
  <c r="L44" i="77"/>
  <c r="I40" i="75"/>
  <c r="BR32" i="6"/>
  <c r="BU32" i="6" s="1"/>
  <c r="AZ16" i="2"/>
  <c r="AZ17" i="2"/>
  <c r="H43" i="76"/>
  <c r="H48" i="76" s="1"/>
  <c r="G43" i="76"/>
  <c r="G48" i="76" s="1"/>
  <c r="K44" i="77" l="1"/>
  <c r="I40" i="76"/>
  <c r="P40" i="76" s="1"/>
  <c r="BR33" i="6"/>
  <c r="BU33" i="6" s="1"/>
  <c r="G41" i="77"/>
  <c r="H41" i="77"/>
  <c r="I38" i="77" l="1"/>
  <c r="P38" i="77" s="1"/>
  <c r="F17" i="88"/>
  <c r="F17" i="42"/>
  <c r="DT34" i="1"/>
  <c r="DS34" i="1"/>
  <c r="DV3" i="1"/>
  <c r="DR4" i="1" s="1"/>
  <c r="DV4" i="1" s="1"/>
  <c r="DR5" i="1" s="1"/>
  <c r="DV5" i="1" l="1"/>
  <c r="DR6" i="1" s="1"/>
  <c r="DU34" i="1"/>
  <c r="DU35" i="1" s="1"/>
  <c r="DV6" i="1" l="1"/>
  <c r="DR7" i="1" s="1"/>
  <c r="DV7" i="1" l="1"/>
  <c r="DR8" i="1" s="1"/>
  <c r="DV8" i="1" l="1"/>
  <c r="DR9" i="1" s="1"/>
  <c r="AM5" i="2"/>
  <c r="AM6" i="2"/>
  <c r="AM7" i="2"/>
  <c r="AM9" i="2"/>
  <c r="AM11" i="2"/>
  <c r="AM12" i="2"/>
  <c r="AM13" i="2"/>
  <c r="AM14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DV9" i="1" l="1"/>
  <c r="DR10" i="1" s="1"/>
  <c r="DV10" i="1" l="1"/>
  <c r="DR11" i="1" s="1"/>
  <c r="DV11" i="1" s="1"/>
  <c r="F16" i="42"/>
  <c r="DR12" i="1" l="1"/>
  <c r="F18" i="42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" i="1"/>
  <c r="I16" i="42"/>
  <c r="DO34" i="1"/>
  <c r="DN34" i="1"/>
  <c r="DN35" i="1" s="1"/>
  <c r="DV12" i="1" l="1"/>
  <c r="DR13" i="1" s="1"/>
  <c r="DP34" i="1"/>
  <c r="DP35" i="1" s="1"/>
  <c r="DQ3" i="1"/>
  <c r="DM4" i="1" s="1"/>
  <c r="DQ4" i="1" s="1"/>
  <c r="DM5" i="1" s="1"/>
  <c r="DQ5" i="1" s="1"/>
  <c r="DM6" i="1" s="1"/>
  <c r="DQ6" i="1" s="1"/>
  <c r="DM7" i="1" s="1"/>
  <c r="DQ7" i="1" s="1"/>
  <c r="DM8" i="1" s="1"/>
  <c r="DQ8" i="1" s="1"/>
  <c r="DM9" i="1" s="1"/>
  <c r="DQ9" i="1" s="1"/>
  <c r="DM10" i="1" s="1"/>
  <c r="DQ10" i="1" s="1"/>
  <c r="DM11" i="1" s="1"/>
  <c r="DQ11" i="1" s="1"/>
  <c r="DM12" i="1" s="1"/>
  <c r="DQ12" i="1" s="1"/>
  <c r="DM13" i="1" s="1"/>
  <c r="DQ13" i="1" s="1"/>
  <c r="DM14" i="1" s="1"/>
  <c r="DQ14" i="1" s="1"/>
  <c r="DM15" i="1" s="1"/>
  <c r="DQ15" i="1" s="1"/>
  <c r="DM16" i="1" s="1"/>
  <c r="DQ16" i="1" s="1"/>
  <c r="DM17" i="1" s="1"/>
  <c r="DQ17" i="1" s="1"/>
  <c r="DM18" i="1" s="1"/>
  <c r="DQ18" i="1" s="1"/>
  <c r="DM19" i="1" s="1"/>
  <c r="DQ19" i="1" s="1"/>
  <c r="DM20" i="1" s="1"/>
  <c r="DQ20" i="1" s="1"/>
  <c r="DM21" i="1" s="1"/>
  <c r="DQ21" i="1" s="1"/>
  <c r="DM22" i="1" s="1"/>
  <c r="DQ22" i="1" s="1"/>
  <c r="DM23" i="1" s="1"/>
  <c r="DQ23" i="1" s="1"/>
  <c r="DM24" i="1" s="1"/>
  <c r="DQ24" i="1" s="1"/>
  <c r="DM25" i="1" s="1"/>
  <c r="DQ25" i="1" s="1"/>
  <c r="DM26" i="1" s="1"/>
  <c r="DQ26" i="1" s="1"/>
  <c r="DM27" i="1" s="1"/>
  <c r="DQ27" i="1" s="1"/>
  <c r="DM28" i="1" s="1"/>
  <c r="DQ28" i="1" s="1"/>
  <c r="DM29" i="1" s="1"/>
  <c r="DQ29" i="1" s="1"/>
  <c r="DM30" i="1" s="1"/>
  <c r="DQ30" i="1" s="1"/>
  <c r="DM31" i="1" s="1"/>
  <c r="DQ31" i="1" s="1"/>
  <c r="DM32" i="1" s="1"/>
  <c r="DQ32" i="1" s="1"/>
  <c r="DM33" i="1" s="1"/>
  <c r="DQ33" i="1" s="1"/>
  <c r="DV13" i="1" l="1"/>
  <c r="DR14" i="1" s="1"/>
  <c r="DV14" i="1" s="1"/>
  <c r="E34" i="55"/>
  <c r="AU18" i="12"/>
  <c r="DR15" i="1" l="1"/>
  <c r="DV15" i="1" l="1"/>
  <c r="DR16" i="1" s="1"/>
  <c r="D35" i="8"/>
  <c r="F21" i="89"/>
  <c r="DV16" i="1" l="1"/>
  <c r="DR17" i="1" s="1"/>
  <c r="M55" i="79"/>
  <c r="DV17" i="1" l="1"/>
  <c r="DR18" i="1" s="1"/>
  <c r="DV18" i="1" l="1"/>
  <c r="DR19" i="1" s="1"/>
  <c r="DV19" i="1" l="1"/>
  <c r="DR20" i="1" s="1"/>
  <c r="DV20" i="1" l="1"/>
  <c r="DR21" i="1" s="1"/>
  <c r="N21" i="12"/>
  <c r="M21" i="12"/>
  <c r="M20" i="12"/>
  <c r="M22" i="12"/>
  <c r="M23" i="12"/>
  <c r="DV21" i="1" l="1"/>
  <c r="DR22" i="1" s="1"/>
  <c r="O14" i="12"/>
  <c r="N14" i="12"/>
  <c r="DV22" i="1" l="1"/>
  <c r="DR23" i="1" s="1"/>
  <c r="AU14" i="12"/>
  <c r="AG14" i="12"/>
  <c r="AM14" i="12" s="1"/>
  <c r="R13" i="3"/>
  <c r="S13" i="3" l="1"/>
  <c r="I23" i="88" s="1"/>
  <c r="M32" i="88" s="1"/>
  <c r="DV23" i="1"/>
  <c r="DR24" i="1" s="1"/>
  <c r="AT14" i="12"/>
  <c r="DV24" i="1" l="1"/>
  <c r="DR25" i="1" s="1"/>
  <c r="EL13" i="1"/>
  <c r="AL14" i="12"/>
  <c r="DV25" i="1" l="1"/>
  <c r="DR26" i="1" s="1"/>
  <c r="EV13" i="1"/>
  <c r="EU1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" i="1"/>
  <c r="DV26" i="1" l="1"/>
  <c r="DR27" i="1" s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" i="1"/>
  <c r="DF30" i="1"/>
  <c r="DF31" i="1"/>
  <c r="DF32" i="1"/>
  <c r="DF3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" i="1"/>
  <c r="DV27" i="1" l="1"/>
  <c r="DR28" i="1" s="1"/>
  <c r="EH25" i="1"/>
  <c r="EH31" i="1"/>
  <c r="EH27" i="1"/>
  <c r="EH23" i="1"/>
  <c r="EH19" i="1"/>
  <c r="EH15" i="1"/>
  <c r="EH11" i="1"/>
  <c r="EH7" i="1"/>
  <c r="EH3" i="1"/>
  <c r="EH33" i="1"/>
  <c r="EH30" i="1"/>
  <c r="EH26" i="1"/>
  <c r="EH22" i="1"/>
  <c r="I17" i="42" s="1"/>
  <c r="EH18" i="1"/>
  <c r="EH14" i="1"/>
  <c r="EH10" i="1"/>
  <c r="EH6" i="1"/>
  <c r="EH29" i="1"/>
  <c r="EH21" i="1"/>
  <c r="EH17" i="1"/>
  <c r="EH13" i="1"/>
  <c r="EH9" i="1"/>
  <c r="EH32" i="1"/>
  <c r="EH28" i="1"/>
  <c r="EH24" i="1"/>
  <c r="EH20" i="1"/>
  <c r="EH16" i="1"/>
  <c r="EH12" i="1"/>
  <c r="EH8" i="1"/>
  <c r="EH5" i="1"/>
  <c r="EH4" i="1"/>
  <c r="DJ34" i="1"/>
  <c r="DI34" i="1"/>
  <c r="DL3" i="1"/>
  <c r="DH4" i="1" s="1"/>
  <c r="DL4" i="1" s="1"/>
  <c r="DH5" i="1" s="1"/>
  <c r="DL5" i="1" s="1"/>
  <c r="DH6" i="1" s="1"/>
  <c r="DL6" i="1" s="1"/>
  <c r="DH7" i="1" s="1"/>
  <c r="DL7" i="1" s="1"/>
  <c r="DH8" i="1" s="1"/>
  <c r="DL8" i="1" s="1"/>
  <c r="DH9" i="1" s="1"/>
  <c r="DL9" i="1" s="1"/>
  <c r="DH10" i="1" s="1"/>
  <c r="DL10" i="1" s="1"/>
  <c r="DH11" i="1" s="1"/>
  <c r="DL11" i="1" s="1"/>
  <c r="DH12" i="1" s="1"/>
  <c r="DL12" i="1" s="1"/>
  <c r="DH13" i="1" s="1"/>
  <c r="DL13" i="1" s="1"/>
  <c r="DH14" i="1" s="1"/>
  <c r="DL14" i="1" s="1"/>
  <c r="DH15" i="1" s="1"/>
  <c r="DL15" i="1" s="1"/>
  <c r="DH16" i="1" s="1"/>
  <c r="DL16" i="1" s="1"/>
  <c r="DH17" i="1" s="1"/>
  <c r="DL17" i="1" s="1"/>
  <c r="DH18" i="1" s="1"/>
  <c r="DL18" i="1" s="1"/>
  <c r="DH19" i="1" s="1"/>
  <c r="DL19" i="1" s="1"/>
  <c r="DH20" i="1" s="1"/>
  <c r="DL20" i="1" s="1"/>
  <c r="DH21" i="1" s="1"/>
  <c r="DL21" i="1" s="1"/>
  <c r="DH22" i="1" s="1"/>
  <c r="DL22" i="1" s="1"/>
  <c r="DH23" i="1" s="1"/>
  <c r="DL23" i="1" s="1"/>
  <c r="DH24" i="1" s="1"/>
  <c r="DL24" i="1" s="1"/>
  <c r="DH25" i="1" s="1"/>
  <c r="DL25" i="1" s="1"/>
  <c r="DH26" i="1" s="1"/>
  <c r="DL26" i="1" s="1"/>
  <c r="DH27" i="1" s="1"/>
  <c r="DL27" i="1" s="1"/>
  <c r="DH28" i="1" s="1"/>
  <c r="DL28" i="1" s="1"/>
  <c r="DH29" i="1" s="1"/>
  <c r="DL29" i="1" s="1"/>
  <c r="DH30" i="1" s="1"/>
  <c r="DL30" i="1" s="1"/>
  <c r="DH31" i="1" s="1"/>
  <c r="DL31" i="1" s="1"/>
  <c r="DH32" i="1" s="1"/>
  <c r="DL32" i="1" s="1"/>
  <c r="DH33" i="1" s="1"/>
  <c r="DL33" i="1" s="1"/>
  <c r="DV28" i="1" l="1"/>
  <c r="DR29" i="1" s="1"/>
  <c r="I18" i="42"/>
  <c r="DK34" i="1"/>
  <c r="DK35" i="1" s="1"/>
  <c r="DV29" i="1" l="1"/>
  <c r="DR30" i="1" s="1"/>
  <c r="DV30" i="1" l="1"/>
  <c r="DR31" i="1" s="1"/>
  <c r="DE34" i="1"/>
  <c r="DD34" i="1"/>
  <c r="DV31" i="1" l="1"/>
  <c r="DR32" i="1" s="1"/>
  <c r="DF34" i="1"/>
  <c r="DF35" i="1" s="1"/>
  <c r="DG3" i="1"/>
  <c r="DC4" i="1" s="1"/>
  <c r="DG4" i="1" s="1"/>
  <c r="DC5" i="1" s="1"/>
  <c r="DG5" i="1" s="1"/>
  <c r="DC6" i="1" s="1"/>
  <c r="DG6" i="1" s="1"/>
  <c r="DC7" i="1" s="1"/>
  <c r="DG7" i="1" s="1"/>
  <c r="DC8" i="1" s="1"/>
  <c r="DG8" i="1" s="1"/>
  <c r="DC9" i="1" s="1"/>
  <c r="DG9" i="1" s="1"/>
  <c r="DC10" i="1" s="1"/>
  <c r="DG10" i="1" s="1"/>
  <c r="DC11" i="1" s="1"/>
  <c r="DG11" i="1" s="1"/>
  <c r="DC12" i="1" s="1"/>
  <c r="DG12" i="1" s="1"/>
  <c r="DC13" i="1" s="1"/>
  <c r="DG13" i="1" s="1"/>
  <c r="DC14" i="1" s="1"/>
  <c r="DG14" i="1" s="1"/>
  <c r="DC15" i="1" s="1"/>
  <c r="DG15" i="1" s="1"/>
  <c r="DC16" i="1" s="1"/>
  <c r="DG16" i="1" s="1"/>
  <c r="DC17" i="1" s="1"/>
  <c r="DG17" i="1" s="1"/>
  <c r="DC18" i="1" s="1"/>
  <c r="DG18" i="1" s="1"/>
  <c r="DC19" i="1" s="1"/>
  <c r="DG19" i="1" s="1"/>
  <c r="DC20" i="1" s="1"/>
  <c r="DG20" i="1" s="1"/>
  <c r="DC21" i="1" s="1"/>
  <c r="DG21" i="1" s="1"/>
  <c r="DC22" i="1" s="1"/>
  <c r="DG22" i="1" s="1"/>
  <c r="DC23" i="1" s="1"/>
  <c r="DG23" i="1" s="1"/>
  <c r="DC24" i="1" s="1"/>
  <c r="DG24" i="1" s="1"/>
  <c r="DC25" i="1" s="1"/>
  <c r="DG25" i="1" s="1"/>
  <c r="DC26" i="1" s="1"/>
  <c r="DG26" i="1" s="1"/>
  <c r="DC27" i="1" s="1"/>
  <c r="DG27" i="1" s="1"/>
  <c r="DC28" i="1" s="1"/>
  <c r="DG28" i="1" s="1"/>
  <c r="DC29" i="1" s="1"/>
  <c r="DG29" i="1" s="1"/>
  <c r="DC30" i="1" s="1"/>
  <c r="DG30" i="1" s="1"/>
  <c r="DC31" i="1" s="1"/>
  <c r="DG31" i="1" s="1"/>
  <c r="DC32" i="1" s="1"/>
  <c r="DG32" i="1" s="1"/>
  <c r="DC33" i="1" s="1"/>
  <c r="DG33" i="1" s="1"/>
  <c r="E17" i="78"/>
  <c r="DV32" i="1" l="1"/>
  <c r="DR33" i="1" s="1"/>
  <c r="DV33" i="1" l="1"/>
  <c r="BE24" i="2"/>
  <c r="BF24" i="2" s="1"/>
  <c r="AG18" i="12"/>
  <c r="AM18" i="12" s="1"/>
  <c r="AZ24" i="2" l="1"/>
  <c r="AZ6" i="2"/>
  <c r="L4" i="6"/>
  <c r="L5" i="6"/>
  <c r="L6" i="6"/>
  <c r="K6" i="6" s="1"/>
  <c r="L7" i="6"/>
  <c r="L8" i="6"/>
  <c r="L9" i="6"/>
  <c r="L10" i="6"/>
  <c r="L11" i="6"/>
  <c r="L12" i="6"/>
  <c r="L13" i="6"/>
  <c r="L14" i="6"/>
  <c r="L16" i="6"/>
  <c r="L17" i="6"/>
  <c r="K17" i="6" s="1"/>
  <c r="L19" i="6"/>
  <c r="K19" i="6" s="1"/>
  <c r="L20" i="6"/>
  <c r="L21" i="6"/>
  <c r="L22" i="6"/>
  <c r="L23" i="6"/>
  <c r="L24" i="6"/>
  <c r="L25" i="6"/>
  <c r="L26" i="6"/>
  <c r="L28" i="6"/>
  <c r="L29" i="6"/>
  <c r="L30" i="6"/>
  <c r="L31" i="6"/>
  <c r="L32" i="6"/>
  <c r="L33" i="6"/>
  <c r="L3" i="6"/>
  <c r="M33" i="94" l="1"/>
  <c r="L35" i="6"/>
  <c r="CT35" i="1" l="1"/>
  <c r="CU35" i="1"/>
  <c r="CZ34" i="1"/>
  <c r="CY34" i="1"/>
  <c r="DB3" i="1"/>
  <c r="CX4" i="1" s="1"/>
  <c r="DB4" i="1" l="1"/>
  <c r="CX5" i="1" s="1"/>
  <c r="DB5" i="1" s="1"/>
  <c r="CX6" i="1" s="1"/>
  <c r="DB6" i="1" s="1"/>
  <c r="CX7" i="1" s="1"/>
  <c r="DB7" i="1" s="1"/>
  <c r="CX8" i="1" s="1"/>
  <c r="DB8" i="1" s="1"/>
  <c r="CX9" i="1" s="1"/>
  <c r="DB9" i="1" s="1"/>
  <c r="CX10" i="1" s="1"/>
  <c r="DB10" i="1" s="1"/>
  <c r="CX11" i="1" s="1"/>
  <c r="DB11" i="1" s="1"/>
  <c r="CX12" i="1" s="1"/>
  <c r="DB12" i="1" s="1"/>
  <c r="CX13" i="1" s="1"/>
  <c r="DB13" i="1" s="1"/>
  <c r="CX14" i="1" s="1"/>
  <c r="DB14" i="1" s="1"/>
  <c r="CX15" i="1" s="1"/>
  <c r="DB15" i="1" s="1"/>
  <c r="CX16" i="1" s="1"/>
  <c r="DB16" i="1" s="1"/>
  <c r="CX17" i="1" s="1"/>
  <c r="DB17" i="1" s="1"/>
  <c r="CX18" i="1" s="1"/>
  <c r="DB18" i="1" s="1"/>
  <c r="CX19" i="1" s="1"/>
  <c r="DB19" i="1" s="1"/>
  <c r="CX20" i="1" s="1"/>
  <c r="DB20" i="1" s="1"/>
  <c r="CX21" i="1" s="1"/>
  <c r="DB21" i="1" s="1"/>
  <c r="CX22" i="1" s="1"/>
  <c r="DB22" i="1" s="1"/>
  <c r="CX23" i="1" s="1"/>
  <c r="DB23" i="1" s="1"/>
  <c r="CX24" i="1" s="1"/>
  <c r="DB24" i="1" s="1"/>
  <c r="CX25" i="1" s="1"/>
  <c r="DB25" i="1" s="1"/>
  <c r="CX26" i="1" s="1"/>
  <c r="DB26" i="1" s="1"/>
  <c r="CX27" i="1" s="1"/>
  <c r="DB27" i="1" s="1"/>
  <c r="CX28" i="1" s="1"/>
  <c r="DB28" i="1" s="1"/>
  <c r="CX29" i="1" s="1"/>
  <c r="DB29" i="1" s="1"/>
  <c r="CX30" i="1" s="1"/>
  <c r="DB30" i="1" s="1"/>
  <c r="CX31" i="1" s="1"/>
  <c r="DB31" i="1" s="1"/>
  <c r="CX32" i="1" s="1"/>
  <c r="DB32" i="1" s="1"/>
  <c r="CX33" i="1" s="1"/>
  <c r="DB33" i="1" s="1"/>
  <c r="DA34" i="1"/>
  <c r="DA35" i="1" s="1"/>
  <c r="K20" i="55" l="1"/>
  <c r="F61" i="71" l="1"/>
  <c r="P40" i="71" s="1"/>
  <c r="F61" i="72"/>
  <c r="P40" i="72" s="1"/>
  <c r="F61" i="70" l="1"/>
  <c r="F61" i="69"/>
  <c r="P40" i="69" s="1"/>
  <c r="F61" i="68" l="1"/>
  <c r="F61" i="67"/>
  <c r="P40" i="68" l="1"/>
  <c r="M35" i="95"/>
  <c r="M35" i="94"/>
  <c r="M35" i="93"/>
  <c r="M35" i="91"/>
  <c r="O4" i="12" l="1"/>
  <c r="N4" i="12"/>
  <c r="M4" i="12"/>
  <c r="AV4" i="12" l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" i="1"/>
  <c r="I21" i="73"/>
  <c r="F21" i="73"/>
  <c r="I21" i="72"/>
  <c r="F21" i="72"/>
  <c r="AG4" i="12" l="1"/>
  <c r="AM4" i="12" s="1"/>
  <c r="AU4" i="12"/>
  <c r="R3" i="3"/>
  <c r="AT4" i="12"/>
  <c r="X3" i="3"/>
  <c r="S3" i="3" l="1"/>
  <c r="EL3" i="1"/>
  <c r="AL4" i="12"/>
  <c r="I21" i="71"/>
  <c r="F21" i="71"/>
  <c r="I21" i="70"/>
  <c r="F21" i="70"/>
  <c r="F22" i="87"/>
  <c r="F22" i="88"/>
  <c r="F22" i="89"/>
  <c r="F22" i="90"/>
  <c r="F22" i="91"/>
  <c r="F22" i="92"/>
  <c r="F22" i="93"/>
  <c r="F22" i="94"/>
  <c r="F22" i="95"/>
  <c r="F22" i="96"/>
  <c r="F22" i="42"/>
  <c r="F22" i="67"/>
  <c r="F22" i="68"/>
  <c r="F22" i="69"/>
  <c r="F22" i="70"/>
  <c r="F22" i="86"/>
  <c r="F22" i="85"/>
  <c r="F22" i="84"/>
  <c r="F22" i="83"/>
  <c r="F22" i="82"/>
  <c r="F22" i="81"/>
  <c r="F22" i="80"/>
  <c r="F22" i="79"/>
  <c r="F22" i="78"/>
  <c r="K3" i="2" l="1"/>
  <c r="I23" i="78"/>
  <c r="K23" i="78" s="1"/>
  <c r="EM3" i="1"/>
  <c r="I20" i="78"/>
  <c r="EV3" i="1"/>
  <c r="EU3" i="1"/>
  <c r="I21" i="69"/>
  <c r="F21" i="69"/>
  <c r="I21" i="68"/>
  <c r="F21" i="68"/>
  <c r="I21" i="67" l="1"/>
  <c r="F21" i="67"/>
  <c r="I21" i="42" l="1"/>
  <c r="F21" i="42"/>
  <c r="I21" i="96"/>
  <c r="F21" i="96"/>
  <c r="I21" i="95" l="1"/>
  <c r="F21" i="95"/>
  <c r="F21" i="90" l="1"/>
  <c r="F35" i="64"/>
  <c r="Q35" i="64"/>
  <c r="AB35" i="64"/>
  <c r="I21" i="94" l="1"/>
  <c r="F21" i="94"/>
  <c r="I21" i="93"/>
  <c r="F21" i="93"/>
  <c r="I21" i="92" l="1"/>
  <c r="F21" i="92"/>
  <c r="CU34" i="1"/>
  <c r="CV34" i="1"/>
  <c r="CV35" i="1" s="1"/>
  <c r="CT34" i="1"/>
  <c r="I21" i="91"/>
  <c r="F21" i="9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" i="1"/>
  <c r="CQ34" i="1" l="1"/>
  <c r="I21" i="88"/>
  <c r="F21" i="88"/>
  <c r="F21" i="87"/>
  <c r="F21" i="86" l="1"/>
  <c r="F21" i="85" l="1"/>
  <c r="EP35" i="1"/>
  <c r="I21" i="83" l="1"/>
  <c r="F21" i="83"/>
  <c r="F21" i="84"/>
  <c r="I21" i="82" l="1"/>
  <c r="F21" i="82"/>
  <c r="I21" i="81"/>
  <c r="F21" i="81"/>
  <c r="I21" i="80" l="1"/>
  <c r="F21" i="80"/>
  <c r="I21" i="79"/>
  <c r="F21" i="79"/>
  <c r="E21" i="78"/>
  <c r="I21" i="78"/>
  <c r="F21" i="78"/>
  <c r="H21" i="78" s="1"/>
  <c r="J21" i="78" l="1"/>
  <c r="J21" i="79" s="1"/>
  <c r="J21" i="80" s="1"/>
  <c r="J21" i="81" s="1"/>
  <c r="J21" i="82" s="1"/>
  <c r="K21" i="78"/>
  <c r="K21" i="79" s="1"/>
  <c r="K21" i="80" s="1"/>
  <c r="K21" i="81" s="1"/>
  <c r="K21" i="82" s="1"/>
  <c r="G21" i="78"/>
  <c r="G21" i="79" s="1"/>
  <c r="G21" i="80" s="1"/>
  <c r="G21" i="81" s="1"/>
  <c r="G21" i="82" s="1"/>
  <c r="L21" i="78"/>
  <c r="H21" i="79"/>
  <c r="H21" i="80" s="1"/>
  <c r="H21" i="81" s="1"/>
  <c r="H21" i="82" s="1"/>
  <c r="I19" i="77"/>
  <c r="F19" i="77"/>
  <c r="J21" i="83" l="1"/>
  <c r="G21" i="83"/>
  <c r="G21" i="84" s="1"/>
  <c r="G21" i="85" s="1"/>
  <c r="G21" i="86" s="1"/>
  <c r="G21" i="87" s="1"/>
  <c r="G21" i="88" s="1"/>
  <c r="K21" i="83"/>
  <c r="H21" i="83"/>
  <c r="F21" i="76"/>
  <c r="I21" i="74"/>
  <c r="F21" i="75"/>
  <c r="H21" i="84" l="1"/>
  <c r="H21" i="85" s="1"/>
  <c r="H21" i="86" s="1"/>
  <c r="H21" i="87" s="1"/>
  <c r="H21" i="88" s="1"/>
  <c r="H21" i="89" s="1"/>
  <c r="H21" i="90" s="1"/>
  <c r="H21" i="91" s="1"/>
  <c r="H21" i="92" s="1"/>
  <c r="H21" i="93" s="1"/>
  <c r="H21" i="94" s="1"/>
  <c r="H21" i="95" s="1"/>
  <c r="H21" i="96" s="1"/>
  <c r="H21" i="42" s="1"/>
  <c r="H21" i="67" s="1"/>
  <c r="H21" i="68" s="1"/>
  <c r="H21" i="69" s="1"/>
  <c r="H21" i="70" s="1"/>
  <c r="H21" i="71" s="1"/>
  <c r="H21" i="72" s="1"/>
  <c r="H21" i="73" s="1"/>
  <c r="G21" i="89"/>
  <c r="G21" i="90" s="1"/>
  <c r="G21" i="91" s="1"/>
  <c r="G21" i="92" s="1"/>
  <c r="G21" i="93" s="1"/>
  <c r="G21" i="94" s="1"/>
  <c r="G21" i="95" s="1"/>
  <c r="G21" i="96" s="1"/>
  <c r="G21" i="42" s="1"/>
  <c r="G21" i="67" s="1"/>
  <c r="G21" i="68" s="1"/>
  <c r="G21" i="69" s="1"/>
  <c r="G21" i="70" s="1"/>
  <c r="G21" i="71" s="1"/>
  <c r="G21" i="72" s="1"/>
  <c r="G21" i="73" s="1"/>
  <c r="ER3" i="1"/>
  <c r="EO4" i="1" s="1"/>
  <c r="F21" i="74"/>
  <c r="ER4" i="1" l="1"/>
  <c r="EO5" i="1" s="1"/>
  <c r="E21" i="79"/>
  <c r="L21" i="79" s="1"/>
  <c r="H21" i="74"/>
  <c r="H21" i="75" s="1"/>
  <c r="H21" i="76" s="1"/>
  <c r="H19" i="77" s="1"/>
  <c r="G21" i="74"/>
  <c r="G21" i="75" s="1"/>
  <c r="G21" i="76" s="1"/>
  <c r="G19" i="77" s="1"/>
  <c r="K26" i="6"/>
  <c r="O26" i="6"/>
  <c r="X26" i="6"/>
  <c r="AA26" i="6"/>
  <c r="AB26" i="6"/>
  <c r="AC26" i="6"/>
  <c r="CG26" i="6" s="1"/>
  <c r="AE26" i="6"/>
  <c r="BK26" i="6"/>
  <c r="BO26" i="6"/>
  <c r="K24" i="6"/>
  <c r="O24" i="6"/>
  <c r="X24" i="6"/>
  <c r="Z24" i="6"/>
  <c r="AB24" i="6"/>
  <c r="F38" i="68" s="1"/>
  <c r="AC24" i="6"/>
  <c r="AE24" i="6"/>
  <c r="AF24" i="6"/>
  <c r="BK24" i="6" s="1"/>
  <c r="AH24" i="6"/>
  <c r="F39" i="68" s="1"/>
  <c r="BO24" i="6"/>
  <c r="K25" i="6"/>
  <c r="O25" i="6"/>
  <c r="X25" i="6"/>
  <c r="Z25" i="6"/>
  <c r="AB25" i="6"/>
  <c r="AC25" i="6"/>
  <c r="CG25" i="6" s="1"/>
  <c r="EW25" i="1" s="1"/>
  <c r="AE25" i="6"/>
  <c r="BK25" i="6"/>
  <c r="AH25" i="6"/>
  <c r="BO25" i="6"/>
  <c r="CW3" i="1"/>
  <c r="CS4" i="1" s="1"/>
  <c r="CW4" i="1" s="1"/>
  <c r="CS5" i="1" s="1"/>
  <c r="CW5" i="1" s="1"/>
  <c r="CS6" i="1" s="1"/>
  <c r="CW6" i="1" s="1"/>
  <c r="CS7" i="1" s="1"/>
  <c r="CW7" i="1" s="1"/>
  <c r="CS8" i="1" s="1"/>
  <c r="CW8" i="1" s="1"/>
  <c r="CS9" i="1" s="1"/>
  <c r="CW9" i="1" s="1"/>
  <c r="CS10" i="1" s="1"/>
  <c r="CW10" i="1" s="1"/>
  <c r="CS11" i="1" s="1"/>
  <c r="CW11" i="1" s="1"/>
  <c r="CS12" i="1" s="1"/>
  <c r="CW12" i="1" s="1"/>
  <c r="CS13" i="1" s="1"/>
  <c r="CW13" i="1" s="1"/>
  <c r="CS14" i="1" s="1"/>
  <c r="CW14" i="1" s="1"/>
  <c r="CS15" i="1" s="1"/>
  <c r="CW15" i="1" s="1"/>
  <c r="CS16" i="1" s="1"/>
  <c r="CW16" i="1" s="1"/>
  <c r="CS17" i="1" s="1"/>
  <c r="CW17" i="1" s="1"/>
  <c r="CS18" i="1" s="1"/>
  <c r="CW18" i="1" s="1"/>
  <c r="CS19" i="1" s="1"/>
  <c r="CW19" i="1" s="1"/>
  <c r="CS20" i="1" s="1"/>
  <c r="CW20" i="1" s="1"/>
  <c r="CS21" i="1" s="1"/>
  <c r="CW21" i="1" s="1"/>
  <c r="CS22" i="1" s="1"/>
  <c r="CW22" i="1" s="1"/>
  <c r="CS23" i="1" s="1"/>
  <c r="CW23" i="1" s="1"/>
  <c r="CS24" i="1" s="1"/>
  <c r="CW24" i="1" s="1"/>
  <c r="CS25" i="1" s="1"/>
  <c r="CW25" i="1" s="1"/>
  <c r="CS26" i="1" s="1"/>
  <c r="CW26" i="1" s="1"/>
  <c r="CS27" i="1" s="1"/>
  <c r="CW27" i="1" s="1"/>
  <c r="CS28" i="1" s="1"/>
  <c r="CW28" i="1" s="1"/>
  <c r="CS29" i="1" s="1"/>
  <c r="CW29" i="1" s="1"/>
  <c r="CS30" i="1" s="1"/>
  <c r="CW30" i="1" s="1"/>
  <c r="CS31" i="1" s="1"/>
  <c r="CW31" i="1" s="1"/>
  <c r="CS32" i="1" s="1"/>
  <c r="CW32" i="1" s="1"/>
  <c r="CS33" i="1" s="1"/>
  <c r="CW33" i="1" s="1"/>
  <c r="CG24" i="6" l="1"/>
  <c r="AA24" i="6"/>
  <c r="W24" i="55"/>
  <c r="AA25" i="6"/>
  <c r="W25" i="55"/>
  <c r="BG26" i="6"/>
  <c r="BG25" i="6"/>
  <c r="BG24" i="6"/>
  <c r="CJ25" i="6"/>
  <c r="CJ24" i="6"/>
  <c r="CJ26" i="6"/>
  <c r="F25" i="6"/>
  <c r="F24" i="6"/>
  <c r="F26" i="6"/>
  <c r="AJ24" i="6"/>
  <c r="AG24" i="6"/>
  <c r="ER5" i="1"/>
  <c r="EO6" i="1" s="1"/>
  <c r="E21" i="80"/>
  <c r="L21" i="80" s="1"/>
  <c r="AG25" i="6"/>
  <c r="AG26" i="6"/>
  <c r="AD26" i="6"/>
  <c r="AJ26" i="6"/>
  <c r="AD25" i="6"/>
  <c r="AJ25" i="6"/>
  <c r="AD24" i="6"/>
  <c r="ER6" i="1" l="1"/>
  <c r="EO7" i="1" s="1"/>
  <c r="E21" i="81"/>
  <c r="L21" i="81" s="1"/>
  <c r="CP35" i="1"/>
  <c r="CO35" i="1"/>
  <c r="CF35" i="1"/>
  <c r="CJ35" i="1"/>
  <c r="CK35" i="1"/>
  <c r="CE35" i="1"/>
  <c r="ER7" i="1" l="1"/>
  <c r="EO8" i="1" s="1"/>
  <c r="E21" i="82"/>
  <c r="L21" i="82" s="1"/>
  <c r="CQ35" i="1"/>
  <c r="CR3" i="1"/>
  <c r="CN4" i="1" s="1"/>
  <c r="CR4" i="1" s="1"/>
  <c r="CN5" i="1" s="1"/>
  <c r="CR5" i="1" s="1"/>
  <c r="CN6" i="1" s="1"/>
  <c r="CR6" i="1" s="1"/>
  <c r="CN7" i="1" s="1"/>
  <c r="CR7" i="1" s="1"/>
  <c r="CN8" i="1" s="1"/>
  <c r="CR8" i="1" s="1"/>
  <c r="CN9" i="1" s="1"/>
  <c r="CR9" i="1" s="1"/>
  <c r="CN10" i="1" s="1"/>
  <c r="CR10" i="1" s="1"/>
  <c r="CN11" i="1" s="1"/>
  <c r="CR11" i="1" s="1"/>
  <c r="CN12" i="1" s="1"/>
  <c r="CR12" i="1" s="1"/>
  <c r="CN13" i="1" s="1"/>
  <c r="CR13" i="1" s="1"/>
  <c r="CN14" i="1" s="1"/>
  <c r="CR14" i="1" s="1"/>
  <c r="CN15" i="1" s="1"/>
  <c r="CR15" i="1" s="1"/>
  <c r="CN16" i="1" s="1"/>
  <c r="CR16" i="1" s="1"/>
  <c r="CN17" i="1" s="1"/>
  <c r="CR17" i="1" s="1"/>
  <c r="CN18" i="1" s="1"/>
  <c r="CR18" i="1" s="1"/>
  <c r="CN19" i="1" s="1"/>
  <c r="CR19" i="1" s="1"/>
  <c r="CN20" i="1" s="1"/>
  <c r="CR20" i="1" s="1"/>
  <c r="CN21" i="1" s="1"/>
  <c r="CR21" i="1" s="1"/>
  <c r="CN22" i="1" s="1"/>
  <c r="CR22" i="1" s="1"/>
  <c r="CN23" i="1" s="1"/>
  <c r="CR23" i="1" s="1"/>
  <c r="CN24" i="1" s="1"/>
  <c r="CR24" i="1" s="1"/>
  <c r="CN25" i="1" s="1"/>
  <c r="CR25" i="1" s="1"/>
  <c r="CN26" i="1" s="1"/>
  <c r="CR26" i="1" s="1"/>
  <c r="CN27" i="1" s="1"/>
  <c r="CR27" i="1" s="1"/>
  <c r="CN28" i="1" s="1"/>
  <c r="CR28" i="1" s="1"/>
  <c r="CN29" i="1" s="1"/>
  <c r="CR29" i="1" s="1"/>
  <c r="CN30" i="1" s="1"/>
  <c r="CR30" i="1" l="1"/>
  <c r="CN31" i="1" s="1"/>
  <c r="ER8" i="1"/>
  <c r="EO9" i="1" s="1"/>
  <c r="E21" i="83"/>
  <c r="L21" i="83" s="1"/>
  <c r="CR31" i="1" l="1"/>
  <c r="CN32" i="1" s="1"/>
  <c r="E21" i="84"/>
  <c r="CR32" i="1" l="1"/>
  <c r="CN33" i="1" s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" i="1"/>
  <c r="EI3" i="1" s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" i="1"/>
  <c r="CH3" i="1" s="1"/>
  <c r="CD4" i="1" s="1"/>
  <c r="CR33" i="1" l="1"/>
  <c r="CH4" i="1"/>
  <c r="CD5" i="1" s="1"/>
  <c r="CM3" i="1"/>
  <c r="CI4" i="1" s="1"/>
  <c r="CM4" i="1" s="1"/>
  <c r="CI5" i="1" s="1"/>
  <c r="CM5" i="1" s="1"/>
  <c r="CI6" i="1" s="1"/>
  <c r="CM6" i="1" s="1"/>
  <c r="CI7" i="1" s="1"/>
  <c r="CM7" i="1" s="1"/>
  <c r="CI8" i="1" s="1"/>
  <c r="CM8" i="1" s="1"/>
  <c r="CI9" i="1" s="1"/>
  <c r="CM9" i="1" s="1"/>
  <c r="CI10" i="1" s="1"/>
  <c r="CM10" i="1" s="1"/>
  <c r="CI11" i="1" s="1"/>
  <c r="CM11" i="1" s="1"/>
  <c r="CI12" i="1" s="1"/>
  <c r="CM12" i="1" s="1"/>
  <c r="CI13" i="1" s="1"/>
  <c r="CL35" i="1"/>
  <c r="CG35" i="1"/>
  <c r="CM13" i="1" l="1"/>
  <c r="CI14" i="1" s="1"/>
  <c r="CH5" i="1"/>
  <c r="CD6" i="1" s="1"/>
  <c r="CH6" i="1" s="1"/>
  <c r="CD7" i="1" s="1"/>
  <c r="CM14" i="1" l="1"/>
  <c r="CI15" i="1" s="1"/>
  <c r="CH7" i="1"/>
  <c r="CD8" i="1" s="1"/>
  <c r="CM15" i="1" l="1"/>
  <c r="CI16" i="1" s="1"/>
  <c r="CH8" i="1"/>
  <c r="CD9" i="1" s="1"/>
  <c r="CM16" i="1" l="1"/>
  <c r="CI17" i="1" s="1"/>
  <c r="CH9" i="1"/>
  <c r="CD10" i="1" s="1"/>
  <c r="O19" i="12"/>
  <c r="N19" i="12"/>
  <c r="M19" i="12"/>
  <c r="CM17" i="1" l="1"/>
  <c r="CI18" i="1" s="1"/>
  <c r="CH10" i="1"/>
  <c r="CD11" i="1" s="1"/>
  <c r="R18" i="3"/>
  <c r="AU19" i="12"/>
  <c r="S18" i="3" l="1"/>
  <c r="I23" i="93" s="1"/>
  <c r="AG19" i="12"/>
  <c r="AM19" i="12" s="1"/>
  <c r="AT19" i="12"/>
  <c r="CM18" i="1"/>
  <c r="CI19" i="1" s="1"/>
  <c r="CH11" i="1"/>
  <c r="CD12" i="1" s="1"/>
  <c r="EL18" i="1" l="1"/>
  <c r="EU18" i="1" s="1"/>
  <c r="CM19" i="1"/>
  <c r="CI20" i="1" s="1"/>
  <c r="CH12" i="1"/>
  <c r="CD13" i="1" s="1"/>
  <c r="AL19" i="12"/>
  <c r="CM20" i="1" l="1"/>
  <c r="CI21" i="1" s="1"/>
  <c r="CH13" i="1"/>
  <c r="CD14" i="1" s="1"/>
  <c r="CM21" i="1" l="1"/>
  <c r="CI22" i="1" s="1"/>
  <c r="CH14" i="1"/>
  <c r="CD15" i="1" s="1"/>
  <c r="CM22" i="1" l="1"/>
  <c r="CI23" i="1" s="1"/>
  <c r="CH15" i="1"/>
  <c r="CD16" i="1" s="1"/>
  <c r="CM23" i="1" l="1"/>
  <c r="CI24" i="1" s="1"/>
  <c r="CH16" i="1"/>
  <c r="CD17" i="1" s="1"/>
  <c r="CM24" i="1" l="1"/>
  <c r="CI25" i="1" s="1"/>
  <c r="CH17" i="1"/>
  <c r="CD18" i="1" s="1"/>
  <c r="CM25" i="1" l="1"/>
  <c r="CI26" i="1" s="1"/>
  <c r="CH18" i="1"/>
  <c r="CD19" i="1" s="1"/>
  <c r="CM26" i="1" l="1"/>
  <c r="CI27" i="1" s="1"/>
  <c r="CH19" i="1"/>
  <c r="CD20" i="1" s="1"/>
  <c r="CM27" i="1" l="1"/>
  <c r="CI28" i="1" s="1"/>
  <c r="CH20" i="1"/>
  <c r="CD21" i="1" s="1"/>
  <c r="CM28" i="1" l="1"/>
  <c r="CI29" i="1" s="1"/>
  <c r="CH21" i="1"/>
  <c r="CD22" i="1" s="1"/>
  <c r="Z34" i="3"/>
  <c r="CM29" i="1" l="1"/>
  <c r="CI30" i="1" s="1"/>
  <c r="CH22" i="1"/>
  <c r="CD23" i="1" s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" i="1"/>
  <c r="BX3" i="1" l="1"/>
  <c r="CM30" i="1"/>
  <c r="CI31" i="1" s="1"/>
  <c r="CH23" i="1"/>
  <c r="CD24" i="1" s="1"/>
  <c r="CM31" i="1" l="1"/>
  <c r="CI32" i="1" s="1"/>
  <c r="CH24" i="1"/>
  <c r="CD25" i="1" s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" i="1"/>
  <c r="CM32" i="1" l="1"/>
  <c r="CI33" i="1" s="1"/>
  <c r="CH25" i="1"/>
  <c r="CD26" i="1" s="1"/>
  <c r="BE18" i="2" l="1"/>
  <c r="BF18" i="2" s="1"/>
  <c r="AY18" i="2"/>
  <c r="AZ18" i="2"/>
  <c r="CM33" i="1"/>
  <c r="CH26" i="1"/>
  <c r="CD27" i="1" s="1"/>
  <c r="CH27" i="1" l="1"/>
  <c r="CD28" i="1" s="1"/>
  <c r="F33" i="74"/>
  <c r="F35" i="74"/>
  <c r="F36" i="74"/>
  <c r="CH28" i="1" l="1"/>
  <c r="CD29" i="1" s="1"/>
  <c r="CH29" i="1" l="1"/>
  <c r="CD30" i="1" s="1"/>
  <c r="CH30" i="1" l="1"/>
  <c r="CD31" i="1" s="1"/>
  <c r="CH31" i="1" l="1"/>
  <c r="CD32" i="1" s="1"/>
  <c r="CH32" i="1" l="1"/>
  <c r="CD33" i="1" s="1"/>
  <c r="CH33" i="1" l="1"/>
  <c r="BM4" i="1" l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" i="1"/>
  <c r="M34" i="1"/>
  <c r="Y34" i="1"/>
  <c r="O34" i="1"/>
  <c r="E34" i="1"/>
  <c r="J32" i="76" l="1"/>
  <c r="E52" i="76" s="1"/>
  <c r="AY16" i="2" l="1"/>
  <c r="AY17" i="2"/>
  <c r="AY24" i="2"/>
  <c r="BE23" i="2" l="1"/>
  <c r="BF23" i="2" s="1"/>
  <c r="BE20" i="2"/>
  <c r="BF20" i="2" s="1"/>
  <c r="BE21" i="2"/>
  <c r="BF21" i="2" s="1"/>
  <c r="BE13" i="2"/>
  <c r="BF13" i="2" s="1"/>
  <c r="BE22" i="2"/>
  <c r="BF22" i="2" s="1"/>
  <c r="BE19" i="2"/>
  <c r="BF19" i="2" s="1"/>
  <c r="BE15" i="2"/>
  <c r="BF15" i="2" s="1"/>
  <c r="BE14" i="2"/>
  <c r="BF14" i="2" s="1"/>
  <c r="BE12" i="2"/>
  <c r="BF12" i="2" s="1"/>
  <c r="AY21" i="2"/>
  <c r="AZ21" i="2"/>
  <c r="AY12" i="2"/>
  <c r="AZ12" i="2"/>
  <c r="AY25" i="2"/>
  <c r="AZ25" i="2"/>
  <c r="AY23" i="2"/>
  <c r="AZ23" i="2"/>
  <c r="AY22" i="2"/>
  <c r="AZ22" i="2"/>
  <c r="AY20" i="2"/>
  <c r="AZ20" i="2"/>
  <c r="AY19" i="2"/>
  <c r="AZ19" i="2"/>
  <c r="AY15" i="2"/>
  <c r="AZ15" i="2"/>
  <c r="AY14" i="2"/>
  <c r="AZ14" i="2"/>
  <c r="AY13" i="2"/>
  <c r="AZ13" i="2"/>
  <c r="AV35" i="1"/>
  <c r="AW35" i="1"/>
  <c r="BF35" i="1"/>
  <c r="BG35" i="1"/>
  <c r="BK35" i="1"/>
  <c r="BL35" i="1"/>
  <c r="BM35" i="1"/>
  <c r="BP35" i="1"/>
  <c r="BQ35" i="1"/>
  <c r="BR35" i="1"/>
  <c r="BU35" i="1"/>
  <c r="BV35" i="1"/>
  <c r="BW35" i="1"/>
  <c r="BZ35" i="1"/>
  <c r="CB35" i="1"/>
  <c r="EN35" i="1"/>
  <c r="S34" i="1"/>
  <c r="U34" i="1"/>
  <c r="AA34" i="1"/>
  <c r="AD34" i="1"/>
  <c r="AM34" i="1"/>
  <c r="AN34" i="1"/>
  <c r="AQ34" i="1"/>
  <c r="AR34" i="1"/>
  <c r="AV34" i="1"/>
  <c r="AW34" i="1"/>
  <c r="BA34" i="1"/>
  <c r="BA35" i="1" s="1"/>
  <c r="BB34" i="1"/>
  <c r="BB35" i="1" s="1"/>
  <c r="BF34" i="1"/>
  <c r="BG34" i="1"/>
  <c r="BK34" i="1"/>
  <c r="BL34" i="1"/>
  <c r="BM34" i="1"/>
  <c r="BP34" i="1"/>
  <c r="BQ34" i="1"/>
  <c r="BR34" i="1"/>
  <c r="BU34" i="1"/>
  <c r="BV34" i="1"/>
  <c r="BW34" i="1"/>
  <c r="BZ34" i="1"/>
  <c r="CA34" i="1"/>
  <c r="CB34" i="1"/>
  <c r="EK34" i="1"/>
  <c r="EN34" i="1"/>
  <c r="M9" i="70" l="1"/>
  <c r="F10" i="70"/>
  <c r="I10" i="70"/>
  <c r="F11" i="70"/>
  <c r="I11" i="70"/>
  <c r="F12" i="70"/>
  <c r="M12" i="70"/>
  <c r="F20" i="70"/>
  <c r="I22" i="70"/>
  <c r="F24" i="70"/>
  <c r="F25" i="70"/>
  <c r="F26" i="70"/>
  <c r="F32" i="70"/>
  <c r="F33" i="70"/>
  <c r="J33" i="70"/>
  <c r="F35" i="70"/>
  <c r="J35" i="70"/>
  <c r="I52" i="70" s="1"/>
  <c r="F36" i="70"/>
  <c r="J36" i="70"/>
  <c r="H52" i="70" s="1"/>
  <c r="H53" i="70" s="1"/>
  <c r="M37" i="70"/>
  <c r="M38" i="70"/>
  <c r="M39" i="70"/>
  <c r="F59" i="70"/>
  <c r="F60" i="70"/>
  <c r="I15" i="70" l="1"/>
  <c r="N14" i="70" s="1"/>
  <c r="F15" i="70"/>
  <c r="N13" i="70"/>
  <c r="M42" i="70"/>
  <c r="L54" i="70" s="1"/>
  <c r="F52" i="70"/>
  <c r="F53" i="70" s="1"/>
  <c r="F27" i="70"/>
  <c r="I16" i="93"/>
  <c r="ED34" i="1"/>
  <c r="ED35" i="1" s="1"/>
  <c r="EC34" i="1"/>
  <c r="EC35" i="1" s="1"/>
  <c r="Q33" i="70"/>
  <c r="Q35" i="70"/>
  <c r="BY4" i="1"/>
  <c r="M10" i="70"/>
  <c r="M11" i="70"/>
  <c r="Q36" i="70"/>
  <c r="I16" i="70"/>
  <c r="F16" i="70"/>
  <c r="N9" i="70" l="1"/>
  <c r="M15" i="70"/>
  <c r="CC4" i="1"/>
  <c r="BT4" i="1"/>
  <c r="BX4" i="1" s="1"/>
  <c r="N10" i="70"/>
  <c r="N11" i="70"/>
  <c r="N12" i="70"/>
  <c r="N15" i="70" l="1"/>
  <c r="BY5" i="1"/>
  <c r="CC5" i="1" l="1"/>
  <c r="BT5" i="1"/>
  <c r="BX5" i="1" s="1"/>
  <c r="BY6" i="1" l="1"/>
  <c r="CC6" i="1" l="1"/>
  <c r="BT6" i="1"/>
  <c r="BX6" i="1" s="1"/>
  <c r="BY7" i="1" l="1"/>
  <c r="C34" i="6"/>
  <c r="CC7" i="1" l="1"/>
  <c r="BT7" i="1"/>
  <c r="BX7" i="1" s="1"/>
  <c r="BY8" i="1" l="1"/>
  <c r="D35" i="1"/>
  <c r="CC8" i="1" l="1"/>
  <c r="BY9" i="1" s="1"/>
  <c r="CC9" i="1" s="1"/>
  <c r="BY10" i="1" s="1"/>
  <c r="CC10" i="1" s="1"/>
  <c r="BY11" i="1" s="1"/>
  <c r="CC11" i="1" s="1"/>
  <c r="BY12" i="1" s="1"/>
  <c r="CC12" i="1" s="1"/>
  <c r="BY13" i="1" s="1"/>
  <c r="CC13" i="1" s="1"/>
  <c r="BY14" i="1" s="1"/>
  <c r="CC14" i="1" s="1"/>
  <c r="BY15" i="1" s="1"/>
  <c r="CC15" i="1" s="1"/>
  <c r="BY16" i="1" s="1"/>
  <c r="CC16" i="1" s="1"/>
  <c r="BY17" i="1" s="1"/>
  <c r="CC17" i="1" s="1"/>
  <c r="BY18" i="1" s="1"/>
  <c r="CC18" i="1" s="1"/>
  <c r="BY19" i="1" s="1"/>
  <c r="CC19" i="1" s="1"/>
  <c r="BY20" i="1" s="1"/>
  <c r="CC20" i="1" s="1"/>
  <c r="BY21" i="1" s="1"/>
  <c r="CC21" i="1" s="1"/>
  <c r="BY22" i="1" s="1"/>
  <c r="CC22" i="1" s="1"/>
  <c r="BY23" i="1" s="1"/>
  <c r="CC23" i="1" s="1"/>
  <c r="BY24" i="1" s="1"/>
  <c r="CC24" i="1" s="1"/>
  <c r="BY25" i="1" s="1"/>
  <c r="CC25" i="1" s="1"/>
  <c r="BY26" i="1" s="1"/>
  <c r="CC26" i="1" s="1"/>
  <c r="BY27" i="1" s="1"/>
  <c r="CC27" i="1" s="1"/>
  <c r="BY28" i="1" s="1"/>
  <c r="CC28" i="1" s="1"/>
  <c r="BY29" i="1" s="1"/>
  <c r="CC29" i="1" s="1"/>
  <c r="BY30" i="1" s="1"/>
  <c r="CC30" i="1" s="1"/>
  <c r="BY31" i="1" s="1"/>
  <c r="CC31" i="1" s="1"/>
  <c r="BY32" i="1" s="1"/>
  <c r="CC32" i="1" s="1"/>
  <c r="BY33" i="1" s="1"/>
  <c r="CC33" i="1" s="1"/>
  <c r="BT8" i="1"/>
  <c r="BX8" i="1" s="1"/>
  <c r="BS3" i="1"/>
  <c r="CC34" i="1" l="1"/>
  <c r="BT9" i="1"/>
  <c r="BO4" i="1"/>
  <c r="BX9" i="1" l="1"/>
  <c r="BT10" i="1" s="1"/>
  <c r="BS4" i="1"/>
  <c r="BX10" i="1" l="1"/>
  <c r="BT11" i="1" s="1"/>
  <c r="BO5" i="1"/>
  <c r="BX11" i="1" l="1"/>
  <c r="BT12" i="1" s="1"/>
  <c r="BS5" i="1"/>
  <c r="BX12" i="1" l="1"/>
  <c r="BT13" i="1" s="1"/>
  <c r="BO6" i="1"/>
  <c r="BX13" i="1" l="1"/>
  <c r="BT14" i="1" s="1"/>
  <c r="BS6" i="1"/>
  <c r="BO7" i="1" s="1"/>
  <c r="BX14" i="1" l="1"/>
  <c r="BT15" i="1" s="1"/>
  <c r="BS7" i="1"/>
  <c r="BX15" i="1" l="1"/>
  <c r="BT16" i="1" s="1"/>
  <c r="BO8" i="1"/>
  <c r="BX16" i="1" l="1"/>
  <c r="BT17" i="1" s="1"/>
  <c r="BS8" i="1"/>
  <c r="BO9" i="1" s="1"/>
  <c r="BX17" i="1" l="1"/>
  <c r="BT18" i="1" s="1"/>
  <c r="BS9" i="1"/>
  <c r="BO10" i="1" s="1"/>
  <c r="BX18" i="1" l="1"/>
  <c r="BT19" i="1" s="1"/>
  <c r="BS10" i="1"/>
  <c r="BO11" i="1" s="1"/>
  <c r="BX19" i="1" l="1"/>
  <c r="BT20" i="1" s="1"/>
  <c r="BS11" i="1"/>
  <c r="BO12" i="1" s="1"/>
  <c r="BX20" i="1" l="1"/>
  <c r="BT21" i="1" s="1"/>
  <c r="BS12" i="1"/>
  <c r="BO13" i="1" s="1"/>
  <c r="BX21" i="1" l="1"/>
  <c r="BT22" i="1" s="1"/>
  <c r="BS13" i="1"/>
  <c r="BO14" i="1" s="1"/>
  <c r="BX22" i="1" l="1"/>
  <c r="BT23" i="1" s="1"/>
  <c r="BS14" i="1"/>
  <c r="BO15" i="1" s="1"/>
  <c r="BX23" i="1" l="1"/>
  <c r="BT24" i="1" s="1"/>
  <c r="BS15" i="1"/>
  <c r="BO16" i="1" s="1"/>
  <c r="BX24" i="1" l="1"/>
  <c r="BT25" i="1" s="1"/>
  <c r="BS16" i="1"/>
  <c r="BO17" i="1" s="1"/>
  <c r="BX25" i="1" l="1"/>
  <c r="BT26" i="1" s="1"/>
  <c r="BS17" i="1"/>
  <c r="BO18" i="1" s="1"/>
  <c r="BX26" i="1" l="1"/>
  <c r="BT27" i="1" s="1"/>
  <c r="BS18" i="1"/>
  <c r="BO19" i="1" s="1"/>
  <c r="BX27" i="1" l="1"/>
  <c r="BT28" i="1" s="1"/>
  <c r="BS19" i="1"/>
  <c r="BO20" i="1" s="1"/>
  <c r="BX28" i="1" l="1"/>
  <c r="BT29" i="1" s="1"/>
  <c r="BS20" i="1"/>
  <c r="BO21" i="1" s="1"/>
  <c r="BX29" i="1" l="1"/>
  <c r="BT30" i="1" s="1"/>
  <c r="BS21" i="1"/>
  <c r="BO22" i="1" s="1"/>
  <c r="BX30" i="1" l="1"/>
  <c r="BT31" i="1" s="1"/>
  <c r="BS22" i="1"/>
  <c r="BO23" i="1" s="1"/>
  <c r="BX31" i="1" l="1"/>
  <c r="BT32" i="1" s="1"/>
  <c r="BS23" i="1"/>
  <c r="BO24" i="1" s="1"/>
  <c r="BX32" i="1" l="1"/>
  <c r="BT33" i="1" s="1"/>
  <c r="BS24" i="1"/>
  <c r="BO25" i="1" s="1"/>
  <c r="BX33" i="1" l="1"/>
  <c r="BT34" i="1"/>
  <c r="BS25" i="1"/>
  <c r="BO26" i="1" s="1"/>
  <c r="BS26" i="1" l="1"/>
  <c r="BO27" i="1" s="1"/>
  <c r="BS27" i="1" l="1"/>
  <c r="BO28" i="1" s="1"/>
  <c r="BS28" i="1" l="1"/>
  <c r="BO29" i="1" s="1"/>
  <c r="BS29" i="1" l="1"/>
  <c r="BO30" i="1" s="1"/>
  <c r="I17" i="70"/>
  <c r="BS30" i="1" l="1"/>
  <c r="BO31" i="1" s="1"/>
  <c r="EH34" i="1"/>
  <c r="EH35" i="1" s="1"/>
  <c r="I18" i="70"/>
  <c r="T52" i="12"/>
  <c r="R52" i="12"/>
  <c r="BS31" i="1" l="1"/>
  <c r="BO32" i="1" s="1"/>
  <c r="M35" i="70"/>
  <c r="BS32" i="1" l="1"/>
  <c r="BO33" i="1" s="1"/>
  <c r="Q52" i="70"/>
  <c r="I53" i="70" s="1"/>
  <c r="O5" i="12"/>
  <c r="N5" i="12"/>
  <c r="N40" i="12" s="1"/>
  <c r="N42" i="97" s="1"/>
  <c r="M5" i="12"/>
  <c r="M7" i="12"/>
  <c r="N7" i="12"/>
  <c r="O7" i="12"/>
  <c r="M8" i="12"/>
  <c r="N8" i="12"/>
  <c r="O8" i="12"/>
  <c r="M9" i="12"/>
  <c r="N9" i="12"/>
  <c r="O9" i="12"/>
  <c r="O40" i="12" l="1"/>
  <c r="O42" i="97" s="1"/>
  <c r="BS33" i="1"/>
  <c r="Q54" i="70"/>
  <c r="J32" i="70"/>
  <c r="E52" i="70" s="1"/>
  <c r="E53" i="70" s="1"/>
  <c r="N53" i="70" s="1"/>
  <c r="J32" i="72"/>
  <c r="E52" i="72" s="1"/>
  <c r="M9" i="72"/>
  <c r="F10" i="72"/>
  <c r="I10" i="72"/>
  <c r="F11" i="72"/>
  <c r="I11" i="72"/>
  <c r="M11" i="72" s="1"/>
  <c r="F12" i="72"/>
  <c r="I12" i="72"/>
  <c r="F20" i="72"/>
  <c r="I22" i="72"/>
  <c r="F23" i="72"/>
  <c r="F24" i="72"/>
  <c r="F25" i="72"/>
  <c r="F26" i="72"/>
  <c r="F32" i="72"/>
  <c r="F33" i="72"/>
  <c r="J33" i="72"/>
  <c r="F35" i="72"/>
  <c r="J35" i="72"/>
  <c r="I52" i="72" s="1"/>
  <c r="F36" i="72"/>
  <c r="J36" i="72"/>
  <c r="H52" i="72" s="1"/>
  <c r="H53" i="72" s="1"/>
  <c r="M37" i="72"/>
  <c r="M38" i="72"/>
  <c r="M39" i="72"/>
  <c r="F59" i="72"/>
  <c r="F60" i="72"/>
  <c r="F15" i="72" l="1"/>
  <c r="M12" i="72"/>
  <c r="I15" i="72"/>
  <c r="N14" i="72" s="1"/>
  <c r="M42" i="72"/>
  <c r="L54" i="72" s="1"/>
  <c r="E53" i="72"/>
  <c r="F52" i="72"/>
  <c r="F53" i="72" s="1"/>
  <c r="F27" i="72"/>
  <c r="Q32" i="70"/>
  <c r="M10" i="72"/>
  <c r="M15" i="72" s="1"/>
  <c r="Q36" i="72"/>
  <c r="Q35" i="72"/>
  <c r="Q33" i="72"/>
  <c r="Q32" i="72"/>
  <c r="N13" i="72" l="1"/>
  <c r="N9" i="72"/>
  <c r="N10" i="72"/>
  <c r="N11" i="72"/>
  <c r="N12" i="72"/>
  <c r="N15" i="72" l="1"/>
  <c r="AY6" i="2"/>
  <c r="BE8" i="2"/>
  <c r="AY9" i="2"/>
  <c r="AY29" i="2"/>
  <c r="AY30" i="2"/>
  <c r="BE3" i="2"/>
  <c r="BF3" i="2" s="1"/>
  <c r="AF34" i="2"/>
  <c r="AE34" i="2"/>
  <c r="AG3" i="2"/>
  <c r="AD4" i="2" s="1"/>
  <c r="AG4" i="2" s="1"/>
  <c r="AD5" i="2" s="1"/>
  <c r="AG5" i="2" s="1"/>
  <c r="AD6" i="2" s="1"/>
  <c r="AG6" i="2" s="1"/>
  <c r="AD7" i="2" s="1"/>
  <c r="AG7" i="2" s="1"/>
  <c r="AD8" i="2" s="1"/>
  <c r="AG8" i="2" s="1"/>
  <c r="AD9" i="2" s="1"/>
  <c r="AG9" i="2" s="1"/>
  <c r="AD10" i="2" s="1"/>
  <c r="AG10" i="2" s="1"/>
  <c r="AD11" i="2" s="1"/>
  <c r="AG11" i="2" s="1"/>
  <c r="AD12" i="2" s="1"/>
  <c r="AG12" i="2" s="1"/>
  <c r="AD13" i="2" s="1"/>
  <c r="AG13" i="2" s="1"/>
  <c r="AD14" i="2" s="1"/>
  <c r="AG14" i="2" s="1"/>
  <c r="AD15" i="2" s="1"/>
  <c r="AG15" i="2" s="1"/>
  <c r="AD16" i="2" s="1"/>
  <c r="AG16" i="2" s="1"/>
  <c r="AD17" i="2" s="1"/>
  <c r="AG17" i="2" s="1"/>
  <c r="AD18" i="2" s="1"/>
  <c r="AG18" i="2" s="1"/>
  <c r="AD19" i="2" s="1"/>
  <c r="AG19" i="2" s="1"/>
  <c r="AD20" i="2" s="1"/>
  <c r="AG20" i="2" s="1"/>
  <c r="AD21" i="2" s="1"/>
  <c r="AG21" i="2" s="1"/>
  <c r="AD22" i="2" s="1"/>
  <c r="AG22" i="2" s="1"/>
  <c r="AD23" i="2" s="1"/>
  <c r="BF8" i="2" l="1"/>
  <c r="BE11" i="2"/>
  <c r="BF11" i="2" s="1"/>
  <c r="BE5" i="2"/>
  <c r="BF5" i="2" s="1"/>
  <c r="BE7" i="2"/>
  <c r="BF7" i="2" s="1"/>
  <c r="BE4" i="2"/>
  <c r="BF4" i="2" s="1"/>
  <c r="BE10" i="2"/>
  <c r="BF10" i="2" s="1"/>
  <c r="BE32" i="2"/>
  <c r="BE31" i="2"/>
  <c r="BF31" i="2" s="1"/>
  <c r="BE29" i="2"/>
  <c r="BF29" i="2" s="1"/>
  <c r="BE28" i="2"/>
  <c r="BF28" i="2" s="1"/>
  <c r="AZ3" i="2"/>
  <c r="AY3" i="2"/>
  <c r="AY33" i="2"/>
  <c r="AZ29" i="2"/>
  <c r="AY7" i="2"/>
  <c r="AZ7" i="2"/>
  <c r="AY28" i="2"/>
  <c r="AZ28" i="2"/>
  <c r="AY5" i="2"/>
  <c r="AZ5" i="2"/>
  <c r="AY8" i="2"/>
  <c r="AZ8" i="2"/>
  <c r="AY4" i="2"/>
  <c r="AZ4" i="2"/>
  <c r="AY32" i="2"/>
  <c r="AZ32" i="2"/>
  <c r="AY31" i="2"/>
  <c r="AZ31" i="2"/>
  <c r="AY27" i="2"/>
  <c r="AZ27" i="2"/>
  <c r="AY26" i="2"/>
  <c r="AZ26" i="2"/>
  <c r="AY11" i="2"/>
  <c r="AZ11" i="2"/>
  <c r="AY10" i="2"/>
  <c r="AZ10" i="2"/>
  <c r="AG23" i="2"/>
  <c r="AD24" i="2" s="1"/>
  <c r="AG24" i="2" s="1"/>
  <c r="AD25" i="2" s="1"/>
  <c r="AG25" i="2" l="1"/>
  <c r="AD26" i="2" l="1"/>
  <c r="AG26" i="2" l="1"/>
  <c r="AD27" i="2" l="1"/>
  <c r="AG27" i="2" l="1"/>
  <c r="AD28" i="2" l="1"/>
  <c r="AG28" i="2" l="1"/>
  <c r="AD29" i="2" l="1"/>
  <c r="AG29" i="2" l="1"/>
  <c r="AD30" i="2" l="1"/>
  <c r="AG30" i="2" l="1"/>
  <c r="AD31" i="2" s="1"/>
  <c r="AG31" i="2" l="1"/>
  <c r="AD32" i="2" s="1"/>
  <c r="AG32" i="2" l="1"/>
  <c r="AD33" i="2" s="1"/>
  <c r="AD34" i="2" s="1"/>
  <c r="I16" i="72"/>
  <c r="F16" i="72"/>
  <c r="BN3" i="1"/>
  <c r="AG33" i="2" l="1"/>
  <c r="AG34" i="2" s="1"/>
  <c r="BJ4" i="1"/>
  <c r="BN4" i="1" s="1"/>
  <c r="M35" i="72" l="1"/>
  <c r="Q52" i="72" s="1"/>
  <c r="I53" i="72" s="1"/>
  <c r="N53" i="72" s="1"/>
  <c r="BJ5" i="1" l="1"/>
  <c r="Q54" i="72"/>
  <c r="BN5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" i="1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F38" i="70"/>
  <c r="AB27" i="6"/>
  <c r="AB28" i="6"/>
  <c r="I17" i="72"/>
  <c r="I18" i="72" s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" i="1"/>
  <c r="AJ34" i="1"/>
  <c r="F38" i="72" l="1"/>
  <c r="BI3" i="1"/>
  <c r="BE4" i="1" s="1"/>
  <c r="BI4" i="1" s="1"/>
  <c r="BH34" i="1"/>
  <c r="BH35" i="1"/>
  <c r="BD3" i="1"/>
  <c r="BC34" i="1"/>
  <c r="BC35" i="1" s="1"/>
  <c r="BJ6" i="1"/>
  <c r="AS33" i="1"/>
  <c r="AS31" i="1"/>
  <c r="AS32" i="1"/>
  <c r="F60" i="75"/>
  <c r="BN6" i="1" l="1"/>
  <c r="BE5" i="1"/>
  <c r="BI5" i="1" s="1"/>
  <c r="BE6" i="1" s="1"/>
  <c r="BI6" i="1" s="1"/>
  <c r="BE7" i="1" s="1"/>
  <c r="BI7" i="1" s="1"/>
  <c r="BE8" i="1" s="1"/>
  <c r="BI8" i="1" s="1"/>
  <c r="BE9" i="1" s="1"/>
  <c r="BI9" i="1" s="1"/>
  <c r="BE10" i="1" s="1"/>
  <c r="BI10" i="1" s="1"/>
  <c r="BE11" i="1" s="1"/>
  <c r="BI11" i="1" s="1"/>
  <c r="BE12" i="1" s="1"/>
  <c r="BI12" i="1" s="1"/>
  <c r="BE13" i="1" s="1"/>
  <c r="BJ7" i="1" l="1"/>
  <c r="BI13" i="1"/>
  <c r="BE14" i="1" s="1"/>
  <c r="BI14" i="1" s="1"/>
  <c r="BE15" i="1" s="1"/>
  <c r="BI15" i="1" s="1"/>
  <c r="BE16" i="1" s="1"/>
  <c r="BI16" i="1" s="1"/>
  <c r="BE17" i="1" s="1"/>
  <c r="BI17" i="1" s="1"/>
  <c r="BE18" i="1" s="1"/>
  <c r="BI18" i="1" s="1"/>
  <c r="BE19" i="1" s="1"/>
  <c r="BI19" i="1" s="1"/>
  <c r="BE20" i="1" s="1"/>
  <c r="BI20" i="1" s="1"/>
  <c r="BE21" i="1" s="1"/>
  <c r="BI21" i="1" s="1"/>
  <c r="BE22" i="1" s="1"/>
  <c r="BI22" i="1" s="1"/>
  <c r="BE23" i="1" s="1"/>
  <c r="BI23" i="1" s="1"/>
  <c r="BE24" i="1" s="1"/>
  <c r="BI24" i="1" s="1"/>
  <c r="BE25" i="1" s="1"/>
  <c r="BI25" i="1" s="1"/>
  <c r="BE26" i="1" s="1"/>
  <c r="BI26" i="1" s="1"/>
  <c r="BE27" i="1" s="1"/>
  <c r="BI27" i="1" s="1"/>
  <c r="BE28" i="1" s="1"/>
  <c r="BI28" i="1" s="1"/>
  <c r="BE29" i="1" s="1"/>
  <c r="BI29" i="1" s="1"/>
  <c r="BE30" i="1" s="1"/>
  <c r="BI30" i="1" s="1"/>
  <c r="BE31" i="1" s="1"/>
  <c r="BI31" i="1" s="1"/>
  <c r="BE32" i="1" s="1"/>
  <c r="BI32" i="1" s="1"/>
  <c r="BE33" i="1" s="1"/>
  <c r="BI33" i="1" s="1"/>
  <c r="AZ4" i="1"/>
  <c r="BN7" i="1" l="1"/>
  <c r="BE35" i="1"/>
  <c r="BE34" i="1"/>
  <c r="BD4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" i="1"/>
  <c r="AX34" i="1" l="1"/>
  <c r="AX35" i="1" s="1"/>
  <c r="BJ8" i="1"/>
  <c r="AZ5" i="1"/>
  <c r="AY3" i="1"/>
  <c r="BN8" i="1" l="1"/>
  <c r="BJ9" i="1" s="1"/>
  <c r="BN9" i="1" s="1"/>
  <c r="BJ10" i="1" s="1"/>
  <c r="BN10" i="1" s="1"/>
  <c r="BJ11" i="1" s="1"/>
  <c r="BN11" i="1" s="1"/>
  <c r="BJ12" i="1" s="1"/>
  <c r="BN12" i="1" s="1"/>
  <c r="BJ13" i="1" s="1"/>
  <c r="BN13" i="1" s="1"/>
  <c r="BJ14" i="1" s="1"/>
  <c r="BN14" i="1" s="1"/>
  <c r="BJ15" i="1" s="1"/>
  <c r="BD5" i="1"/>
  <c r="AZ6" i="1" l="1"/>
  <c r="BN15" i="1"/>
  <c r="BJ16" i="1" s="1"/>
  <c r="BD6" i="1" l="1"/>
  <c r="BN16" i="1"/>
  <c r="BJ17" i="1" s="1"/>
  <c r="AZ7" i="1" l="1"/>
  <c r="BN17" i="1"/>
  <c r="BJ18" i="1" s="1"/>
  <c r="BD7" i="1" l="1"/>
  <c r="BN18" i="1"/>
  <c r="BJ19" i="1" s="1"/>
  <c r="AZ8" i="1" l="1"/>
  <c r="BN19" i="1"/>
  <c r="BJ20" i="1" s="1"/>
  <c r="BD8" i="1" l="1"/>
  <c r="AZ9" i="1" s="1"/>
  <c r="BN20" i="1"/>
  <c r="BJ21" i="1" s="1"/>
  <c r="BD9" i="1" l="1"/>
  <c r="AZ10" i="1" s="1"/>
  <c r="BN21" i="1"/>
  <c r="BJ22" i="1" s="1"/>
  <c r="J32" i="93"/>
  <c r="E52" i="93" s="1"/>
  <c r="D35" i="6"/>
  <c r="BD10" i="1" l="1"/>
  <c r="AZ11" i="1" s="1"/>
  <c r="BN22" i="1"/>
  <c r="BJ23" i="1" s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" i="1"/>
  <c r="AT3" i="1" s="1"/>
  <c r="BD11" i="1" l="1"/>
  <c r="AZ12" i="1" s="1"/>
  <c r="AS34" i="1"/>
  <c r="BN23" i="1"/>
  <c r="BJ24" i="1" s="1"/>
  <c r="AS35" i="1"/>
  <c r="AD32" i="55"/>
  <c r="AD31" i="55"/>
  <c r="AD30" i="55"/>
  <c r="AD29" i="55"/>
  <c r="AD28" i="55"/>
  <c r="AD27" i="55"/>
  <c r="V34" i="3"/>
  <c r="BD12" i="1" l="1"/>
  <c r="AZ13" i="1" s="1"/>
  <c r="BN24" i="1"/>
  <c r="BJ25" i="1" s="1"/>
  <c r="BD13" i="1" l="1"/>
  <c r="AZ14" i="1" s="1"/>
  <c r="BN25" i="1"/>
  <c r="BJ26" i="1" s="1"/>
  <c r="R22" i="3"/>
  <c r="S22" i="3" l="1"/>
  <c r="I23" i="42" s="1"/>
  <c r="BD14" i="1"/>
  <c r="AZ15" i="1" s="1"/>
  <c r="BN26" i="1"/>
  <c r="BJ27" i="1" s="1"/>
  <c r="R12" i="3"/>
  <c r="S12" i="3" l="1"/>
  <c r="I23" i="87" s="1"/>
  <c r="M32" i="87" s="1"/>
  <c r="BD15" i="1"/>
  <c r="AZ16" i="1" s="1"/>
  <c r="AJ22" i="3"/>
  <c r="AJ18" i="3"/>
  <c r="BN27" i="1"/>
  <c r="BJ28" i="1" s="1"/>
  <c r="BD16" i="1" l="1"/>
  <c r="AZ17" i="1" s="1"/>
  <c r="AJ12" i="3"/>
  <c r="BN28" i="1"/>
  <c r="BJ29" i="1" s="1"/>
  <c r="F39" i="67"/>
  <c r="R23" i="3"/>
  <c r="S23" i="3" l="1"/>
  <c r="I23" i="67" s="1"/>
  <c r="AJ27" i="3"/>
  <c r="BD17" i="1"/>
  <c r="AZ18" i="1" s="1"/>
  <c r="BN29" i="1"/>
  <c r="BJ30" i="1" s="1"/>
  <c r="R14" i="3"/>
  <c r="S14" i="3" l="1"/>
  <c r="I23" i="89" s="1"/>
  <c r="BD18" i="1"/>
  <c r="AZ19" i="1" s="1"/>
  <c r="U4" i="3"/>
  <c r="AJ23" i="3"/>
  <c r="AJ3" i="3"/>
  <c r="AJ14" i="3"/>
  <c r="AB3" i="3"/>
  <c r="Y4" i="3" s="1"/>
  <c r="BN30" i="1"/>
  <c r="BJ31" i="1" s="1"/>
  <c r="R11" i="3"/>
  <c r="S11" i="3" l="1"/>
  <c r="I23" i="86" s="1"/>
  <c r="M32" i="86" s="1"/>
  <c r="BD19" i="1"/>
  <c r="AZ20" i="1" s="1"/>
  <c r="BN31" i="1"/>
  <c r="BJ32" i="1" s="1"/>
  <c r="AU4" i="1"/>
  <c r="BD20" i="1" l="1"/>
  <c r="AZ21" i="1" s="1"/>
  <c r="AJ11" i="3"/>
  <c r="BN32" i="1"/>
  <c r="BJ33" i="1" s="1"/>
  <c r="AY4" i="1"/>
  <c r="BD21" i="1" l="1"/>
  <c r="AZ22" i="1" s="1"/>
  <c r="AU5" i="1"/>
  <c r="AY5" i="1" s="1"/>
  <c r="AU6" i="1" s="1"/>
  <c r="BN33" i="1"/>
  <c r="R6" i="3"/>
  <c r="S6" i="3" s="1"/>
  <c r="I23" i="81" s="1"/>
  <c r="BD22" i="1" l="1"/>
  <c r="AZ23" i="1" s="1"/>
  <c r="AJ6" i="3"/>
  <c r="AY6" i="1"/>
  <c r="C35" i="6"/>
  <c r="G35" i="6"/>
  <c r="N35" i="6"/>
  <c r="S35" i="6"/>
  <c r="U35" i="6"/>
  <c r="BH35" i="6"/>
  <c r="BP35" i="6"/>
  <c r="BD23" i="1" l="1"/>
  <c r="AZ24" i="1" s="1"/>
  <c r="AU7" i="1"/>
  <c r="AY7" i="1" s="1"/>
  <c r="AU8" i="1" s="1"/>
  <c r="N19" i="1"/>
  <c r="P19" i="1" s="1"/>
  <c r="T19" i="1"/>
  <c r="V19" i="1" s="1"/>
  <c r="Z19" i="1"/>
  <c r="N20" i="1"/>
  <c r="T20" i="1"/>
  <c r="V20" i="1" s="1"/>
  <c r="Z20" i="1"/>
  <c r="N21" i="1"/>
  <c r="P21" i="1" s="1"/>
  <c r="T21" i="1"/>
  <c r="V21" i="1" s="1"/>
  <c r="Z21" i="1"/>
  <c r="N22" i="1"/>
  <c r="P22" i="1" s="1"/>
  <c r="T22" i="1"/>
  <c r="V22" i="1" s="1"/>
  <c r="Z22" i="1"/>
  <c r="N23" i="1"/>
  <c r="P23" i="1" s="1"/>
  <c r="T23" i="1"/>
  <c r="V23" i="1" s="1"/>
  <c r="Z23" i="1"/>
  <c r="BD24" i="1" l="1"/>
  <c r="P20" i="1"/>
  <c r="AY8" i="1"/>
  <c r="R21" i="3"/>
  <c r="S21" i="3" l="1"/>
  <c r="I23" i="96" s="1"/>
  <c r="AU9" i="1"/>
  <c r="AY9" i="1" s="1"/>
  <c r="AU10" i="1" s="1"/>
  <c r="AZ25" i="1"/>
  <c r="BD25" i="1" l="1"/>
  <c r="AJ21" i="3"/>
  <c r="R20" i="3"/>
  <c r="AY10" i="1"/>
  <c r="AU11" i="1" s="1"/>
  <c r="R15" i="3"/>
  <c r="S15" i="3" l="1"/>
  <c r="I23" i="90" s="1"/>
  <c r="S20" i="3"/>
  <c r="I23" i="95" s="1"/>
  <c r="AJ15" i="3"/>
  <c r="AZ26" i="1"/>
  <c r="AY11" i="1"/>
  <c r="AU12" i="1" s="1"/>
  <c r="BD26" i="1" l="1"/>
  <c r="AZ27" i="1" s="1"/>
  <c r="AJ20" i="3"/>
  <c r="R10" i="3"/>
  <c r="AY12" i="1"/>
  <c r="AU13" i="1" s="1"/>
  <c r="R8" i="3"/>
  <c r="S8" i="3" s="1"/>
  <c r="I23" i="83" s="1"/>
  <c r="S10" i="3" l="1"/>
  <c r="I23" i="85" s="1"/>
  <c r="M32" i="85" s="1"/>
  <c r="M32" i="83"/>
  <c r="BD27" i="1"/>
  <c r="AZ28" i="1" s="1"/>
  <c r="AY13" i="1"/>
  <c r="AU14" i="1" s="1"/>
  <c r="AR35" i="1"/>
  <c r="AQ35" i="1"/>
  <c r="AP4" i="1"/>
  <c r="AJ10" i="3" l="1"/>
  <c r="BD28" i="1"/>
  <c r="AZ29" i="1" s="1"/>
  <c r="AJ8" i="3"/>
  <c r="AT4" i="1"/>
  <c r="AP5" i="1" s="1"/>
  <c r="AY14" i="1"/>
  <c r="AU15" i="1" s="1"/>
  <c r="BD29" i="1" l="1"/>
  <c r="AZ30" i="1" s="1"/>
  <c r="AY15" i="1"/>
  <c r="AU16" i="1" s="1"/>
  <c r="AT5" i="1"/>
  <c r="AP6" i="1" s="1"/>
  <c r="AO3" i="1"/>
  <c r="AN35" i="1"/>
  <c r="R4" i="3" l="1"/>
  <c r="S4" i="3" s="1"/>
  <c r="I23" i="79" s="1"/>
  <c r="E4" i="3"/>
  <c r="F4" i="3" s="1"/>
  <c r="I24" i="79" s="1"/>
  <c r="BD30" i="1"/>
  <c r="AZ31" i="1" s="1"/>
  <c r="AL4" i="1"/>
  <c r="AY16" i="1"/>
  <c r="AU17" i="1" s="1"/>
  <c r="AT6" i="1"/>
  <c r="V35" i="6"/>
  <c r="M32" i="79" l="1"/>
  <c r="BD31" i="1"/>
  <c r="AZ32" i="1" s="1"/>
  <c r="X4" i="3"/>
  <c r="U5" i="3" s="1"/>
  <c r="AJ4" i="3"/>
  <c r="AB4" i="3"/>
  <c r="AO4" i="1"/>
  <c r="AP7" i="1"/>
  <c r="AT7" i="1" s="1"/>
  <c r="AP8" i="1" s="1"/>
  <c r="AY17" i="1"/>
  <c r="AU18" i="1" s="1"/>
  <c r="U34" i="6"/>
  <c r="BD32" i="1" l="1"/>
  <c r="AZ33" i="1" s="1"/>
  <c r="Y5" i="3"/>
  <c r="AY18" i="1"/>
  <c r="AU19" i="1" s="1"/>
  <c r="AT8" i="1"/>
  <c r="AP9" i="1" s="1"/>
  <c r="AT9" i="1" s="1"/>
  <c r="AP10" i="1" s="1"/>
  <c r="BD33" i="1" l="1"/>
  <c r="AZ34" i="1"/>
  <c r="AY19" i="1"/>
  <c r="AU20" i="1" s="1"/>
  <c r="AT10" i="1"/>
  <c r="R30" i="3"/>
  <c r="S30" i="3" l="1"/>
  <c r="I23" i="74" s="1"/>
  <c r="R29" i="3"/>
  <c r="AJ30" i="3"/>
  <c r="BD34" i="1"/>
  <c r="AY20" i="1"/>
  <c r="AU21" i="1" s="1"/>
  <c r="AP11" i="1"/>
  <c r="R26" i="3"/>
  <c r="J32" i="67"/>
  <c r="E52" i="67" s="1"/>
  <c r="J32" i="68"/>
  <c r="E52" i="68" s="1"/>
  <c r="J39" i="67"/>
  <c r="S29" i="3" l="1"/>
  <c r="I23" i="73" s="1"/>
  <c r="S26" i="3"/>
  <c r="I23" i="70" s="1"/>
  <c r="AY21" i="1"/>
  <c r="AU22" i="1" s="1"/>
  <c r="AT11" i="1"/>
  <c r="J32" i="42"/>
  <c r="E52" i="42" s="1"/>
  <c r="F39" i="42"/>
  <c r="M9" i="42"/>
  <c r="M32" i="70" l="1"/>
  <c r="AJ26" i="3"/>
  <c r="AY22" i="1"/>
  <c r="AU23" i="1" s="1"/>
  <c r="AP12" i="1"/>
  <c r="AD22" i="55"/>
  <c r="AD21" i="55"/>
  <c r="AD20" i="55"/>
  <c r="AD19" i="55"/>
  <c r="AD18" i="55"/>
  <c r="AD17" i="55"/>
  <c r="AD16" i="55"/>
  <c r="AD15" i="55"/>
  <c r="AD14" i="55"/>
  <c r="AD13" i="55"/>
  <c r="AD12" i="55"/>
  <c r="AD11" i="55"/>
  <c r="AD10" i="55"/>
  <c r="AD9" i="55"/>
  <c r="AD8" i="55"/>
  <c r="AD7" i="55"/>
  <c r="AD6" i="55"/>
  <c r="AD5" i="55"/>
  <c r="AD4" i="55"/>
  <c r="AD3" i="55"/>
  <c r="F61" i="96"/>
  <c r="F60" i="96"/>
  <c r="F59" i="96"/>
  <c r="M39" i="96"/>
  <c r="M38" i="96"/>
  <c r="M37" i="96"/>
  <c r="J36" i="96"/>
  <c r="H52" i="96" s="1"/>
  <c r="H53" i="96" s="1"/>
  <c r="J35" i="96"/>
  <c r="I52" i="96" s="1"/>
  <c r="J33" i="96"/>
  <c r="F36" i="96"/>
  <c r="F35" i="96"/>
  <c r="F33" i="96"/>
  <c r="F32" i="96"/>
  <c r="I22" i="96"/>
  <c r="F26" i="96"/>
  <c r="F25" i="96"/>
  <c r="F24" i="96"/>
  <c r="F23" i="96"/>
  <c r="F20" i="96"/>
  <c r="I12" i="96"/>
  <c r="M12" i="96" s="1"/>
  <c r="I11" i="96"/>
  <c r="M11" i="96" s="1"/>
  <c r="I10" i="96"/>
  <c r="M9" i="96"/>
  <c r="F12" i="96"/>
  <c r="F11" i="96"/>
  <c r="F10" i="96"/>
  <c r="F61" i="95"/>
  <c r="F60" i="95"/>
  <c r="F59" i="95"/>
  <c r="M39" i="95"/>
  <c r="M38" i="95"/>
  <c r="M37" i="95"/>
  <c r="J36" i="95"/>
  <c r="H52" i="95" s="1"/>
  <c r="H53" i="95" s="1"/>
  <c r="J35" i="95"/>
  <c r="I52" i="95" s="1"/>
  <c r="J33" i="95"/>
  <c r="F36" i="95"/>
  <c r="F35" i="95"/>
  <c r="F33" i="95"/>
  <c r="F32" i="95"/>
  <c r="I22" i="95"/>
  <c r="F26" i="95"/>
  <c r="F25" i="95"/>
  <c r="F24" i="95"/>
  <c r="F23" i="95"/>
  <c r="F20" i="95"/>
  <c r="I12" i="95"/>
  <c r="M12" i="95" s="1"/>
  <c r="I11" i="95"/>
  <c r="M11" i="95" s="1"/>
  <c r="I10" i="95"/>
  <c r="F12" i="95"/>
  <c r="F11" i="95"/>
  <c r="F10" i="95"/>
  <c r="J32" i="96"/>
  <c r="J32" i="95"/>
  <c r="E52" i="95" s="1"/>
  <c r="E53" i="95" s="1"/>
  <c r="I17" i="95"/>
  <c r="I17" i="96"/>
  <c r="I22" i="94"/>
  <c r="I17" i="94"/>
  <c r="I12" i="94"/>
  <c r="M12" i="94" s="1"/>
  <c r="I11" i="94"/>
  <c r="M11" i="94" s="1"/>
  <c r="I10" i="94"/>
  <c r="M10" i="94" s="1"/>
  <c r="M9" i="94"/>
  <c r="F26" i="94"/>
  <c r="F25" i="94"/>
  <c r="F24" i="94"/>
  <c r="F20" i="94"/>
  <c r="F12" i="94"/>
  <c r="F11" i="94"/>
  <c r="F10" i="94"/>
  <c r="M39" i="94"/>
  <c r="M38" i="94"/>
  <c r="M37" i="94"/>
  <c r="J36" i="94"/>
  <c r="H52" i="94" s="1"/>
  <c r="H53" i="94" s="1"/>
  <c r="J35" i="94"/>
  <c r="I52" i="94" s="1"/>
  <c r="J33" i="94"/>
  <c r="F61" i="94"/>
  <c r="F60" i="94"/>
  <c r="F59" i="94"/>
  <c r="F36" i="94"/>
  <c r="F35" i="94"/>
  <c r="F33" i="94"/>
  <c r="F32" i="94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4" i="1"/>
  <c r="Z25" i="1"/>
  <c r="Z26" i="1"/>
  <c r="Z27" i="1"/>
  <c r="Z28" i="1"/>
  <c r="Z29" i="1"/>
  <c r="Z30" i="1"/>
  <c r="Z31" i="1"/>
  <c r="Z32" i="1"/>
  <c r="Z33" i="1"/>
  <c r="Z3" i="1"/>
  <c r="AB34" i="2"/>
  <c r="AB35" i="2" s="1"/>
  <c r="AA34" i="2"/>
  <c r="AA35" i="2" s="1"/>
  <c r="AC3" i="2"/>
  <c r="Z4" i="2" s="1"/>
  <c r="E52" i="96" l="1"/>
  <c r="E53" i="96" s="1"/>
  <c r="Q32" i="96"/>
  <c r="M42" i="96"/>
  <c r="L54" i="96" s="1"/>
  <c r="M42" i="95"/>
  <c r="L54" i="95" s="1"/>
  <c r="M42" i="94"/>
  <c r="F52" i="96"/>
  <c r="F53" i="96" s="1"/>
  <c r="F52" i="94"/>
  <c r="F53" i="94" s="1"/>
  <c r="F52" i="95"/>
  <c r="F53" i="95" s="1"/>
  <c r="M10" i="95"/>
  <c r="I15" i="95"/>
  <c r="L54" i="94"/>
  <c r="F27" i="95"/>
  <c r="F27" i="96"/>
  <c r="F27" i="94"/>
  <c r="M9" i="95"/>
  <c r="Z34" i="1"/>
  <c r="M10" i="96"/>
  <c r="AB3" i="1"/>
  <c r="AY23" i="1"/>
  <c r="AU24" i="1" s="1"/>
  <c r="R19" i="3"/>
  <c r="AQ42" i="97"/>
  <c r="AT12" i="1"/>
  <c r="I15" i="96"/>
  <c r="F15" i="96"/>
  <c r="Q35" i="95"/>
  <c r="Q33" i="95"/>
  <c r="Q32" i="95"/>
  <c r="Q36" i="95"/>
  <c r="Q33" i="96"/>
  <c r="Q35" i="96"/>
  <c r="Q36" i="96"/>
  <c r="F15" i="95"/>
  <c r="F15" i="94"/>
  <c r="Q36" i="94"/>
  <c r="Q35" i="94"/>
  <c r="Q33" i="94"/>
  <c r="I15" i="94"/>
  <c r="AC4" i="2"/>
  <c r="Z5" i="2" s="1"/>
  <c r="I12" i="93"/>
  <c r="M12" i="93" s="1"/>
  <c r="I11" i="93"/>
  <c r="M11" i="93" s="1"/>
  <c r="I10" i="93"/>
  <c r="M10" i="93" s="1"/>
  <c r="M9" i="93"/>
  <c r="F12" i="93"/>
  <c r="F11" i="93"/>
  <c r="F10" i="93"/>
  <c r="I22" i="93"/>
  <c r="F26" i="93"/>
  <c r="F25" i="93"/>
  <c r="F24" i="93"/>
  <c r="F20" i="93"/>
  <c r="M39" i="93"/>
  <c r="M38" i="93"/>
  <c r="M37" i="93"/>
  <c r="J36" i="93"/>
  <c r="J35" i="93"/>
  <c r="I52" i="93" s="1"/>
  <c r="J33" i="93"/>
  <c r="F61" i="93"/>
  <c r="F60" i="93"/>
  <c r="F59" i="93"/>
  <c r="F36" i="93"/>
  <c r="F35" i="93"/>
  <c r="F33" i="93"/>
  <c r="F32" i="93"/>
  <c r="I22" i="92"/>
  <c r="I12" i="92"/>
  <c r="M12" i="92" s="1"/>
  <c r="I11" i="92"/>
  <c r="M11" i="92" s="1"/>
  <c r="I10" i="92"/>
  <c r="M10" i="92" s="1"/>
  <c r="M9" i="92"/>
  <c r="F26" i="92"/>
  <c r="F25" i="92"/>
  <c r="F24" i="92"/>
  <c r="F20" i="92"/>
  <c r="F12" i="92"/>
  <c r="F11" i="92"/>
  <c r="F10" i="92"/>
  <c r="M39" i="92"/>
  <c r="M38" i="92"/>
  <c r="M37" i="92"/>
  <c r="J36" i="92"/>
  <c r="H52" i="92" s="1"/>
  <c r="H53" i="92" s="1"/>
  <c r="J35" i="92"/>
  <c r="I52" i="92" s="1"/>
  <c r="J33" i="92"/>
  <c r="F52" i="92" s="1"/>
  <c r="F53" i="92" s="1"/>
  <c r="F61" i="92"/>
  <c r="F60" i="92"/>
  <c r="F59" i="92"/>
  <c r="F36" i="92"/>
  <c r="F35" i="92"/>
  <c r="F33" i="92"/>
  <c r="F32" i="92"/>
  <c r="F61" i="91"/>
  <c r="F60" i="91"/>
  <c r="F59" i="91"/>
  <c r="M39" i="91"/>
  <c r="M38" i="91"/>
  <c r="M37" i="91"/>
  <c r="J36" i="91"/>
  <c r="H52" i="91" s="1"/>
  <c r="H53" i="91" s="1"/>
  <c r="J35" i="91"/>
  <c r="I52" i="91" s="1"/>
  <c r="J33" i="91"/>
  <c r="F36" i="91"/>
  <c r="F35" i="91"/>
  <c r="F33" i="91"/>
  <c r="F32" i="91"/>
  <c r="I22" i="91"/>
  <c r="F26" i="91"/>
  <c r="F25" i="91"/>
  <c r="F24" i="91"/>
  <c r="F20" i="91"/>
  <c r="I11" i="91"/>
  <c r="M11" i="91" s="1"/>
  <c r="I12" i="91"/>
  <c r="M12" i="91" s="1"/>
  <c r="I10" i="91"/>
  <c r="M10" i="91" s="1"/>
  <c r="M9" i="91"/>
  <c r="F12" i="91"/>
  <c r="F11" i="91"/>
  <c r="F10" i="91"/>
  <c r="I22" i="90"/>
  <c r="F26" i="90"/>
  <c r="F25" i="90"/>
  <c r="F24" i="90"/>
  <c r="F20" i="90"/>
  <c r="I12" i="90"/>
  <c r="M12" i="90" s="1"/>
  <c r="I11" i="90"/>
  <c r="M11" i="90" s="1"/>
  <c r="I10" i="90"/>
  <c r="M9" i="90"/>
  <c r="F12" i="90"/>
  <c r="F11" i="90"/>
  <c r="F10" i="90"/>
  <c r="M39" i="90"/>
  <c r="M38" i="90"/>
  <c r="M37" i="90"/>
  <c r="J36" i="90"/>
  <c r="H52" i="90" s="1"/>
  <c r="H53" i="90" s="1"/>
  <c r="J35" i="90"/>
  <c r="I52" i="90" s="1"/>
  <c r="J33" i="90"/>
  <c r="F61" i="90"/>
  <c r="P40" i="90" s="1"/>
  <c r="F60" i="90"/>
  <c r="F59" i="90"/>
  <c r="F36" i="90"/>
  <c r="F35" i="90"/>
  <c r="F33" i="90"/>
  <c r="F32" i="90"/>
  <c r="I12" i="89"/>
  <c r="M12" i="89" s="1"/>
  <c r="I11" i="89"/>
  <c r="M11" i="89" s="1"/>
  <c r="I10" i="89"/>
  <c r="M10" i="89" s="1"/>
  <c r="M9" i="89"/>
  <c r="I22" i="89"/>
  <c r="F26" i="89"/>
  <c r="F25" i="89"/>
  <c r="F24" i="89"/>
  <c r="F20" i="89"/>
  <c r="F12" i="89"/>
  <c r="F11" i="89"/>
  <c r="F10" i="89"/>
  <c r="M39" i="89"/>
  <c r="M38" i="89"/>
  <c r="M37" i="89"/>
  <c r="J36" i="89"/>
  <c r="H52" i="89" s="1"/>
  <c r="H53" i="89" s="1"/>
  <c r="J35" i="89"/>
  <c r="I52" i="89" s="1"/>
  <c r="J33" i="89"/>
  <c r="F61" i="89"/>
  <c r="F60" i="89"/>
  <c r="F59" i="89"/>
  <c r="F36" i="89"/>
  <c r="F35" i="89"/>
  <c r="F33" i="89"/>
  <c r="F32" i="89"/>
  <c r="S19" i="3" l="1"/>
  <c r="I23" i="94" s="1"/>
  <c r="M42" i="93"/>
  <c r="L54" i="93" s="1"/>
  <c r="M42" i="91"/>
  <c r="L54" i="91" s="1"/>
  <c r="M42" i="92"/>
  <c r="L54" i="92" s="1"/>
  <c r="M42" i="90"/>
  <c r="L54" i="90" s="1"/>
  <c r="M42" i="89"/>
  <c r="L54" i="89" s="1"/>
  <c r="F52" i="93"/>
  <c r="F53" i="93" s="1"/>
  <c r="F52" i="91"/>
  <c r="F53" i="91" s="1"/>
  <c r="F52" i="89"/>
  <c r="F53" i="89" s="1"/>
  <c r="F52" i="90"/>
  <c r="F53" i="90" s="1"/>
  <c r="H52" i="93"/>
  <c r="H53" i="93" s="1"/>
  <c r="E53" i="93"/>
  <c r="M10" i="90"/>
  <c r="I15" i="90"/>
  <c r="F27" i="89"/>
  <c r="F27" i="90"/>
  <c r="F27" i="91"/>
  <c r="F27" i="93"/>
  <c r="F27" i="92"/>
  <c r="AY24" i="1"/>
  <c r="AU25" i="1" s="1"/>
  <c r="AY25" i="1" s="1"/>
  <c r="AU26" i="1" s="1"/>
  <c r="AP13" i="1"/>
  <c r="AC5" i="2"/>
  <c r="Z6" i="2" s="1"/>
  <c r="N12" i="96"/>
  <c r="N11" i="96"/>
  <c r="N10" i="96"/>
  <c r="N9" i="96"/>
  <c r="N11" i="95"/>
  <c r="N9" i="95"/>
  <c r="N12" i="95"/>
  <c r="N10" i="95"/>
  <c r="Q33" i="93"/>
  <c r="Q36" i="93"/>
  <c r="N12" i="94"/>
  <c r="N11" i="94"/>
  <c r="N10" i="94"/>
  <c r="N9" i="94"/>
  <c r="I15" i="92"/>
  <c r="Q33" i="92"/>
  <c r="F15" i="93"/>
  <c r="Q35" i="93"/>
  <c r="I15" i="93"/>
  <c r="F15" i="92"/>
  <c r="Q35" i="92"/>
  <c r="Q36" i="92"/>
  <c r="Q36" i="91"/>
  <c r="Q35" i="91"/>
  <c r="Q33" i="91"/>
  <c r="F15" i="91"/>
  <c r="I15" i="91"/>
  <c r="F15" i="90"/>
  <c r="Q33" i="90"/>
  <c r="Q35" i="90"/>
  <c r="Q36" i="90"/>
  <c r="F15" i="89"/>
  <c r="I15" i="89"/>
  <c r="Q33" i="89"/>
  <c r="Q35" i="89"/>
  <c r="Q36" i="89"/>
  <c r="F61" i="88"/>
  <c r="F60" i="88"/>
  <c r="F59" i="88"/>
  <c r="M39" i="88"/>
  <c r="M38" i="88"/>
  <c r="M37" i="88"/>
  <c r="J36" i="88"/>
  <c r="H52" i="88" s="1"/>
  <c r="H53" i="88" s="1"/>
  <c r="J35" i="88"/>
  <c r="I52" i="88" s="1"/>
  <c r="J33" i="88"/>
  <c r="F36" i="88"/>
  <c r="F35" i="88"/>
  <c r="F33" i="88"/>
  <c r="F32" i="88"/>
  <c r="I22" i="88"/>
  <c r="F26" i="88"/>
  <c r="F25" i="88"/>
  <c r="F24" i="88"/>
  <c r="F20" i="88"/>
  <c r="I12" i="88"/>
  <c r="M12" i="88" s="1"/>
  <c r="I11" i="88"/>
  <c r="M11" i="88" s="1"/>
  <c r="I10" i="88"/>
  <c r="M10" i="88" s="1"/>
  <c r="F12" i="88"/>
  <c r="F11" i="88"/>
  <c r="F10" i="88"/>
  <c r="I16" i="87"/>
  <c r="I16" i="88"/>
  <c r="M39" i="87"/>
  <c r="M38" i="87"/>
  <c r="M37" i="87"/>
  <c r="J36" i="87"/>
  <c r="H52" i="87" s="1"/>
  <c r="H53" i="87" s="1"/>
  <c r="J35" i="87"/>
  <c r="I52" i="87" s="1"/>
  <c r="J33" i="87"/>
  <c r="I22" i="87"/>
  <c r="I12" i="87"/>
  <c r="M12" i="87" s="1"/>
  <c r="I11" i="87"/>
  <c r="M11" i="87" s="1"/>
  <c r="I10" i="87"/>
  <c r="M10" i="87" s="1"/>
  <c r="F26" i="87"/>
  <c r="F25" i="87"/>
  <c r="F24" i="87"/>
  <c r="F20" i="87"/>
  <c r="F12" i="87"/>
  <c r="F11" i="87"/>
  <c r="F10" i="87"/>
  <c r="F61" i="87"/>
  <c r="F60" i="87"/>
  <c r="F59" i="87"/>
  <c r="F36" i="87"/>
  <c r="F35" i="87"/>
  <c r="F33" i="87"/>
  <c r="F32" i="87"/>
  <c r="I12" i="86"/>
  <c r="M12" i="86" s="1"/>
  <c r="I11" i="86"/>
  <c r="M11" i="86" s="1"/>
  <c r="I10" i="86"/>
  <c r="M10" i="86" s="1"/>
  <c r="I22" i="86"/>
  <c r="F26" i="86"/>
  <c r="F25" i="86"/>
  <c r="F24" i="86"/>
  <c r="F20" i="86"/>
  <c r="F12" i="86"/>
  <c r="F11" i="86"/>
  <c r="F10" i="86"/>
  <c r="M39" i="86"/>
  <c r="M38" i="86"/>
  <c r="M37" i="86"/>
  <c r="J36" i="86"/>
  <c r="J35" i="86"/>
  <c r="I52" i="86" s="1"/>
  <c r="J33" i="86"/>
  <c r="F61" i="86"/>
  <c r="F60" i="86"/>
  <c r="F59" i="86"/>
  <c r="F36" i="86"/>
  <c r="F35" i="86"/>
  <c r="F33" i="86"/>
  <c r="F32" i="86"/>
  <c r="R9" i="3"/>
  <c r="I22" i="85"/>
  <c r="I12" i="85"/>
  <c r="M12" i="85" s="1"/>
  <c r="I11" i="85"/>
  <c r="M11" i="85" s="1"/>
  <c r="I10" i="85"/>
  <c r="M10" i="85" s="1"/>
  <c r="M39" i="85"/>
  <c r="M38" i="85"/>
  <c r="M37" i="85"/>
  <c r="J36" i="85"/>
  <c r="J35" i="85"/>
  <c r="I52" i="85" s="1"/>
  <c r="J33" i="85"/>
  <c r="F26" i="85"/>
  <c r="F25" i="85"/>
  <c r="F24" i="85"/>
  <c r="F20" i="85"/>
  <c r="F12" i="85"/>
  <c r="F11" i="85"/>
  <c r="F10" i="85"/>
  <c r="F61" i="84"/>
  <c r="F60" i="84"/>
  <c r="F59" i="84"/>
  <c r="F61" i="85"/>
  <c r="F60" i="85"/>
  <c r="F59" i="85"/>
  <c r="F36" i="85"/>
  <c r="F35" i="85"/>
  <c r="F33" i="85"/>
  <c r="F32" i="85"/>
  <c r="I16" i="84"/>
  <c r="I16" i="85"/>
  <c r="I16" i="86"/>
  <c r="I16" i="89"/>
  <c r="I16" i="90"/>
  <c r="I16" i="91"/>
  <c r="I16" i="92"/>
  <c r="I16" i="94"/>
  <c r="I18" i="94" s="1"/>
  <c r="I16" i="95"/>
  <c r="I16" i="96"/>
  <c r="I22" i="84"/>
  <c r="I12" i="84"/>
  <c r="M12" i="84" s="1"/>
  <c r="I11" i="84"/>
  <c r="M11" i="84" s="1"/>
  <c r="I10" i="84"/>
  <c r="M10" i="84" s="1"/>
  <c r="S9" i="3" l="1"/>
  <c r="I23" i="84" s="1"/>
  <c r="M42" i="85"/>
  <c r="M42" i="88"/>
  <c r="M42" i="87"/>
  <c r="L54" i="87" s="1"/>
  <c r="M42" i="86"/>
  <c r="L54" i="86" s="1"/>
  <c r="L54" i="85"/>
  <c r="F52" i="88"/>
  <c r="F53" i="88" s="1"/>
  <c r="F52" i="85"/>
  <c r="F53" i="85" s="1"/>
  <c r="F52" i="87"/>
  <c r="F53" i="87" s="1"/>
  <c r="F52" i="86"/>
  <c r="F53" i="86" s="1"/>
  <c r="H52" i="86"/>
  <c r="H53" i="86" s="1"/>
  <c r="H52" i="85"/>
  <c r="H53" i="85" s="1"/>
  <c r="N15" i="95"/>
  <c r="N15" i="96"/>
  <c r="N15" i="94"/>
  <c r="L54" i="88"/>
  <c r="F27" i="87"/>
  <c r="F27" i="86"/>
  <c r="F27" i="88"/>
  <c r="F27" i="85"/>
  <c r="AJ9" i="3"/>
  <c r="M9" i="84"/>
  <c r="M15" i="84" s="1"/>
  <c r="M9" i="85"/>
  <c r="M9" i="86"/>
  <c r="M9" i="87"/>
  <c r="M9" i="88"/>
  <c r="AJ13" i="3"/>
  <c r="I18" i="96"/>
  <c r="AJ19" i="3"/>
  <c r="AY26" i="1"/>
  <c r="AU27" i="1" s="1"/>
  <c r="AT13" i="1"/>
  <c r="Q36" i="87"/>
  <c r="AC6" i="2"/>
  <c r="Z7" i="2" s="1"/>
  <c r="M15" i="96"/>
  <c r="I18" i="95"/>
  <c r="M15" i="95"/>
  <c r="M15" i="94"/>
  <c r="N11" i="92"/>
  <c r="N9" i="93"/>
  <c r="N11" i="93"/>
  <c r="N10" i="93"/>
  <c r="N12" i="93"/>
  <c r="N10" i="92"/>
  <c r="N12" i="92"/>
  <c r="N9" i="92"/>
  <c r="N11" i="91"/>
  <c r="N12" i="91"/>
  <c r="N9" i="91"/>
  <c r="N10" i="91"/>
  <c r="N9" i="90"/>
  <c r="N12" i="90"/>
  <c r="N11" i="90"/>
  <c r="N10" i="90"/>
  <c r="N11" i="89"/>
  <c r="N12" i="89"/>
  <c r="N10" i="89"/>
  <c r="N9" i="89"/>
  <c r="Q35" i="88"/>
  <c r="Q33" i="88"/>
  <c r="Q36" i="88"/>
  <c r="F15" i="88"/>
  <c r="I15" i="88"/>
  <c r="Q35" i="87"/>
  <c r="I15" i="87"/>
  <c r="F15" i="87"/>
  <c r="Q33" i="87"/>
  <c r="F15" i="86"/>
  <c r="Q35" i="86"/>
  <c r="Q33" i="86"/>
  <c r="Q36" i="86"/>
  <c r="I15" i="86"/>
  <c r="I15" i="85"/>
  <c r="Q35" i="85"/>
  <c r="Q33" i="85"/>
  <c r="F15" i="85"/>
  <c r="Q36" i="85"/>
  <c r="F26" i="84"/>
  <c r="F25" i="84"/>
  <c r="F24" i="84"/>
  <c r="F20" i="84"/>
  <c r="F12" i="84"/>
  <c r="F11" i="84"/>
  <c r="F10" i="84"/>
  <c r="M39" i="84"/>
  <c r="M38" i="84"/>
  <c r="M37" i="84"/>
  <c r="J36" i="84"/>
  <c r="J35" i="84"/>
  <c r="I52" i="84" s="1"/>
  <c r="J33" i="84"/>
  <c r="F36" i="84"/>
  <c r="F35" i="84"/>
  <c r="F33" i="84"/>
  <c r="F32" i="84"/>
  <c r="I22" i="83"/>
  <c r="I16" i="83"/>
  <c r="I12" i="83"/>
  <c r="M12" i="83" s="1"/>
  <c r="I11" i="83"/>
  <c r="M11" i="83" s="1"/>
  <c r="I10" i="83"/>
  <c r="M10" i="83" s="1"/>
  <c r="J36" i="83"/>
  <c r="J35" i="83"/>
  <c r="I52" i="83" s="1"/>
  <c r="J33" i="83"/>
  <c r="F52" i="83" s="1"/>
  <c r="M39" i="83"/>
  <c r="M38" i="83"/>
  <c r="M37" i="83"/>
  <c r="F26" i="83"/>
  <c r="F25" i="83"/>
  <c r="F24" i="83"/>
  <c r="F20" i="83"/>
  <c r="F12" i="83"/>
  <c r="F11" i="83"/>
  <c r="F10" i="83"/>
  <c r="F61" i="83"/>
  <c r="F60" i="83"/>
  <c r="F59" i="83"/>
  <c r="F36" i="83"/>
  <c r="F35" i="83"/>
  <c r="F33" i="83"/>
  <c r="F32" i="83"/>
  <c r="I22" i="82"/>
  <c r="I12" i="82"/>
  <c r="M12" i="82" s="1"/>
  <c r="I11" i="82"/>
  <c r="M11" i="82" s="1"/>
  <c r="I10" i="82"/>
  <c r="M10" i="82" s="1"/>
  <c r="M39" i="82"/>
  <c r="M38" i="82"/>
  <c r="M37" i="82"/>
  <c r="J36" i="82"/>
  <c r="J35" i="82"/>
  <c r="I52" i="82" s="1"/>
  <c r="J33" i="82"/>
  <c r="F32" i="82"/>
  <c r="F26" i="82"/>
  <c r="F25" i="82"/>
  <c r="F24" i="82"/>
  <c r="F20" i="82"/>
  <c r="F12" i="82"/>
  <c r="F11" i="82"/>
  <c r="F10" i="82"/>
  <c r="F61" i="82"/>
  <c r="F60" i="82"/>
  <c r="F59" i="82"/>
  <c r="F36" i="82"/>
  <c r="F35" i="82"/>
  <c r="F33" i="82"/>
  <c r="I22" i="81"/>
  <c r="I12" i="81"/>
  <c r="M12" i="81" s="1"/>
  <c r="I11" i="81"/>
  <c r="M11" i="81" s="1"/>
  <c r="I10" i="81"/>
  <c r="M39" i="81"/>
  <c r="M38" i="81"/>
  <c r="M37" i="81"/>
  <c r="J36" i="81"/>
  <c r="J35" i="81"/>
  <c r="J33" i="81"/>
  <c r="F52" i="81" s="1"/>
  <c r="F26" i="81"/>
  <c r="F25" i="81"/>
  <c r="F24" i="81"/>
  <c r="F20" i="81"/>
  <c r="F12" i="81"/>
  <c r="F11" i="81"/>
  <c r="F10" i="81"/>
  <c r="F61" i="81"/>
  <c r="F60" i="81"/>
  <c r="F59" i="81"/>
  <c r="F36" i="81"/>
  <c r="F35" i="81"/>
  <c r="F33" i="81"/>
  <c r="F32" i="81"/>
  <c r="I22" i="80"/>
  <c r="I22" i="79"/>
  <c r="I22" i="78"/>
  <c r="M42" i="84" l="1"/>
  <c r="M32" i="84"/>
  <c r="M42" i="83"/>
  <c r="L54" i="83" s="1"/>
  <c r="M42" i="82"/>
  <c r="L54" i="82" s="1"/>
  <c r="M42" i="81"/>
  <c r="L54" i="81" s="1"/>
  <c r="F53" i="83"/>
  <c r="F52" i="84"/>
  <c r="F53" i="84" s="1"/>
  <c r="F52" i="82"/>
  <c r="F53" i="82" s="1"/>
  <c r="F53" i="81"/>
  <c r="H52" i="82"/>
  <c r="H53" i="82" s="1"/>
  <c r="E53" i="82"/>
  <c r="H52" i="83"/>
  <c r="H53" i="83" s="1"/>
  <c r="E53" i="83"/>
  <c r="H52" i="84"/>
  <c r="H53" i="84" s="1"/>
  <c r="E53" i="84"/>
  <c r="I52" i="81"/>
  <c r="H52" i="81"/>
  <c r="H53" i="81" s="1"/>
  <c r="R7" i="3"/>
  <c r="S7" i="3" s="1"/>
  <c r="I23" i="82" s="1"/>
  <c r="N15" i="90"/>
  <c r="N15" i="92"/>
  <c r="N15" i="93"/>
  <c r="N15" i="91"/>
  <c r="N15" i="89"/>
  <c r="L54" i="84"/>
  <c r="M10" i="81"/>
  <c r="I15" i="81"/>
  <c r="F27" i="81"/>
  <c r="F27" i="84"/>
  <c r="M32" i="81"/>
  <c r="F27" i="83"/>
  <c r="F27" i="82"/>
  <c r="M9" i="81"/>
  <c r="M9" i="82"/>
  <c r="AY27" i="1"/>
  <c r="AU28" i="1" s="1"/>
  <c r="AP14" i="1"/>
  <c r="AC7" i="2"/>
  <c r="Z8" i="2" s="1"/>
  <c r="M15" i="93"/>
  <c r="M15" i="92"/>
  <c r="M15" i="91"/>
  <c r="M15" i="90"/>
  <c r="M15" i="89"/>
  <c r="N9" i="88"/>
  <c r="N12" i="88"/>
  <c r="N11" i="88"/>
  <c r="N10" i="88"/>
  <c r="N10" i="87"/>
  <c r="N12" i="87"/>
  <c r="N9" i="87"/>
  <c r="N11" i="87"/>
  <c r="N12" i="86"/>
  <c r="N10" i="86"/>
  <c r="N11" i="86"/>
  <c r="N9" i="86"/>
  <c r="N11" i="85"/>
  <c r="N9" i="85"/>
  <c r="N12" i="85"/>
  <c r="N10" i="85"/>
  <c r="F15" i="84"/>
  <c r="I15" i="84"/>
  <c r="Q33" i="84"/>
  <c r="Q35" i="84"/>
  <c r="Q36" i="84"/>
  <c r="Q36" i="83"/>
  <c r="Q35" i="83"/>
  <c r="Q33" i="83"/>
  <c r="F15" i="83"/>
  <c r="I15" i="83"/>
  <c r="N9" i="83" s="1"/>
  <c r="F15" i="82"/>
  <c r="I15" i="82"/>
  <c r="Q36" i="82"/>
  <c r="Q35" i="82"/>
  <c r="Q33" i="82"/>
  <c r="I12" i="80"/>
  <c r="M12" i="80" s="1"/>
  <c r="I11" i="80"/>
  <c r="M11" i="80" s="1"/>
  <c r="I10" i="80"/>
  <c r="M10" i="80" s="1"/>
  <c r="M9" i="80"/>
  <c r="M39" i="80"/>
  <c r="M38" i="80"/>
  <c r="M37" i="80"/>
  <c r="J36" i="80"/>
  <c r="H52" i="80" s="1"/>
  <c r="J35" i="80"/>
  <c r="J33" i="80"/>
  <c r="F52" i="80" s="1"/>
  <c r="F61" i="80"/>
  <c r="F60" i="80"/>
  <c r="F59" i="80"/>
  <c r="F36" i="80"/>
  <c r="F35" i="80"/>
  <c r="F33" i="80"/>
  <c r="F32" i="80"/>
  <c r="F26" i="80"/>
  <c r="F25" i="80"/>
  <c r="F24" i="80"/>
  <c r="F20" i="80"/>
  <c r="F12" i="80"/>
  <c r="F11" i="80"/>
  <c r="F10" i="80"/>
  <c r="M39" i="79"/>
  <c r="M38" i="79"/>
  <c r="M42" i="79" l="1"/>
  <c r="K54" i="79" s="1"/>
  <c r="M42" i="80"/>
  <c r="L54" i="80" s="1"/>
  <c r="H53" i="80"/>
  <c r="I52" i="80"/>
  <c r="AJ7" i="3"/>
  <c r="N15" i="85"/>
  <c r="N15" i="86"/>
  <c r="N15" i="88"/>
  <c r="N15" i="87"/>
  <c r="F27" i="80"/>
  <c r="AE34" i="1"/>
  <c r="AY28" i="1"/>
  <c r="AU29" i="1" s="1"/>
  <c r="AT14" i="1"/>
  <c r="AP15" i="1" s="1"/>
  <c r="AC8" i="2"/>
  <c r="Z9" i="2" s="1"/>
  <c r="N12" i="82"/>
  <c r="M15" i="88"/>
  <c r="M15" i="87"/>
  <c r="M15" i="86"/>
  <c r="M15" i="85"/>
  <c r="N11" i="84"/>
  <c r="N12" i="84"/>
  <c r="N10" i="84"/>
  <c r="N9" i="84"/>
  <c r="N12" i="83"/>
  <c r="N10" i="83"/>
  <c r="N11" i="83"/>
  <c r="N10" i="82"/>
  <c r="N9" i="82"/>
  <c r="N11" i="82"/>
  <c r="F15" i="80"/>
  <c r="F15" i="81"/>
  <c r="Q36" i="81"/>
  <c r="Q35" i="81"/>
  <c r="Q33" i="81"/>
  <c r="I15" i="80"/>
  <c r="Q35" i="80"/>
  <c r="Q36" i="80"/>
  <c r="Q33" i="80"/>
  <c r="E35" i="1"/>
  <c r="M35" i="1"/>
  <c r="O35" i="1"/>
  <c r="S35" i="1"/>
  <c r="Y35" i="1"/>
  <c r="AA35" i="1"/>
  <c r="AD35" i="1"/>
  <c r="AE35" i="1"/>
  <c r="AH35" i="1"/>
  <c r="Y3" i="2"/>
  <c r="V4" i="2" s="1"/>
  <c r="Y4" i="2" s="1"/>
  <c r="V5" i="2" s="1"/>
  <c r="N15" i="82" l="1"/>
  <c r="N15" i="83"/>
  <c r="N15" i="84"/>
  <c r="AY29" i="1"/>
  <c r="AU30" i="1" s="1"/>
  <c r="AT15" i="1"/>
  <c r="AP16" i="1" s="1"/>
  <c r="AC9" i="2"/>
  <c r="Z10" i="2" s="1"/>
  <c r="F53" i="80"/>
  <c r="M15" i="83"/>
  <c r="M15" i="82"/>
  <c r="Y5" i="2"/>
  <c r="V6" i="2" s="1"/>
  <c r="N12" i="81"/>
  <c r="N10" i="81"/>
  <c r="N9" i="81"/>
  <c r="N11" i="81"/>
  <c r="N11" i="80"/>
  <c r="N10" i="80"/>
  <c r="N12" i="80"/>
  <c r="N9" i="80"/>
  <c r="J36" i="79"/>
  <c r="J35" i="79"/>
  <c r="J33" i="79"/>
  <c r="I12" i="79"/>
  <c r="M12" i="79" s="1"/>
  <c r="I11" i="79"/>
  <c r="M11" i="79" s="1"/>
  <c r="I10" i="79"/>
  <c r="M10" i="79" s="1"/>
  <c r="F26" i="79"/>
  <c r="F25" i="79"/>
  <c r="F24" i="79"/>
  <c r="F20" i="79"/>
  <c r="F12" i="79"/>
  <c r="F11" i="79"/>
  <c r="F10" i="79"/>
  <c r="F61" i="79"/>
  <c r="F60" i="79"/>
  <c r="F59" i="79"/>
  <c r="F36" i="79"/>
  <c r="F35" i="79"/>
  <c r="F33" i="79"/>
  <c r="F32" i="79"/>
  <c r="M39" i="78"/>
  <c r="O39" i="78" s="1"/>
  <c r="O39" i="79" s="1"/>
  <c r="O39" i="80" s="1"/>
  <c r="M38" i="78"/>
  <c r="N38" i="78" s="1"/>
  <c r="M37" i="78"/>
  <c r="J36" i="78"/>
  <c r="J35" i="78"/>
  <c r="J33" i="78"/>
  <c r="F52" i="78" s="1"/>
  <c r="I39" i="78"/>
  <c r="I38" i="78"/>
  <c r="I37" i="78"/>
  <c r="I36" i="78"/>
  <c r="I35" i="78"/>
  <c r="I33" i="78"/>
  <c r="J22" i="78"/>
  <c r="I12" i="78"/>
  <c r="I11" i="78"/>
  <c r="I10" i="78"/>
  <c r="F32" i="78"/>
  <c r="H32" i="78" s="1"/>
  <c r="F26" i="78"/>
  <c r="F25" i="78"/>
  <c r="F24" i="78"/>
  <c r="F23" i="78"/>
  <c r="F20" i="78"/>
  <c r="F12" i="78"/>
  <c r="F11" i="78"/>
  <c r="G11" i="78" s="1"/>
  <c r="F10" i="78"/>
  <c r="F61" i="78"/>
  <c r="H61" i="78" s="1"/>
  <c r="F60" i="78"/>
  <c r="F59" i="78"/>
  <c r="H59" i="78" s="1"/>
  <c r="F36" i="78"/>
  <c r="H36" i="78" s="1"/>
  <c r="F35" i="78"/>
  <c r="H35" i="78" s="1"/>
  <c r="F33" i="78"/>
  <c r="H33" i="78" s="1"/>
  <c r="E26" i="78"/>
  <c r="E25" i="78"/>
  <c r="E24" i="78"/>
  <c r="E20" i="78"/>
  <c r="E12" i="78"/>
  <c r="E11" i="78"/>
  <c r="E10" i="78"/>
  <c r="M37" i="77"/>
  <c r="M36" i="77"/>
  <c r="M35" i="77"/>
  <c r="J34" i="77"/>
  <c r="J33" i="77"/>
  <c r="J31" i="77"/>
  <c r="F50" i="77" s="1"/>
  <c r="F51" i="77" s="1"/>
  <c r="I20" i="77"/>
  <c r="I12" i="77"/>
  <c r="M12" i="77" s="1"/>
  <c r="I11" i="77"/>
  <c r="I10" i="77"/>
  <c r="M9" i="77"/>
  <c r="F24" i="77"/>
  <c r="F23" i="77"/>
  <c r="F22" i="77"/>
  <c r="F21" i="77"/>
  <c r="F18" i="77"/>
  <c r="F12" i="77"/>
  <c r="F11" i="77"/>
  <c r="F10" i="77"/>
  <c r="F59" i="77"/>
  <c r="F58" i="77"/>
  <c r="F57" i="77"/>
  <c r="F34" i="77"/>
  <c r="F33" i="77"/>
  <c r="F31" i="77"/>
  <c r="M39" i="76"/>
  <c r="M38" i="76"/>
  <c r="M37" i="76"/>
  <c r="J36" i="76"/>
  <c r="J35" i="76"/>
  <c r="I52" i="76" s="1"/>
  <c r="J33" i="76"/>
  <c r="I22" i="76"/>
  <c r="I12" i="76"/>
  <c r="M12" i="76" s="1"/>
  <c r="I11" i="76"/>
  <c r="M11" i="76" s="1"/>
  <c r="I10" i="76"/>
  <c r="M9" i="76"/>
  <c r="F26" i="76"/>
  <c r="F25" i="76"/>
  <c r="F24" i="76"/>
  <c r="F23" i="76"/>
  <c r="F20" i="76"/>
  <c r="F12" i="76"/>
  <c r="F11" i="76"/>
  <c r="F10" i="76"/>
  <c r="F15" i="76" s="1"/>
  <c r="F61" i="76"/>
  <c r="F60" i="76"/>
  <c r="F59" i="76"/>
  <c r="F36" i="76"/>
  <c r="F35" i="76"/>
  <c r="F33" i="76"/>
  <c r="F32" i="76"/>
  <c r="I22" i="75"/>
  <c r="I12" i="75"/>
  <c r="I11" i="75"/>
  <c r="I10" i="75"/>
  <c r="M39" i="75"/>
  <c r="M38" i="75"/>
  <c r="M37" i="75"/>
  <c r="J36" i="75"/>
  <c r="H52" i="75" s="1"/>
  <c r="H53" i="75" s="1"/>
  <c r="J35" i="75"/>
  <c r="I52" i="75" s="1"/>
  <c r="J33" i="75"/>
  <c r="F52" i="75" s="1"/>
  <c r="F26" i="75"/>
  <c r="F25" i="75"/>
  <c r="F24" i="75"/>
  <c r="F20" i="75"/>
  <c r="F12" i="75"/>
  <c r="F11" i="75"/>
  <c r="F10" i="75"/>
  <c r="F15" i="75" s="1"/>
  <c r="F61" i="75"/>
  <c r="F59" i="75"/>
  <c r="F36" i="75"/>
  <c r="F35" i="75"/>
  <c r="F33" i="75"/>
  <c r="F32" i="75"/>
  <c r="AD26" i="55"/>
  <c r="AD25" i="55"/>
  <c r="AD24" i="55"/>
  <c r="AD23" i="55"/>
  <c r="M39" i="74"/>
  <c r="M38" i="74"/>
  <c r="M37" i="74"/>
  <c r="J36" i="74"/>
  <c r="H52" i="74" s="1"/>
  <c r="H53" i="74" s="1"/>
  <c r="J35" i="74"/>
  <c r="I52" i="74" s="1"/>
  <c r="J33" i="74"/>
  <c r="F26" i="74"/>
  <c r="F25" i="74"/>
  <c r="F24" i="74"/>
  <c r="F20" i="74"/>
  <c r="F12" i="74"/>
  <c r="F11" i="74"/>
  <c r="F10" i="74"/>
  <c r="I22" i="74"/>
  <c r="I12" i="74"/>
  <c r="I11" i="74"/>
  <c r="I10" i="74"/>
  <c r="M9" i="74"/>
  <c r="F61" i="74"/>
  <c r="F60" i="74"/>
  <c r="F59" i="74"/>
  <c r="F32" i="74"/>
  <c r="AD34" i="55" l="1"/>
  <c r="AD33" i="55"/>
  <c r="AE33" i="55" s="1"/>
  <c r="M10" i="76"/>
  <c r="M15" i="76" s="1"/>
  <c r="I15" i="76"/>
  <c r="F15" i="74"/>
  <c r="M10" i="75"/>
  <c r="I15" i="75"/>
  <c r="M11" i="75"/>
  <c r="M10" i="74"/>
  <c r="I15" i="74"/>
  <c r="M12" i="75"/>
  <c r="M12" i="74"/>
  <c r="M11" i="74"/>
  <c r="E15" i="78"/>
  <c r="M42" i="74"/>
  <c r="L54" i="74" s="1"/>
  <c r="F52" i="79"/>
  <c r="M42" i="76"/>
  <c r="L54" i="76" s="1"/>
  <c r="M42" i="75"/>
  <c r="L54" i="75" s="1"/>
  <c r="O39" i="81"/>
  <c r="O39" i="82" s="1"/>
  <c r="O39" i="83" s="1"/>
  <c r="O39" i="84" s="1"/>
  <c r="O39" i="85" s="1"/>
  <c r="O39" i="86" s="1"/>
  <c r="O39" i="87" s="1"/>
  <c r="O39" i="88" s="1"/>
  <c r="O39" i="89" s="1"/>
  <c r="O39" i="90" s="1"/>
  <c r="M42" i="78"/>
  <c r="K54" i="78" s="1"/>
  <c r="I42" i="78"/>
  <c r="M40" i="77"/>
  <c r="L36" i="78"/>
  <c r="L36" i="79" s="1"/>
  <c r="F52" i="76"/>
  <c r="F53" i="76" s="1"/>
  <c r="F53" i="75"/>
  <c r="F52" i="74"/>
  <c r="F53" i="74" s="1"/>
  <c r="H52" i="76"/>
  <c r="H53" i="76" s="1"/>
  <c r="E53" i="76"/>
  <c r="N37" i="78"/>
  <c r="N15" i="80"/>
  <c r="M10" i="78"/>
  <c r="N15" i="81"/>
  <c r="P40" i="75"/>
  <c r="F25" i="77"/>
  <c r="F27" i="76"/>
  <c r="F27" i="75"/>
  <c r="M9" i="75"/>
  <c r="M15" i="75" s="1"/>
  <c r="F27" i="74"/>
  <c r="E27" i="78"/>
  <c r="F27" i="78"/>
  <c r="K33" i="78"/>
  <c r="K33" i="79" s="1"/>
  <c r="F27" i="79"/>
  <c r="J32" i="78"/>
  <c r="E52" i="78" s="1"/>
  <c r="E53" i="78" s="1"/>
  <c r="G61" i="78"/>
  <c r="G61" i="79" s="1"/>
  <c r="G61" i="80" s="1"/>
  <c r="G61" i="81" s="1"/>
  <c r="G61" i="82" s="1"/>
  <c r="G61" i="83" s="1"/>
  <c r="G61" i="84" s="1"/>
  <c r="G61" i="85" s="1"/>
  <c r="G61" i="86" s="1"/>
  <c r="G61" i="87" s="1"/>
  <c r="G61" i="88" s="1"/>
  <c r="G61" i="89" s="1"/>
  <c r="G61" i="90" s="1"/>
  <c r="G61" i="91" s="1"/>
  <c r="G61" i="92" s="1"/>
  <c r="G61" i="93" s="1"/>
  <c r="G61" i="94" s="1"/>
  <c r="G61" i="95" s="1"/>
  <c r="G61" i="96" s="1"/>
  <c r="H61" i="79"/>
  <c r="H61" i="80" s="1"/>
  <c r="H61" i="81" s="1"/>
  <c r="H61" i="82" s="1"/>
  <c r="H61" i="83" s="1"/>
  <c r="H61" i="84" s="1"/>
  <c r="H61" i="85" s="1"/>
  <c r="H61" i="86" s="1"/>
  <c r="H61" i="87" s="1"/>
  <c r="H61" i="88" s="1"/>
  <c r="H61" i="89" s="1"/>
  <c r="H61" i="90" s="1"/>
  <c r="H61" i="91" s="1"/>
  <c r="H61" i="92" s="1"/>
  <c r="H61" i="93" s="1"/>
  <c r="H61" i="94" s="1"/>
  <c r="H61" i="95" s="1"/>
  <c r="H61" i="96" s="1"/>
  <c r="M11" i="77"/>
  <c r="M10" i="77"/>
  <c r="AJ29" i="3"/>
  <c r="G23" i="78"/>
  <c r="M9" i="79"/>
  <c r="M9" i="78"/>
  <c r="G60" i="78"/>
  <c r="G60" i="79" s="1"/>
  <c r="G60" i="80" s="1"/>
  <c r="G60" i="81" s="1"/>
  <c r="G60" i="82" s="1"/>
  <c r="G60" i="83" s="1"/>
  <c r="G60" i="84" s="1"/>
  <c r="G60" i="85" s="1"/>
  <c r="G60" i="86" s="1"/>
  <c r="G60" i="87" s="1"/>
  <c r="G60" i="88" s="1"/>
  <c r="G60" i="89" s="1"/>
  <c r="G60" i="90" s="1"/>
  <c r="G60" i="91" s="1"/>
  <c r="G60" i="92" s="1"/>
  <c r="G60" i="93" s="1"/>
  <c r="G60" i="94" s="1"/>
  <c r="AY30" i="1"/>
  <c r="AU31" i="1" s="1"/>
  <c r="J11" i="78"/>
  <c r="J11" i="79" s="1"/>
  <c r="J11" i="80" s="1"/>
  <c r="M11" i="78"/>
  <c r="J12" i="78"/>
  <c r="J12" i="79" s="1"/>
  <c r="J12" i="80" s="1"/>
  <c r="M12" i="78"/>
  <c r="AT16" i="1"/>
  <c r="AP17" i="1" s="1"/>
  <c r="G25" i="78"/>
  <c r="G25" i="79" s="1"/>
  <c r="G25" i="80" s="1"/>
  <c r="G25" i="81" s="1"/>
  <c r="G26" i="78"/>
  <c r="G26" i="79" s="1"/>
  <c r="G26" i="80" s="1"/>
  <c r="G26" i="81" s="1"/>
  <c r="G26" i="82" s="1"/>
  <c r="G26" i="83" s="1"/>
  <c r="G26" i="84" s="1"/>
  <c r="G26" i="85" s="1"/>
  <c r="G26" i="86" s="1"/>
  <c r="G26" i="87" s="1"/>
  <c r="G26" i="88" s="1"/>
  <c r="G26" i="89" s="1"/>
  <c r="G26" i="90" s="1"/>
  <c r="G26" i="91" s="1"/>
  <c r="G26" i="92" s="1"/>
  <c r="G26" i="93" s="1"/>
  <c r="G26" i="94" s="1"/>
  <c r="G26" i="95" s="1"/>
  <c r="G26" i="96" s="1"/>
  <c r="G26" i="42" s="1"/>
  <c r="G26" i="67" s="1"/>
  <c r="G10" i="78"/>
  <c r="G10" i="79" s="1"/>
  <c r="G10" i="80" s="1"/>
  <c r="G10" i="81" s="1"/>
  <c r="G10" i="82" s="1"/>
  <c r="G10" i="83" s="1"/>
  <c r="G10" i="84" s="1"/>
  <c r="G10" i="85" s="1"/>
  <c r="G10" i="86" s="1"/>
  <c r="G10" i="87" s="1"/>
  <c r="G10" i="88" s="1"/>
  <c r="G10" i="89" s="1"/>
  <c r="G10" i="90" s="1"/>
  <c r="H20" i="78"/>
  <c r="H59" i="79"/>
  <c r="H59" i="80" s="1"/>
  <c r="H59" i="81" s="1"/>
  <c r="H59" i="82" s="1"/>
  <c r="H59" i="83" s="1"/>
  <c r="H59" i="84" s="1"/>
  <c r="H59" i="85" s="1"/>
  <c r="H59" i="86" s="1"/>
  <c r="H59" i="87" s="1"/>
  <c r="H59" i="88" s="1"/>
  <c r="H59" i="89" s="1"/>
  <c r="H59" i="90" s="1"/>
  <c r="H59" i="91" s="1"/>
  <c r="H59" i="92" s="1"/>
  <c r="H59" i="93" s="1"/>
  <c r="H59" i="94" s="1"/>
  <c r="G11" i="79"/>
  <c r="G11" i="80" s="1"/>
  <c r="G11" i="81" s="1"/>
  <c r="AC10" i="2"/>
  <c r="Z11" i="2" s="1"/>
  <c r="H32" i="79"/>
  <c r="H32" i="80" s="1"/>
  <c r="H32" i="81" s="1"/>
  <c r="H32" i="82" s="1"/>
  <c r="H32" i="83" s="1"/>
  <c r="H32" i="84" s="1"/>
  <c r="H32" i="85" s="1"/>
  <c r="H32" i="86" s="1"/>
  <c r="H32" i="87" s="1"/>
  <c r="H32" i="88" s="1"/>
  <c r="H32" i="89" s="1"/>
  <c r="H32" i="90" s="1"/>
  <c r="H32" i="91" s="1"/>
  <c r="H32" i="92" s="1"/>
  <c r="H32" i="93" s="1"/>
  <c r="H32" i="94" s="1"/>
  <c r="H32" i="95" s="1"/>
  <c r="H32" i="96" s="1"/>
  <c r="Q36" i="76"/>
  <c r="K11" i="78"/>
  <c r="K11" i="79" s="1"/>
  <c r="K11" i="80" s="1"/>
  <c r="K11" i="81" s="1"/>
  <c r="Y6" i="2"/>
  <c r="V7" i="2" s="1"/>
  <c r="G32" i="78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12" i="78"/>
  <c r="G12" i="79" s="1"/>
  <c r="G22" i="78"/>
  <c r="G22" i="79" s="1"/>
  <c r="M15" i="81"/>
  <c r="G24" i="78"/>
  <c r="M15" i="80"/>
  <c r="H36" i="79"/>
  <c r="H36" i="80" s="1"/>
  <c r="H36" i="81" s="1"/>
  <c r="H36" i="82" s="1"/>
  <c r="H11" i="78"/>
  <c r="H11" i="79" s="1"/>
  <c r="H11" i="80" s="1"/>
  <c r="H11" i="81" s="1"/>
  <c r="G20" i="78"/>
  <c r="H52" i="79"/>
  <c r="H52" i="78"/>
  <c r="N39" i="78"/>
  <c r="N39" i="79" s="1"/>
  <c r="N39" i="80" s="1"/>
  <c r="N39" i="81" s="1"/>
  <c r="N39" i="82" s="1"/>
  <c r="N39" i="83" s="1"/>
  <c r="N39" i="84" s="1"/>
  <c r="N39" i="85" s="1"/>
  <c r="N39" i="86" s="1"/>
  <c r="N39" i="87" s="1"/>
  <c r="N39" i="88" s="1"/>
  <c r="N39" i="89" s="1"/>
  <c r="N39" i="90" s="1"/>
  <c r="O37" i="78"/>
  <c r="N38" i="79"/>
  <c r="O38" i="78"/>
  <c r="O38" i="79" s="1"/>
  <c r="G36" i="78"/>
  <c r="G36" i="79" s="1"/>
  <c r="G36" i="80" s="1"/>
  <c r="G36" i="81" s="1"/>
  <c r="G36" i="82" s="1"/>
  <c r="G36" i="83" s="1"/>
  <c r="L35" i="78"/>
  <c r="L35" i="79" s="1"/>
  <c r="L35" i="80" s="1"/>
  <c r="Q35" i="75"/>
  <c r="H35" i="79"/>
  <c r="H35" i="80" s="1"/>
  <c r="G35" i="78"/>
  <c r="G35" i="79" s="1"/>
  <c r="G35" i="80" s="1"/>
  <c r="L33" i="78"/>
  <c r="L33" i="79" s="1"/>
  <c r="L33" i="80" s="1"/>
  <c r="L33" i="81" s="1"/>
  <c r="L33" i="82" s="1"/>
  <c r="L33" i="83" s="1"/>
  <c r="L33" i="84" s="1"/>
  <c r="L33" i="85" s="1"/>
  <c r="L33" i="86" s="1"/>
  <c r="L33" i="87" s="1"/>
  <c r="L33" i="88" s="1"/>
  <c r="L33" i="89" s="1"/>
  <c r="L33" i="90" s="1"/>
  <c r="L33" i="91" s="1"/>
  <c r="L33" i="92" s="1"/>
  <c r="L33" i="93" s="1"/>
  <c r="L33" i="94" s="1"/>
  <c r="L33" i="95" s="1"/>
  <c r="L33" i="96" s="1"/>
  <c r="H33" i="79"/>
  <c r="H33" i="80" s="1"/>
  <c r="H33" i="81" s="1"/>
  <c r="H33" i="82" s="1"/>
  <c r="H33" i="83" s="1"/>
  <c r="H33" i="84" s="1"/>
  <c r="H33" i="85" s="1"/>
  <c r="H33" i="86" s="1"/>
  <c r="H33" i="87" s="1"/>
  <c r="H33" i="88" s="1"/>
  <c r="H33" i="89" s="1"/>
  <c r="H33" i="90" s="1"/>
  <c r="H33" i="91" s="1"/>
  <c r="H33" i="92" s="1"/>
  <c r="H33" i="93" s="1"/>
  <c r="H33" i="94" s="1"/>
  <c r="H33" i="95" s="1"/>
  <c r="H33" i="96" s="1"/>
  <c r="G33" i="78"/>
  <c r="G33" i="79" s="1"/>
  <c r="G33" i="80" s="1"/>
  <c r="G33" i="81" s="1"/>
  <c r="G33" i="82" s="1"/>
  <c r="G33" i="83" s="1"/>
  <c r="G33" i="84" s="1"/>
  <c r="G33" i="85" s="1"/>
  <c r="G33" i="86" s="1"/>
  <c r="G33" i="87" s="1"/>
  <c r="G33" i="88" s="1"/>
  <c r="G33" i="89" s="1"/>
  <c r="G33" i="90" s="1"/>
  <c r="G33" i="91" s="1"/>
  <c r="G33" i="92" s="1"/>
  <c r="G33" i="93" s="1"/>
  <c r="G33" i="94" s="1"/>
  <c r="G33" i="95" s="1"/>
  <c r="G33" i="96" s="1"/>
  <c r="J22" i="79"/>
  <c r="K22" i="78"/>
  <c r="K22" i="79" s="1"/>
  <c r="K36" i="78"/>
  <c r="K36" i="79" s="1"/>
  <c r="F15" i="78"/>
  <c r="F15" i="79"/>
  <c r="L10" i="78"/>
  <c r="J10" i="78"/>
  <c r="J10" i="79" s="1"/>
  <c r="J10" i="80" s="1"/>
  <c r="I15" i="79"/>
  <c r="N9" i="79" s="1"/>
  <c r="I15" i="78"/>
  <c r="J9" i="78"/>
  <c r="G9" i="78"/>
  <c r="G9" i="79" s="1"/>
  <c r="G52" i="79"/>
  <c r="Q33" i="79"/>
  <c r="Q35" i="79"/>
  <c r="Q36" i="79"/>
  <c r="K35" i="78"/>
  <c r="K35" i="79" s="1"/>
  <c r="K35" i="80" s="1"/>
  <c r="K35" i="81" s="1"/>
  <c r="G59" i="78"/>
  <c r="G59" i="79" s="1"/>
  <c r="G59" i="80" s="1"/>
  <c r="G59" i="81" s="1"/>
  <c r="G59" i="82" s="1"/>
  <c r="G59" i="83" s="1"/>
  <c r="G59" i="84" s="1"/>
  <c r="G59" i="85" s="1"/>
  <c r="G59" i="86" s="1"/>
  <c r="G59" i="87" s="1"/>
  <c r="G59" i="88" s="1"/>
  <c r="G59" i="89" s="1"/>
  <c r="G59" i="90" s="1"/>
  <c r="G59" i="91" s="1"/>
  <c r="G59" i="92" s="1"/>
  <c r="G59" i="93" s="1"/>
  <c r="G59" i="94" s="1"/>
  <c r="L12" i="78"/>
  <c r="M55" i="78"/>
  <c r="Q36" i="78"/>
  <c r="Q35" i="78"/>
  <c r="Q33" i="78"/>
  <c r="L11" i="78"/>
  <c r="G52" i="78"/>
  <c r="Q34" i="77"/>
  <c r="H50" i="77"/>
  <c r="H51" i="77" s="1"/>
  <c r="Q33" i="77"/>
  <c r="F13" i="77"/>
  <c r="Q31" i="77"/>
  <c r="I13" i="77"/>
  <c r="Q33" i="76"/>
  <c r="Q35" i="76"/>
  <c r="Q33" i="75"/>
  <c r="Q36" i="75"/>
  <c r="Q36" i="74"/>
  <c r="Q33" i="74"/>
  <c r="Q35" i="74"/>
  <c r="M39" i="73"/>
  <c r="M38" i="73"/>
  <c r="M37" i="73"/>
  <c r="J36" i="73"/>
  <c r="H52" i="73" s="1"/>
  <c r="H53" i="73" s="1"/>
  <c r="J35" i="73"/>
  <c r="I52" i="73" s="1"/>
  <c r="J33" i="73"/>
  <c r="I22" i="73"/>
  <c r="I12" i="73"/>
  <c r="I11" i="73"/>
  <c r="M11" i="73" s="1"/>
  <c r="I10" i="73"/>
  <c r="M9" i="73"/>
  <c r="F32" i="73"/>
  <c r="F26" i="73"/>
  <c r="F25" i="73"/>
  <c r="F24" i="73"/>
  <c r="F20" i="73"/>
  <c r="F12" i="73"/>
  <c r="F11" i="73"/>
  <c r="F10" i="73"/>
  <c r="F61" i="73"/>
  <c r="F60" i="73"/>
  <c r="F59" i="73"/>
  <c r="F36" i="73"/>
  <c r="F35" i="73"/>
  <c r="F33" i="73"/>
  <c r="X34" i="2"/>
  <c r="X35" i="2" s="1"/>
  <c r="F60" i="71"/>
  <c r="F59" i="71"/>
  <c r="F60" i="69"/>
  <c r="F59" i="69"/>
  <c r="F60" i="68"/>
  <c r="F59" i="68"/>
  <c r="F60" i="67"/>
  <c r="F59" i="67"/>
  <c r="F60" i="42"/>
  <c r="F59" i="42"/>
  <c r="I22" i="71"/>
  <c r="M39" i="71"/>
  <c r="M38" i="71"/>
  <c r="M37" i="71"/>
  <c r="J36" i="71"/>
  <c r="H52" i="71" s="1"/>
  <c r="H53" i="71" s="1"/>
  <c r="J35" i="71"/>
  <c r="I52" i="71" s="1"/>
  <c r="I12" i="71"/>
  <c r="M12" i="71" s="1"/>
  <c r="I11" i="71"/>
  <c r="I10" i="71"/>
  <c r="M9" i="71"/>
  <c r="F26" i="71"/>
  <c r="F25" i="71"/>
  <c r="F24" i="71"/>
  <c r="F23" i="71"/>
  <c r="F20" i="71"/>
  <c r="F12" i="71"/>
  <c r="F11" i="71"/>
  <c r="F10" i="71"/>
  <c r="F36" i="71"/>
  <c r="F35" i="71"/>
  <c r="F33" i="71"/>
  <c r="F32" i="71"/>
  <c r="M39" i="69"/>
  <c r="M38" i="69"/>
  <c r="M37" i="69"/>
  <c r="J36" i="69"/>
  <c r="H52" i="69" s="1"/>
  <c r="H53" i="69" s="1"/>
  <c r="J35" i="69"/>
  <c r="I52" i="69" s="1"/>
  <c r="E52" i="79"/>
  <c r="E53" i="79" s="1"/>
  <c r="J32" i="81"/>
  <c r="E52" i="81" s="1"/>
  <c r="E53" i="81" s="1"/>
  <c r="J32" i="85"/>
  <c r="J32" i="86"/>
  <c r="E52" i="86" s="1"/>
  <c r="E53" i="86" s="1"/>
  <c r="J32" i="87"/>
  <c r="E52" i="87" s="1"/>
  <c r="E53" i="87" s="1"/>
  <c r="J32" i="88"/>
  <c r="E52" i="88" s="1"/>
  <c r="E53" i="88" s="1"/>
  <c r="J32" i="89"/>
  <c r="E52" i="89" s="1"/>
  <c r="E53" i="89" s="1"/>
  <c r="J32" i="90"/>
  <c r="E52" i="90" s="1"/>
  <c r="E53" i="90" s="1"/>
  <c r="J32" i="91"/>
  <c r="E52" i="91" s="1"/>
  <c r="E53" i="91" s="1"/>
  <c r="J32" i="92"/>
  <c r="E52" i="92" s="1"/>
  <c r="E53" i="92" s="1"/>
  <c r="J32" i="94"/>
  <c r="E52" i="94" s="1"/>
  <c r="E53" i="94" s="1"/>
  <c r="J32" i="69"/>
  <c r="E52" i="69" s="1"/>
  <c r="J32" i="71"/>
  <c r="E52" i="71" s="1"/>
  <c r="J32" i="73"/>
  <c r="E52" i="73" s="1"/>
  <c r="J32" i="74"/>
  <c r="E52" i="74" s="1"/>
  <c r="E53" i="74" s="1"/>
  <c r="J32" i="75"/>
  <c r="Q32" i="76"/>
  <c r="J30" i="77"/>
  <c r="E50" i="77" s="1"/>
  <c r="E51" i="77" s="1"/>
  <c r="I22" i="69"/>
  <c r="I12" i="69"/>
  <c r="I11" i="69"/>
  <c r="M11" i="69" s="1"/>
  <c r="I10" i="69"/>
  <c r="M9" i="69"/>
  <c r="F36" i="69"/>
  <c r="F35" i="69"/>
  <c r="F33" i="69"/>
  <c r="F32" i="69"/>
  <c r="F26" i="69"/>
  <c r="F25" i="69"/>
  <c r="F24" i="69"/>
  <c r="F20" i="69"/>
  <c r="F12" i="69"/>
  <c r="F11" i="69"/>
  <c r="F10" i="69"/>
  <c r="I22" i="68"/>
  <c r="I12" i="68"/>
  <c r="I11" i="68"/>
  <c r="I10" i="68"/>
  <c r="M10" i="68" s="1"/>
  <c r="M9" i="68"/>
  <c r="M39" i="68"/>
  <c r="M38" i="68"/>
  <c r="M37" i="68"/>
  <c r="J36" i="68"/>
  <c r="J35" i="68"/>
  <c r="I52" i="68" s="1"/>
  <c r="J33" i="68"/>
  <c r="F36" i="68"/>
  <c r="F35" i="68"/>
  <c r="F33" i="68"/>
  <c r="F32" i="68"/>
  <c r="F26" i="68"/>
  <c r="F25" i="68"/>
  <c r="F24" i="68"/>
  <c r="F23" i="68"/>
  <c r="F20" i="68"/>
  <c r="F12" i="68"/>
  <c r="F11" i="68"/>
  <c r="F10" i="68"/>
  <c r="I22" i="67"/>
  <c r="I22" i="42"/>
  <c r="F38" i="67"/>
  <c r="F37" i="67"/>
  <c r="J38" i="67"/>
  <c r="J37" i="67"/>
  <c r="M39" i="67"/>
  <c r="M38" i="67"/>
  <c r="M37" i="67"/>
  <c r="J36" i="67"/>
  <c r="J35" i="67"/>
  <c r="I52" i="67" s="1"/>
  <c r="J33" i="67"/>
  <c r="F52" i="67" s="1"/>
  <c r="F53" i="67" s="1"/>
  <c r="I12" i="67"/>
  <c r="M12" i="67" s="1"/>
  <c r="I11" i="67"/>
  <c r="M11" i="67" s="1"/>
  <c r="I10" i="67"/>
  <c r="M9" i="67"/>
  <c r="F36" i="67"/>
  <c r="F35" i="67"/>
  <c r="F33" i="67"/>
  <c r="F32" i="67"/>
  <c r="F25" i="67"/>
  <c r="F24" i="67"/>
  <c r="F23" i="67"/>
  <c r="F20" i="67"/>
  <c r="F12" i="67"/>
  <c r="F11" i="67"/>
  <c r="F10" i="67"/>
  <c r="F61" i="42"/>
  <c r="M39" i="42"/>
  <c r="M38" i="42"/>
  <c r="M37" i="42"/>
  <c r="J39" i="42"/>
  <c r="J38" i="42"/>
  <c r="J37" i="42"/>
  <c r="J36" i="42"/>
  <c r="J35" i="42"/>
  <c r="I52" i="42" s="1"/>
  <c r="J33" i="42"/>
  <c r="F38" i="42"/>
  <c r="F37" i="42"/>
  <c r="F36" i="42"/>
  <c r="F35" i="42"/>
  <c r="F33" i="42"/>
  <c r="F32" i="42"/>
  <c r="Q32" i="42" s="1"/>
  <c r="F23" i="42"/>
  <c r="F25" i="42"/>
  <c r="L26" i="42"/>
  <c r="F24" i="42"/>
  <c r="F20" i="42"/>
  <c r="I17" i="78"/>
  <c r="I17" i="81"/>
  <c r="I17" i="82"/>
  <c r="I17" i="83"/>
  <c r="I17" i="84"/>
  <c r="I18" i="84" s="1"/>
  <c r="I17" i="85"/>
  <c r="I18" i="85" s="1"/>
  <c r="I17" i="86"/>
  <c r="I17" i="87"/>
  <c r="I17" i="88"/>
  <c r="I17" i="89"/>
  <c r="I18" i="89" s="1"/>
  <c r="I17" i="90"/>
  <c r="I18" i="90" s="1"/>
  <c r="I17" i="91"/>
  <c r="I18" i="91" s="1"/>
  <c r="I17" i="92"/>
  <c r="I18" i="92" s="1"/>
  <c r="I17" i="93"/>
  <c r="I17" i="67"/>
  <c r="I17" i="68"/>
  <c r="I17" i="69"/>
  <c r="I17" i="71"/>
  <c r="I17" i="73"/>
  <c r="I17" i="74"/>
  <c r="I17" i="75"/>
  <c r="I17" i="76"/>
  <c r="I15" i="77"/>
  <c r="F15" i="77"/>
  <c r="F17" i="79"/>
  <c r="F17" i="81"/>
  <c r="F17" i="82"/>
  <c r="F17" i="83"/>
  <c r="F17" i="84"/>
  <c r="F17" i="85"/>
  <c r="F17" i="86"/>
  <c r="F17" i="87"/>
  <c r="F17" i="89"/>
  <c r="F17" i="90"/>
  <c r="F17" i="91"/>
  <c r="F17" i="92"/>
  <c r="F17" i="93"/>
  <c r="F17" i="94"/>
  <c r="F17" i="95"/>
  <c r="F17" i="96"/>
  <c r="F17" i="67"/>
  <c r="F17" i="68"/>
  <c r="F17" i="69"/>
  <c r="F17" i="70"/>
  <c r="F17" i="71"/>
  <c r="F17" i="72"/>
  <c r="F17" i="73"/>
  <c r="F17" i="74"/>
  <c r="F17" i="75"/>
  <c r="F17" i="76"/>
  <c r="F16" i="79"/>
  <c r="F16" i="81"/>
  <c r="F16" i="82"/>
  <c r="F16" i="83"/>
  <c r="F16" i="84"/>
  <c r="F16" i="85"/>
  <c r="F16" i="86"/>
  <c r="F16" i="87"/>
  <c r="F16" i="88"/>
  <c r="F16" i="89"/>
  <c r="F16" i="90"/>
  <c r="F16" i="91"/>
  <c r="F16" i="92"/>
  <c r="F16" i="93"/>
  <c r="F16" i="95"/>
  <c r="F16" i="96"/>
  <c r="F16" i="67"/>
  <c r="F16" i="68"/>
  <c r="F16" i="71"/>
  <c r="F16" i="73"/>
  <c r="F16" i="74"/>
  <c r="F16" i="75"/>
  <c r="F16" i="76"/>
  <c r="F14" i="77"/>
  <c r="I16" i="81"/>
  <c r="I16" i="82"/>
  <c r="I16" i="67"/>
  <c r="I16" i="68"/>
  <c r="I16" i="69"/>
  <c r="I16" i="71"/>
  <c r="I16" i="73"/>
  <c r="I16" i="74"/>
  <c r="I16" i="75"/>
  <c r="I16" i="76"/>
  <c r="I14" i="77"/>
  <c r="I16" i="78"/>
  <c r="I12" i="42"/>
  <c r="M12" i="42" s="1"/>
  <c r="I11" i="42"/>
  <c r="M11" i="42" s="1"/>
  <c r="I10" i="42"/>
  <c r="M10" i="42" s="1"/>
  <c r="F12" i="42"/>
  <c r="F11" i="42"/>
  <c r="F10" i="42"/>
  <c r="M15" i="74" l="1"/>
  <c r="N14" i="76"/>
  <c r="N13" i="76"/>
  <c r="F15" i="67"/>
  <c r="M10" i="71"/>
  <c r="I15" i="71"/>
  <c r="M12" i="73"/>
  <c r="N14" i="75"/>
  <c r="N13" i="75"/>
  <c r="F15" i="71"/>
  <c r="F15" i="73"/>
  <c r="N13" i="74"/>
  <c r="N14" i="74"/>
  <c r="M10" i="73"/>
  <c r="M15" i="73" s="1"/>
  <c r="I15" i="73"/>
  <c r="F15" i="69"/>
  <c r="M12" i="68"/>
  <c r="M10" i="69"/>
  <c r="I15" i="69"/>
  <c r="M12" i="69"/>
  <c r="M10" i="67"/>
  <c r="M15" i="67" s="1"/>
  <c r="I15" i="67"/>
  <c r="M11" i="71"/>
  <c r="F15" i="68"/>
  <c r="M11" i="68"/>
  <c r="I15" i="68"/>
  <c r="J42" i="42"/>
  <c r="L15" i="78"/>
  <c r="K16" i="78"/>
  <c r="E52" i="75"/>
  <c r="E53" i="75" s="1"/>
  <c r="F42" i="67"/>
  <c r="E53" i="71"/>
  <c r="E52" i="85"/>
  <c r="E53" i="85" s="1"/>
  <c r="J42" i="67"/>
  <c r="K33" i="80"/>
  <c r="K33" i="81" s="1"/>
  <c r="K33" i="82" s="1"/>
  <c r="K33" i="83" s="1"/>
  <c r="K33" i="84" s="1"/>
  <c r="K33" i="85" s="1"/>
  <c r="K33" i="86" s="1"/>
  <c r="K33" i="87" s="1"/>
  <c r="K33" i="88" s="1"/>
  <c r="K33" i="89" s="1"/>
  <c r="K33" i="90" s="1"/>
  <c r="K33" i="91" s="1"/>
  <c r="K33" i="92" s="1"/>
  <c r="K33" i="93" s="1"/>
  <c r="K33" i="94" s="1"/>
  <c r="K33" i="95" s="1"/>
  <c r="K33" i="96" s="1"/>
  <c r="K33" i="42" s="1"/>
  <c r="M42" i="68"/>
  <c r="L54" i="68" s="1"/>
  <c r="M42" i="71"/>
  <c r="L54" i="71" s="1"/>
  <c r="M42" i="69"/>
  <c r="L54" i="69" s="1"/>
  <c r="F42" i="42"/>
  <c r="M42" i="67"/>
  <c r="L54" i="67" s="1"/>
  <c r="M42" i="42"/>
  <c r="L54" i="42" s="1"/>
  <c r="N39" i="91"/>
  <c r="N39" i="92" s="1"/>
  <c r="N39" i="93" s="1"/>
  <c r="N39" i="94" s="1"/>
  <c r="N39" i="95" s="1"/>
  <c r="N39" i="96" s="1"/>
  <c r="N39" i="42" s="1"/>
  <c r="N39" i="67" s="1"/>
  <c r="N39" i="68" s="1"/>
  <c r="N39" i="69" s="1"/>
  <c r="O39" i="91"/>
  <c r="O39" i="92" s="1"/>
  <c r="O39" i="93" s="1"/>
  <c r="O39" i="94" s="1"/>
  <c r="O38" i="80"/>
  <c r="N38" i="80"/>
  <c r="N38" i="81" s="1"/>
  <c r="N37" i="79"/>
  <c r="N42" i="79" s="1"/>
  <c r="N42" i="78"/>
  <c r="O42" i="78"/>
  <c r="M42" i="73"/>
  <c r="L54" i="73" s="1"/>
  <c r="F52" i="68"/>
  <c r="F53" i="68" s="1"/>
  <c r="F52" i="42"/>
  <c r="F53" i="42" s="1"/>
  <c r="F52" i="73"/>
  <c r="F53" i="73" s="1"/>
  <c r="E53" i="73"/>
  <c r="F53" i="71"/>
  <c r="H35" i="81"/>
  <c r="H35" i="82" s="1"/>
  <c r="H35" i="83" s="1"/>
  <c r="H35" i="84" s="1"/>
  <c r="H35" i="85" s="1"/>
  <c r="H35" i="86" s="1"/>
  <c r="H35" i="87" s="1"/>
  <c r="H35" i="88" s="1"/>
  <c r="H35" i="89" s="1"/>
  <c r="H35" i="90" s="1"/>
  <c r="H35" i="91" s="1"/>
  <c r="H35" i="92" s="1"/>
  <c r="H35" i="93" s="1"/>
  <c r="H35" i="94" s="1"/>
  <c r="H35" i="95" s="1"/>
  <c r="H35" i="96" s="1"/>
  <c r="H35" i="42" s="1"/>
  <c r="L35" i="81"/>
  <c r="L35" i="82" s="1"/>
  <c r="L35" i="83" s="1"/>
  <c r="L35" i="84" s="1"/>
  <c r="L35" i="85" s="1"/>
  <c r="L35" i="86" s="1"/>
  <c r="L35" i="87" s="1"/>
  <c r="L35" i="88" s="1"/>
  <c r="L35" i="89" s="1"/>
  <c r="L35" i="90" s="1"/>
  <c r="L35" i="91" s="1"/>
  <c r="L35" i="92" s="1"/>
  <c r="L35" i="93" s="1"/>
  <c r="L35" i="94" s="1"/>
  <c r="L35" i="95" s="1"/>
  <c r="L35" i="96" s="1"/>
  <c r="L35" i="42" s="1"/>
  <c r="L35" i="67" s="1"/>
  <c r="L35" i="68" s="1"/>
  <c r="H52" i="67"/>
  <c r="H53" i="67" s="1"/>
  <c r="E53" i="67"/>
  <c r="H52" i="68"/>
  <c r="H53" i="68" s="1"/>
  <c r="E53" i="68"/>
  <c r="H52" i="42"/>
  <c r="H53" i="42" s="1"/>
  <c r="E53" i="42"/>
  <c r="E53" i="69"/>
  <c r="G35" i="8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42" s="1"/>
  <c r="K35" i="82"/>
  <c r="K35" i="83" s="1"/>
  <c r="K35" i="84" s="1"/>
  <c r="K35" i="85" s="1"/>
  <c r="K35" i="86" s="1"/>
  <c r="K35" i="87" s="1"/>
  <c r="K35" i="88" s="1"/>
  <c r="K35" i="89" s="1"/>
  <c r="K35" i="90" s="1"/>
  <c r="K35" i="91" s="1"/>
  <c r="K35" i="92" s="1"/>
  <c r="K35" i="93" s="1"/>
  <c r="K35" i="94" s="1"/>
  <c r="K35" i="95" s="1"/>
  <c r="K35" i="96" s="1"/>
  <c r="K35" i="42" s="1"/>
  <c r="K35" i="67" s="1"/>
  <c r="K35" i="68" s="1"/>
  <c r="H36" i="83"/>
  <c r="H36" i="84" s="1"/>
  <c r="H36" i="85" s="1"/>
  <c r="H36" i="86" s="1"/>
  <c r="H36" i="87" s="1"/>
  <c r="H36" i="88" s="1"/>
  <c r="H36" i="89" s="1"/>
  <c r="H36" i="90" s="1"/>
  <c r="H36" i="91" s="1"/>
  <c r="H36" i="92" s="1"/>
  <c r="H36" i="93" s="1"/>
  <c r="H36" i="94" s="1"/>
  <c r="H36" i="95" s="1"/>
  <c r="H36" i="96" s="1"/>
  <c r="H36" i="42" s="1"/>
  <c r="G36" i="84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42" s="1"/>
  <c r="J12" i="81"/>
  <c r="J12" i="82" s="1"/>
  <c r="J12" i="83" s="1"/>
  <c r="J12" i="84" s="1"/>
  <c r="J10" i="81"/>
  <c r="J10" i="82" s="1"/>
  <c r="J10" i="83" s="1"/>
  <c r="J11" i="81"/>
  <c r="J11" i="82" s="1"/>
  <c r="G61" i="42"/>
  <c r="G61" i="67" s="1"/>
  <c r="G61" i="68" s="1"/>
  <c r="G61" i="69" s="1"/>
  <c r="G61" i="70" s="1"/>
  <c r="H61" i="42"/>
  <c r="H61" i="67" s="1"/>
  <c r="H61" i="68" s="1"/>
  <c r="H61" i="69" s="1"/>
  <c r="O37" i="79"/>
  <c r="O42" i="79" s="1"/>
  <c r="L32" i="78"/>
  <c r="L32" i="79" s="1"/>
  <c r="F27" i="71"/>
  <c r="F27" i="73"/>
  <c r="F27" i="42"/>
  <c r="F27" i="68"/>
  <c r="F27" i="69"/>
  <c r="F27" i="67"/>
  <c r="G27" i="78"/>
  <c r="J9" i="79"/>
  <c r="J9" i="80" s="1"/>
  <c r="I18" i="93"/>
  <c r="G25" i="82"/>
  <c r="G25" i="83" s="1"/>
  <c r="G25" i="84" s="1"/>
  <c r="G25" i="85" s="1"/>
  <c r="G24" i="79"/>
  <c r="G24" i="80" s="1"/>
  <c r="G60" i="95"/>
  <c r="G60" i="96" s="1"/>
  <c r="G60" i="42" s="1"/>
  <c r="G60" i="67" s="1"/>
  <c r="G60" i="68" s="1"/>
  <c r="G60" i="69" s="1"/>
  <c r="G60" i="70" s="1"/>
  <c r="G60" i="71" s="1"/>
  <c r="EG34" i="1"/>
  <c r="EG35" i="1" s="1"/>
  <c r="F18" i="70"/>
  <c r="F18" i="72"/>
  <c r="F53" i="78"/>
  <c r="H20" i="79"/>
  <c r="AY31" i="1"/>
  <c r="AU32" i="1" s="1"/>
  <c r="F18" i="89"/>
  <c r="AT17" i="1"/>
  <c r="AP18" i="1" s="1"/>
  <c r="G59" i="95"/>
  <c r="G59" i="96" s="1"/>
  <c r="G59" i="42" s="1"/>
  <c r="F18" i="96"/>
  <c r="H59" i="95"/>
  <c r="H59" i="96" s="1"/>
  <c r="H59" i="42" s="1"/>
  <c r="G20" i="79"/>
  <c r="AC11" i="2"/>
  <c r="Z12" i="2" s="1"/>
  <c r="G53" i="79"/>
  <c r="G53" i="78"/>
  <c r="G51" i="77"/>
  <c r="Q35" i="73"/>
  <c r="Q32" i="71"/>
  <c r="F16" i="69"/>
  <c r="F18" i="95"/>
  <c r="L33" i="42"/>
  <c r="G32" i="42"/>
  <c r="H32" i="42"/>
  <c r="G33" i="42"/>
  <c r="H33" i="42"/>
  <c r="F16" i="94"/>
  <c r="Q32" i="94"/>
  <c r="F18" i="90"/>
  <c r="I18" i="74"/>
  <c r="F16" i="77"/>
  <c r="F18" i="74"/>
  <c r="F18" i="93"/>
  <c r="F18" i="85"/>
  <c r="F18" i="76"/>
  <c r="F18" i="91"/>
  <c r="F18" i="92"/>
  <c r="F18" i="84"/>
  <c r="I16" i="77"/>
  <c r="I18" i="76"/>
  <c r="Q32" i="91"/>
  <c r="Q32" i="92"/>
  <c r="G10" i="91"/>
  <c r="G10" i="92" s="1"/>
  <c r="G10" i="93" s="1"/>
  <c r="G10" i="94" s="1"/>
  <c r="G10" i="95" s="1"/>
  <c r="Y7" i="2"/>
  <c r="V8" i="2" s="1"/>
  <c r="Q32" i="93"/>
  <c r="Q30" i="77"/>
  <c r="Q32" i="90"/>
  <c r="Q32" i="89"/>
  <c r="Q32" i="88"/>
  <c r="F18" i="88"/>
  <c r="I18" i="88"/>
  <c r="Q32" i="87"/>
  <c r="I18" i="87"/>
  <c r="F18" i="87"/>
  <c r="F18" i="86"/>
  <c r="I18" i="86"/>
  <c r="Q32" i="86"/>
  <c r="Q32" i="85"/>
  <c r="Q32" i="84"/>
  <c r="Q32" i="83"/>
  <c r="I18" i="83"/>
  <c r="F18" i="83"/>
  <c r="F18" i="82"/>
  <c r="Q32" i="82"/>
  <c r="I18" i="82"/>
  <c r="G22" i="80"/>
  <c r="G22" i="81" s="1"/>
  <c r="I18" i="75"/>
  <c r="F18" i="75"/>
  <c r="I18" i="78"/>
  <c r="K36" i="80"/>
  <c r="K36" i="81" s="1"/>
  <c r="K36" i="82" s="1"/>
  <c r="K36" i="83" s="1"/>
  <c r="K36" i="84" s="1"/>
  <c r="K36" i="85" s="1"/>
  <c r="K36" i="86" s="1"/>
  <c r="K36" i="87" s="1"/>
  <c r="K36" i="88" s="1"/>
  <c r="K36" i="89" s="1"/>
  <c r="K36" i="90" s="1"/>
  <c r="K36" i="91" s="1"/>
  <c r="K36" i="92" s="1"/>
  <c r="K36" i="93" s="1"/>
  <c r="F17" i="80"/>
  <c r="G12" i="80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42" s="1"/>
  <c r="G12" i="67" s="1"/>
  <c r="G12" i="68" s="1"/>
  <c r="G12" i="69" s="1"/>
  <c r="G12" i="70" s="1"/>
  <c r="G12" i="71" s="1"/>
  <c r="G12" i="72" s="1"/>
  <c r="G12" i="73" s="1"/>
  <c r="G12" i="74" s="1"/>
  <c r="G12" i="75" s="1"/>
  <c r="G12" i="76" s="1"/>
  <c r="G11" i="82"/>
  <c r="J22" i="80"/>
  <c r="F18" i="81"/>
  <c r="F18" i="79"/>
  <c r="J32" i="80"/>
  <c r="E52" i="80" s="1"/>
  <c r="E53" i="80" s="1"/>
  <c r="G9" i="80"/>
  <c r="G9" i="81" s="1"/>
  <c r="G9" i="82" s="1"/>
  <c r="G9" i="83" s="1"/>
  <c r="G9" i="84" s="1"/>
  <c r="I17" i="80"/>
  <c r="I16" i="80"/>
  <c r="L36" i="80"/>
  <c r="L36" i="81" s="1"/>
  <c r="L36" i="82" s="1"/>
  <c r="L36" i="83" s="1"/>
  <c r="L36" i="84" s="1"/>
  <c r="L36" i="85" s="1"/>
  <c r="L36" i="86" s="1"/>
  <c r="L36" i="87" s="1"/>
  <c r="L36" i="88" s="1"/>
  <c r="L36" i="89" s="1"/>
  <c r="L36" i="90" s="1"/>
  <c r="L36" i="91" s="1"/>
  <c r="L36" i="92" s="1"/>
  <c r="L36" i="93" s="1"/>
  <c r="L36" i="94" s="1"/>
  <c r="L36" i="95" s="1"/>
  <c r="L36" i="96" s="1"/>
  <c r="L36" i="42" s="1"/>
  <c r="K22" i="80"/>
  <c r="H11" i="82"/>
  <c r="F17" i="78"/>
  <c r="H17" i="78" s="1"/>
  <c r="H17" i="79" s="1"/>
  <c r="F16" i="78"/>
  <c r="H16" i="78" s="1"/>
  <c r="H16" i="79" s="1"/>
  <c r="I17" i="79"/>
  <c r="I16" i="79"/>
  <c r="K17" i="78"/>
  <c r="J17" i="78"/>
  <c r="J16" i="78"/>
  <c r="Q32" i="75"/>
  <c r="Q32" i="79"/>
  <c r="Q32" i="74"/>
  <c r="K32" i="78"/>
  <c r="K32" i="79" s="1"/>
  <c r="Q32" i="78"/>
  <c r="G15" i="79"/>
  <c r="F53" i="79"/>
  <c r="N10" i="79"/>
  <c r="N12" i="79"/>
  <c r="N11" i="79"/>
  <c r="G15" i="78"/>
  <c r="N11" i="78"/>
  <c r="N9" i="78"/>
  <c r="N12" i="78"/>
  <c r="N10" i="78"/>
  <c r="J15" i="78"/>
  <c r="N10" i="77"/>
  <c r="N9" i="77"/>
  <c r="N12" i="77"/>
  <c r="N11" i="77"/>
  <c r="N11" i="76"/>
  <c r="N9" i="76"/>
  <c r="N10" i="76"/>
  <c r="N12" i="76"/>
  <c r="N10" i="75"/>
  <c r="N11" i="75"/>
  <c r="N9" i="75"/>
  <c r="N12" i="75"/>
  <c r="N11" i="74"/>
  <c r="N12" i="74"/>
  <c r="N9" i="74"/>
  <c r="N10" i="74"/>
  <c r="F18" i="71"/>
  <c r="I18" i="73"/>
  <c r="F18" i="73"/>
  <c r="Q33" i="73"/>
  <c r="Q32" i="73"/>
  <c r="Q36" i="73"/>
  <c r="G26" i="68"/>
  <c r="G26" i="69" s="1"/>
  <c r="I18" i="69"/>
  <c r="Q33" i="69"/>
  <c r="I18" i="71"/>
  <c r="Q36" i="69"/>
  <c r="Q32" i="68"/>
  <c r="Q38" i="42"/>
  <c r="Q36" i="71"/>
  <c r="Q33" i="71"/>
  <c r="Q35" i="71"/>
  <c r="Q32" i="69"/>
  <c r="Q35" i="69"/>
  <c r="Q35" i="68"/>
  <c r="Q36" i="68"/>
  <c r="Q33" i="68"/>
  <c r="F18" i="68"/>
  <c r="I18" i="68"/>
  <c r="Q35" i="67"/>
  <c r="I18" i="67"/>
  <c r="F18" i="67"/>
  <c r="Q37" i="67"/>
  <c r="Q39" i="67"/>
  <c r="Q33" i="67"/>
  <c r="Q36" i="67"/>
  <c r="Q38" i="67"/>
  <c r="Q37" i="42"/>
  <c r="Q39" i="42"/>
  <c r="Q36" i="42"/>
  <c r="Q35" i="42"/>
  <c r="Q33" i="42"/>
  <c r="I15" i="42"/>
  <c r="F15" i="42"/>
  <c r="M15" i="71" l="1"/>
  <c r="N15" i="76"/>
  <c r="N15" i="75"/>
  <c r="N15" i="74"/>
  <c r="N13" i="73"/>
  <c r="N14" i="73"/>
  <c r="M15" i="69"/>
  <c r="N14" i="69"/>
  <c r="N13" i="69"/>
  <c r="N14" i="67"/>
  <c r="N13" i="67"/>
  <c r="N14" i="71"/>
  <c r="N13" i="71"/>
  <c r="N14" i="68"/>
  <c r="N13" i="68"/>
  <c r="G61" i="71"/>
  <c r="G61" i="72" s="1"/>
  <c r="G61" i="73" s="1"/>
  <c r="G61" i="74" s="1"/>
  <c r="G61" i="75" s="1"/>
  <c r="G61" i="76" s="1"/>
  <c r="G59" i="77" s="1"/>
  <c r="H61" i="70"/>
  <c r="H61" i="71" s="1"/>
  <c r="H61" i="72" s="1"/>
  <c r="H61" i="73" s="1"/>
  <c r="H61" i="74" s="1"/>
  <c r="H61" i="75" s="1"/>
  <c r="H61" i="76" s="1"/>
  <c r="H59" i="77" s="1"/>
  <c r="N39" i="70"/>
  <c r="O39" i="95"/>
  <c r="O39" i="96" s="1"/>
  <c r="O39" i="42" s="1"/>
  <c r="O39" i="67" s="1"/>
  <c r="O39" i="68" s="1"/>
  <c r="O39" i="69" s="1"/>
  <c r="N37" i="80"/>
  <c r="N42" i="80" s="1"/>
  <c r="H18" i="79"/>
  <c r="I18" i="79"/>
  <c r="O38" i="81"/>
  <c r="J54" i="42"/>
  <c r="M54" i="42"/>
  <c r="K54" i="42"/>
  <c r="J54" i="67"/>
  <c r="M54" i="67"/>
  <c r="K54" i="67"/>
  <c r="K36" i="94"/>
  <c r="K36" i="95" s="1"/>
  <c r="K36" i="96" s="1"/>
  <c r="K36" i="42" s="1"/>
  <c r="J9" i="81"/>
  <c r="J9" i="82" s="1"/>
  <c r="J9" i="83" s="1"/>
  <c r="J9" i="84" s="1"/>
  <c r="J12" i="85"/>
  <c r="J12" i="86" s="1"/>
  <c r="N15" i="78"/>
  <c r="N15" i="79"/>
  <c r="O37" i="80"/>
  <c r="O42" i="80" s="1"/>
  <c r="G24" i="81"/>
  <c r="G24" i="82" s="1"/>
  <c r="G24" i="83" s="1"/>
  <c r="G24" i="84" s="1"/>
  <c r="G27" i="79"/>
  <c r="AJ24" i="3"/>
  <c r="G23" i="95"/>
  <c r="G22" i="82"/>
  <c r="G22" i="83" s="1"/>
  <c r="G22" i="84" s="1"/>
  <c r="G22" i="85" s="1"/>
  <c r="J22" i="81"/>
  <c r="J22" i="82" s="1"/>
  <c r="J22" i="83" s="1"/>
  <c r="J22" i="84" s="1"/>
  <c r="J22" i="85" s="1"/>
  <c r="K22" i="81"/>
  <c r="K22" i="82" s="1"/>
  <c r="K22" i="83" s="1"/>
  <c r="K22" i="84" s="1"/>
  <c r="K22" i="85" s="1"/>
  <c r="AJ25" i="3"/>
  <c r="G20" i="80"/>
  <c r="G27" i="80" s="1"/>
  <c r="G26" i="70"/>
  <c r="G26" i="71" s="1"/>
  <c r="G26" i="72" s="1"/>
  <c r="G26" i="73" s="1"/>
  <c r="G26" i="74" s="1"/>
  <c r="G26" i="75" s="1"/>
  <c r="G26" i="76" s="1"/>
  <c r="G24" i="77" s="1"/>
  <c r="N12" i="68"/>
  <c r="G10" i="96"/>
  <c r="G10" i="42" s="1"/>
  <c r="G10" i="67" s="1"/>
  <c r="G10" i="68" s="1"/>
  <c r="N9" i="69"/>
  <c r="N15" i="69" s="1"/>
  <c r="H20" i="80"/>
  <c r="J15" i="79"/>
  <c r="F18" i="69"/>
  <c r="AY32" i="1"/>
  <c r="AU33" i="1" s="1"/>
  <c r="AT18" i="1"/>
  <c r="AP19" i="1" s="1"/>
  <c r="J10" i="84"/>
  <c r="H11" i="83"/>
  <c r="H11" i="84" s="1"/>
  <c r="H11" i="85" s="1"/>
  <c r="H11" i="86" s="1"/>
  <c r="H11" i="87" s="1"/>
  <c r="H11" i="88" s="1"/>
  <c r="G11" i="83"/>
  <c r="G11" i="84" s="1"/>
  <c r="G11" i="85" s="1"/>
  <c r="G11" i="86" s="1"/>
  <c r="G11" i="87" s="1"/>
  <c r="G11" i="88" s="1"/>
  <c r="G11" i="89" s="1"/>
  <c r="AC12" i="2"/>
  <c r="Z13" i="2" s="1"/>
  <c r="K17" i="79"/>
  <c r="K17" i="80" s="1"/>
  <c r="K17" i="81" s="1"/>
  <c r="K17" i="82" s="1"/>
  <c r="K17" i="83" s="1"/>
  <c r="K17" i="84" s="1"/>
  <c r="N38" i="82"/>
  <c r="G25" i="86"/>
  <c r="M13" i="77"/>
  <c r="N12" i="42"/>
  <c r="N10" i="42"/>
  <c r="N9" i="42"/>
  <c r="N11" i="42"/>
  <c r="N10" i="73"/>
  <c r="N11" i="69"/>
  <c r="N12" i="67"/>
  <c r="N11" i="67"/>
  <c r="N10" i="67"/>
  <c r="N9" i="67"/>
  <c r="Q42" i="42"/>
  <c r="F18" i="94"/>
  <c r="G17" i="78"/>
  <c r="G17" i="79" s="1"/>
  <c r="F18" i="78"/>
  <c r="Y8" i="2"/>
  <c r="V9" i="2" s="1"/>
  <c r="J15" i="80"/>
  <c r="G16" i="78"/>
  <c r="G16" i="79" s="1"/>
  <c r="Q32" i="80"/>
  <c r="Q32" i="81"/>
  <c r="G15" i="80"/>
  <c r="L32" i="80"/>
  <c r="K32" i="80"/>
  <c r="K32" i="81" s="1"/>
  <c r="I18" i="81"/>
  <c r="I18" i="80"/>
  <c r="J17" i="79"/>
  <c r="J16" i="79"/>
  <c r="J18" i="78"/>
  <c r="K16" i="79"/>
  <c r="K18" i="78"/>
  <c r="Q32" i="67"/>
  <c r="M15" i="79"/>
  <c r="M15" i="78"/>
  <c r="N9" i="71"/>
  <c r="N9" i="73"/>
  <c r="N11" i="73"/>
  <c r="N12" i="73"/>
  <c r="N12" i="69"/>
  <c r="N10" i="69"/>
  <c r="N11" i="71"/>
  <c r="N12" i="71"/>
  <c r="N10" i="71"/>
  <c r="N11" i="68"/>
  <c r="N9" i="68"/>
  <c r="N10" i="68"/>
  <c r="Q42" i="67"/>
  <c r="N15" i="71" l="1"/>
  <c r="N15" i="73"/>
  <c r="N15" i="67"/>
  <c r="N37" i="81"/>
  <c r="N42" i="81" s="1"/>
  <c r="O39" i="70"/>
  <c r="O39" i="71" s="1"/>
  <c r="N39" i="71"/>
  <c r="N39" i="72" s="1"/>
  <c r="J18" i="79"/>
  <c r="K16" i="80"/>
  <c r="K18" i="80" s="1"/>
  <c r="K18" i="79"/>
  <c r="O38" i="82"/>
  <c r="J10" i="85"/>
  <c r="J10" i="86" s="1"/>
  <c r="J12" i="87"/>
  <c r="J12" i="88" s="1"/>
  <c r="J12" i="89" s="1"/>
  <c r="J12" i="90" s="1"/>
  <c r="J12" i="91" s="1"/>
  <c r="N15" i="42"/>
  <c r="O37" i="81"/>
  <c r="O42" i="81" s="1"/>
  <c r="L32" i="81"/>
  <c r="L32" i="82" s="1"/>
  <c r="L32" i="83" s="1"/>
  <c r="L32" i="84" s="1"/>
  <c r="L32" i="85" s="1"/>
  <c r="L32" i="86" s="1"/>
  <c r="L32" i="87" s="1"/>
  <c r="L32" i="88" s="1"/>
  <c r="L32" i="89" s="1"/>
  <c r="L32" i="90" s="1"/>
  <c r="L32" i="91" s="1"/>
  <c r="L32" i="92" s="1"/>
  <c r="L32" i="93" s="1"/>
  <c r="L32" i="94" s="1"/>
  <c r="L32" i="95" s="1"/>
  <c r="L32" i="96" s="1"/>
  <c r="L32" i="42" s="1"/>
  <c r="L32" i="67" s="1"/>
  <c r="H20" i="81"/>
  <c r="G20" i="81"/>
  <c r="G27" i="81" s="1"/>
  <c r="G23" i="96"/>
  <c r="J22" i="86"/>
  <c r="J22" i="87" s="1"/>
  <c r="J22" i="88" s="1"/>
  <c r="J22" i="89" s="1"/>
  <c r="G22" i="86"/>
  <c r="G22" i="87" s="1"/>
  <c r="G22" i="88" s="1"/>
  <c r="G22" i="89" s="1"/>
  <c r="G22" i="90" s="1"/>
  <c r="G22" i="91" s="1"/>
  <c r="G22" i="92" s="1"/>
  <c r="G22" i="93" s="1"/>
  <c r="K22" i="86"/>
  <c r="K22" i="87" s="1"/>
  <c r="K22" i="88" s="1"/>
  <c r="K22" i="89" s="1"/>
  <c r="K32" i="82"/>
  <c r="K32" i="83" s="1"/>
  <c r="K32" i="84" s="1"/>
  <c r="K32" i="85" s="1"/>
  <c r="K32" i="86" s="1"/>
  <c r="K32" i="87" s="1"/>
  <c r="K32" i="88" s="1"/>
  <c r="K32" i="89" s="1"/>
  <c r="K32" i="90" s="1"/>
  <c r="K32" i="91" s="1"/>
  <c r="K32" i="92" s="1"/>
  <c r="K32" i="93" s="1"/>
  <c r="K32" i="94" s="1"/>
  <c r="K32" i="95" s="1"/>
  <c r="K32" i="96" s="1"/>
  <c r="K32" i="42" s="1"/>
  <c r="K32" i="67" s="1"/>
  <c r="AY33" i="1"/>
  <c r="AU34" i="1"/>
  <c r="AU35" i="1" s="1"/>
  <c r="G15" i="81"/>
  <c r="H18" i="78"/>
  <c r="AT19" i="1"/>
  <c r="AP20" i="1" s="1"/>
  <c r="G15" i="83"/>
  <c r="G15" i="82"/>
  <c r="G11" i="90"/>
  <c r="G11" i="91" s="1"/>
  <c r="G11" i="92" s="1"/>
  <c r="G11" i="93" s="1"/>
  <c r="G11" i="94" s="1"/>
  <c r="G11" i="95" s="1"/>
  <c r="H11" i="89"/>
  <c r="H11" i="90" s="1"/>
  <c r="H11" i="91" s="1"/>
  <c r="H11" i="92" s="1"/>
  <c r="H11" i="93" s="1"/>
  <c r="H11" i="94" s="1"/>
  <c r="H11" i="95" s="1"/>
  <c r="AC13" i="2"/>
  <c r="Z14" i="2" s="1"/>
  <c r="N38" i="83"/>
  <c r="G25" i="87"/>
  <c r="G18" i="78"/>
  <c r="G18" i="79"/>
  <c r="Y9" i="2"/>
  <c r="V10" i="2" s="1"/>
  <c r="J15" i="81"/>
  <c r="K11" i="82"/>
  <c r="J9" i="85"/>
  <c r="J9" i="86" s="1"/>
  <c r="K17" i="85"/>
  <c r="H22" i="79"/>
  <c r="J16" i="80"/>
  <c r="G17" i="80"/>
  <c r="J17" i="80"/>
  <c r="J17" i="81" s="1"/>
  <c r="J17" i="82" s="1"/>
  <c r="H17" i="80"/>
  <c r="M15" i="42"/>
  <c r="M15" i="68"/>
  <c r="AJ35" i="1"/>
  <c r="N37" i="82" l="1"/>
  <c r="N37" i="83" s="1"/>
  <c r="O39" i="72"/>
  <c r="N42" i="83"/>
  <c r="N42" i="82"/>
  <c r="O38" i="83"/>
  <c r="N37" i="84"/>
  <c r="J12" i="92"/>
  <c r="J12" i="93" s="1"/>
  <c r="J10" i="87"/>
  <c r="J10" i="88" s="1"/>
  <c r="J10" i="89" s="1"/>
  <c r="J10" i="90" s="1"/>
  <c r="J10" i="91" s="1"/>
  <c r="O37" i="82"/>
  <c r="O42" i="82" s="1"/>
  <c r="H20" i="82"/>
  <c r="H20" i="83" s="1"/>
  <c r="H20" i="84" s="1"/>
  <c r="G20" i="82"/>
  <c r="G23" i="42"/>
  <c r="G23" i="67" s="1"/>
  <c r="G22" i="94"/>
  <c r="G22" i="95" s="1"/>
  <c r="G22" i="96" s="1"/>
  <c r="G22" i="42" s="1"/>
  <c r="G22" i="67" s="1"/>
  <c r="G22" i="68" s="1"/>
  <c r="G22" i="69" s="1"/>
  <c r="G22" i="70" s="1"/>
  <c r="J22" i="90"/>
  <c r="J22" i="91" s="1"/>
  <c r="J22" i="92" s="1"/>
  <c r="J22" i="93" s="1"/>
  <c r="K22" i="90"/>
  <c r="K22" i="91" s="1"/>
  <c r="K22" i="92" s="1"/>
  <c r="K22" i="93" s="1"/>
  <c r="AY34" i="1"/>
  <c r="AY35" i="1" s="1"/>
  <c r="G11" i="96"/>
  <c r="G11" i="42" s="1"/>
  <c r="G11" i="67" s="1"/>
  <c r="G11" i="68" s="1"/>
  <c r="H11" i="96"/>
  <c r="H11" i="42" s="1"/>
  <c r="H11" i="67" s="1"/>
  <c r="H11" i="68" s="1"/>
  <c r="AT20" i="1"/>
  <c r="AP21" i="1" s="1"/>
  <c r="AC14" i="2"/>
  <c r="Z15" i="2" s="1"/>
  <c r="N38" i="84"/>
  <c r="G25" i="88"/>
  <c r="K16" i="81"/>
  <c r="G17" i="81"/>
  <c r="H17" i="81"/>
  <c r="J18" i="80"/>
  <c r="J16" i="81"/>
  <c r="K17" i="86"/>
  <c r="J17" i="83"/>
  <c r="K11" i="83"/>
  <c r="J11" i="83"/>
  <c r="J15" i="82"/>
  <c r="J9" i="87"/>
  <c r="G9" i="85"/>
  <c r="Y10" i="2"/>
  <c r="V11" i="2" s="1"/>
  <c r="H22" i="80"/>
  <c r="AF3" i="1"/>
  <c r="M35" i="88"/>
  <c r="Q52" i="88" s="1"/>
  <c r="M35" i="89"/>
  <c r="M35" i="90"/>
  <c r="Q52" i="90" s="1"/>
  <c r="I53" i="90" s="1"/>
  <c r="Q52" i="91"/>
  <c r="Q52" i="92"/>
  <c r="I53" i="92" s="1"/>
  <c r="N53" i="92" s="1"/>
  <c r="Q52" i="93"/>
  <c r="I53" i="93" s="1"/>
  <c r="Q52" i="94"/>
  <c r="I53" i="94" s="1"/>
  <c r="N53" i="94" s="1"/>
  <c r="M35" i="96"/>
  <c r="Q52" i="96" s="1"/>
  <c r="I53" i="96" s="1"/>
  <c r="N53" i="96" s="1"/>
  <c r="M35" i="42"/>
  <c r="Q52" i="42" s="1"/>
  <c r="Q54" i="42" s="1"/>
  <c r="M35" i="67"/>
  <c r="Q52" i="67" s="1"/>
  <c r="M35" i="68"/>
  <c r="M35" i="69"/>
  <c r="M35" i="71"/>
  <c r="M35" i="73"/>
  <c r="Q52" i="73" s="1"/>
  <c r="I53" i="73" s="1"/>
  <c r="N53" i="73" s="1"/>
  <c r="M35" i="75"/>
  <c r="Q52" i="75" s="1"/>
  <c r="I53" i="75" s="1"/>
  <c r="N53" i="75" s="1"/>
  <c r="M35" i="76"/>
  <c r="Q52" i="76" s="1"/>
  <c r="M33" i="77"/>
  <c r="Q50" i="77" s="1"/>
  <c r="M35" i="79"/>
  <c r="Q52" i="79" s="1"/>
  <c r="Q54" i="79" s="1"/>
  <c r="M35" i="81"/>
  <c r="Q52" i="81" s="1"/>
  <c r="I53" i="81" s="1"/>
  <c r="N53" i="81" s="1"/>
  <c r="M35" i="82"/>
  <c r="Q52" i="82" s="1"/>
  <c r="I53" i="82" s="1"/>
  <c r="N53" i="82" s="1"/>
  <c r="M35" i="83"/>
  <c r="M35" i="84"/>
  <c r="Q52" i="84" s="1"/>
  <c r="I53" i="84" s="1"/>
  <c r="N53" i="84" s="1"/>
  <c r="M35" i="85"/>
  <c r="Q52" i="85" s="1"/>
  <c r="I53" i="85" s="1"/>
  <c r="N53" i="85" s="1"/>
  <c r="M35" i="86"/>
  <c r="M35" i="87"/>
  <c r="N42" i="84" l="1"/>
  <c r="I53" i="76"/>
  <c r="N53" i="76" s="1"/>
  <c r="Q54" i="76"/>
  <c r="I53" i="88"/>
  <c r="N53" i="88" s="1"/>
  <c r="Q54" i="88"/>
  <c r="N37" i="85"/>
  <c r="N37" i="86" s="1"/>
  <c r="O38" i="84"/>
  <c r="I53" i="67"/>
  <c r="N53" i="67" s="1"/>
  <c r="Q54" i="67"/>
  <c r="AE23" i="55" s="1"/>
  <c r="I53" i="42"/>
  <c r="N53" i="42" s="1"/>
  <c r="Q54" i="91"/>
  <c r="AE16" i="55" s="1"/>
  <c r="I53" i="91"/>
  <c r="Q54" i="81"/>
  <c r="J10" i="92"/>
  <c r="J10" i="93" s="1"/>
  <c r="J12" i="94"/>
  <c r="O37" i="83"/>
  <c r="O42" i="83" s="1"/>
  <c r="Q54" i="73"/>
  <c r="Q52" i="74"/>
  <c r="G20" i="83"/>
  <c r="G27" i="82"/>
  <c r="AC4" i="1"/>
  <c r="G23" i="68"/>
  <c r="G23" i="71" s="1"/>
  <c r="G23" i="72" s="1"/>
  <c r="G23" i="76" s="1"/>
  <c r="G21" i="77" s="1"/>
  <c r="G22" i="75"/>
  <c r="G22" i="76" s="1"/>
  <c r="G20" i="77" s="1"/>
  <c r="J22" i="94"/>
  <c r="J22" i="95" s="1"/>
  <c r="J22" i="96" s="1"/>
  <c r="J22" i="42" s="1"/>
  <c r="K22" i="94"/>
  <c r="K22" i="95" s="1"/>
  <c r="K22" i="96" s="1"/>
  <c r="K22" i="42" s="1"/>
  <c r="H22" i="81"/>
  <c r="H22" i="82" s="1"/>
  <c r="H22" i="83" s="1"/>
  <c r="H22" i="84" s="1"/>
  <c r="H22" i="85" s="1"/>
  <c r="AT21" i="1"/>
  <c r="AP22" i="1" s="1"/>
  <c r="G15" i="84"/>
  <c r="AC15" i="2"/>
  <c r="Z16" i="2" s="1"/>
  <c r="N38" i="85"/>
  <c r="G25" i="89"/>
  <c r="G25" i="90" s="1"/>
  <c r="H20" i="85"/>
  <c r="Q54" i="96"/>
  <c r="AE21" i="55" s="1"/>
  <c r="Q52" i="95"/>
  <c r="AH22" i="55"/>
  <c r="Q54" i="94"/>
  <c r="AE19" i="55" s="1"/>
  <c r="H17" i="82"/>
  <c r="J16" i="82"/>
  <c r="J18" i="81"/>
  <c r="G17" i="82"/>
  <c r="K16" i="82"/>
  <c r="K18" i="81"/>
  <c r="Q54" i="93"/>
  <c r="AE18" i="55" s="1"/>
  <c r="K17" i="87"/>
  <c r="J17" i="84"/>
  <c r="Q54" i="92"/>
  <c r="AE17" i="55" s="1"/>
  <c r="Y11" i="2"/>
  <c r="V12" i="2" s="1"/>
  <c r="J9" i="88"/>
  <c r="J11" i="84"/>
  <c r="J15" i="83"/>
  <c r="G9" i="86"/>
  <c r="G15" i="85"/>
  <c r="K11" i="84"/>
  <c r="K11" i="85" s="1"/>
  <c r="K11" i="86" s="1"/>
  <c r="K11" i="87" s="1"/>
  <c r="Q54" i="90"/>
  <c r="AE15" i="55" s="1"/>
  <c r="Q52" i="89"/>
  <c r="I53" i="89" s="1"/>
  <c r="N53" i="89" s="1"/>
  <c r="Q52" i="87"/>
  <c r="I53" i="87" s="1"/>
  <c r="N53" i="87" s="1"/>
  <c r="Q52" i="86"/>
  <c r="I53" i="86" s="1"/>
  <c r="N53" i="86" s="1"/>
  <c r="Q54" i="85"/>
  <c r="AE10" i="55" s="1"/>
  <c r="Q54" i="84"/>
  <c r="AE9" i="55" s="1"/>
  <c r="Q52" i="83"/>
  <c r="I53" i="83" s="1"/>
  <c r="Q52" i="77"/>
  <c r="M51" i="77"/>
  <c r="M35" i="80"/>
  <c r="AE32" i="55"/>
  <c r="Q54" i="75"/>
  <c r="AE31" i="55" s="1"/>
  <c r="M35" i="78"/>
  <c r="Q52" i="78" s="1"/>
  <c r="Q52" i="71"/>
  <c r="I53" i="71" s="1"/>
  <c r="N53" i="71" s="1"/>
  <c r="Q52" i="69"/>
  <c r="I53" i="69" s="1"/>
  <c r="Q52" i="68"/>
  <c r="I53" i="68" s="1"/>
  <c r="N53" i="68" s="1"/>
  <c r="N37" i="87" l="1"/>
  <c r="N37" i="88" s="1"/>
  <c r="N37" i="89" s="1"/>
  <c r="N37" i="90" s="1"/>
  <c r="N42" i="85"/>
  <c r="O38" i="85"/>
  <c r="O38" i="86" s="1"/>
  <c r="O38" i="87" s="1"/>
  <c r="I53" i="95"/>
  <c r="N53" i="95" s="1"/>
  <c r="Q54" i="95"/>
  <c r="AE20" i="55" s="1"/>
  <c r="Q54" i="74"/>
  <c r="AE30" i="55" s="1"/>
  <c r="I53" i="74"/>
  <c r="N53" i="74" s="1"/>
  <c r="G27" i="83"/>
  <c r="G20" i="84"/>
  <c r="G27" i="84" s="1"/>
  <c r="J12" i="95"/>
  <c r="J12" i="96" s="1"/>
  <c r="J12" i="42" s="1"/>
  <c r="J12" i="67" s="1"/>
  <c r="J12" i="68" s="1"/>
  <c r="J12" i="69" s="1"/>
  <c r="J12" i="70" s="1"/>
  <c r="J12" i="71" s="1"/>
  <c r="J12" i="72" s="1"/>
  <c r="J12" i="73" s="1"/>
  <c r="J12" i="74" s="1"/>
  <c r="J12" i="75" s="1"/>
  <c r="J12" i="76" s="1"/>
  <c r="J10" i="94"/>
  <c r="O37" i="84"/>
  <c r="O42" i="84" s="1"/>
  <c r="AF4" i="1"/>
  <c r="AC5" i="1" s="1"/>
  <c r="AF5" i="1" s="1"/>
  <c r="AC6" i="1" s="1"/>
  <c r="AK3" i="1"/>
  <c r="AG4" i="1" s="1"/>
  <c r="H22" i="86"/>
  <c r="H22" i="87" s="1"/>
  <c r="H22" i="88" s="1"/>
  <c r="H22" i="89" s="1"/>
  <c r="H22" i="90" s="1"/>
  <c r="H22" i="91" s="1"/>
  <c r="H22" i="92" s="1"/>
  <c r="H22" i="93" s="1"/>
  <c r="G24" i="85"/>
  <c r="AT22" i="1"/>
  <c r="AP23" i="1" s="1"/>
  <c r="AC16" i="2"/>
  <c r="Z17" i="2" s="1"/>
  <c r="N38" i="86"/>
  <c r="N42" i="86" s="1"/>
  <c r="H20" i="86"/>
  <c r="AE29" i="55"/>
  <c r="AE22" i="55"/>
  <c r="K16" i="83"/>
  <c r="K18" i="82"/>
  <c r="J16" i="83"/>
  <c r="J18" i="82"/>
  <c r="G17" i="83"/>
  <c r="H17" i="83"/>
  <c r="J17" i="85"/>
  <c r="K17" i="88"/>
  <c r="J9" i="89"/>
  <c r="G9" i="87"/>
  <c r="G15" i="86"/>
  <c r="J11" i="85"/>
  <c r="J11" i="86" s="1"/>
  <c r="J15" i="84"/>
  <c r="Y12" i="2"/>
  <c r="V13" i="2" s="1"/>
  <c r="Q54" i="89"/>
  <c r="AE14" i="55" s="1"/>
  <c r="AE13" i="55"/>
  <c r="Q54" i="87"/>
  <c r="AE12" i="55" s="1"/>
  <c r="Q54" i="86"/>
  <c r="AE11" i="55" s="1"/>
  <c r="Q54" i="83"/>
  <c r="AE8" i="55" s="1"/>
  <c r="Q54" i="82"/>
  <c r="AE7" i="55" s="1"/>
  <c r="Q52" i="80"/>
  <c r="I53" i="80" s="1"/>
  <c r="N53" i="80" s="1"/>
  <c r="O35" i="78"/>
  <c r="O35" i="79" s="1"/>
  <c r="O35" i="80" s="1"/>
  <c r="O35" i="81" s="1"/>
  <c r="O35" i="82" s="1"/>
  <c r="O35" i="83" s="1"/>
  <c r="O35" i="84" s="1"/>
  <c r="O35" i="85" s="1"/>
  <c r="O35" i="86" s="1"/>
  <c r="O35" i="87" s="1"/>
  <c r="O35" i="88" s="1"/>
  <c r="O35" i="89" s="1"/>
  <c r="O35" i="90" s="1"/>
  <c r="O35" i="91" s="1"/>
  <c r="N35" i="78"/>
  <c r="N35" i="79" s="1"/>
  <c r="N35" i="80" s="1"/>
  <c r="N35" i="81" s="1"/>
  <c r="N35" i="82" s="1"/>
  <c r="N35" i="83" s="1"/>
  <c r="N35" i="84" s="1"/>
  <c r="N35" i="85" s="1"/>
  <c r="N35" i="86" s="1"/>
  <c r="N35" i="87" s="1"/>
  <c r="N35" i="88" s="1"/>
  <c r="N35" i="89" s="1"/>
  <c r="N35" i="90" s="1"/>
  <c r="N35" i="91" s="1"/>
  <c r="P35" i="78"/>
  <c r="Q54" i="71"/>
  <c r="AE26" i="55"/>
  <c r="AE25" i="55"/>
  <c r="Q54" i="68"/>
  <c r="AE24" i="55" s="1"/>
  <c r="N35" i="92" l="1"/>
  <c r="N35" i="93" s="1"/>
  <c r="N35" i="94" s="1"/>
  <c r="N35" i="95" s="1"/>
  <c r="N35" i="96" s="1"/>
  <c r="N35" i="42" s="1"/>
  <c r="O35" i="92"/>
  <c r="O35" i="93" s="1"/>
  <c r="O35" i="94" s="1"/>
  <c r="O35" i="95" s="1"/>
  <c r="O35" i="96" s="1"/>
  <c r="O35" i="42" s="1"/>
  <c r="N37" i="91"/>
  <c r="O38" i="88"/>
  <c r="J10" i="95"/>
  <c r="J10" i="96" s="1"/>
  <c r="J10" i="42" s="1"/>
  <c r="J10" i="67" s="1"/>
  <c r="J10" i="68" s="1"/>
  <c r="J10" i="69" s="1"/>
  <c r="O37" i="85"/>
  <c r="O42" i="85" s="1"/>
  <c r="G20" i="85"/>
  <c r="G20" i="86" s="1"/>
  <c r="AK4" i="1"/>
  <c r="AG5" i="1" s="1"/>
  <c r="H22" i="94"/>
  <c r="H22" i="95" s="1"/>
  <c r="H22" i="96" s="1"/>
  <c r="H22" i="42" s="1"/>
  <c r="H22" i="67" s="1"/>
  <c r="H22" i="68" s="1"/>
  <c r="H22" i="69" s="1"/>
  <c r="G24" i="86"/>
  <c r="G24" i="87" s="1"/>
  <c r="AT23" i="1"/>
  <c r="AP24" i="1" s="1"/>
  <c r="AC17" i="2"/>
  <c r="Z18" i="2" s="1"/>
  <c r="N38" i="87"/>
  <c r="N42" i="87" s="1"/>
  <c r="G25" i="91"/>
  <c r="H20" i="87"/>
  <c r="AE28" i="55"/>
  <c r="AE27" i="55"/>
  <c r="H17" i="84"/>
  <c r="G17" i="84"/>
  <c r="J16" i="84"/>
  <c r="J18" i="83"/>
  <c r="K16" i="84"/>
  <c r="K18" i="83"/>
  <c r="K17" i="89"/>
  <c r="J17" i="86"/>
  <c r="J15" i="85"/>
  <c r="J9" i="90"/>
  <c r="Y13" i="2"/>
  <c r="V14" i="2" s="1"/>
  <c r="G15" i="87"/>
  <c r="G9" i="88"/>
  <c r="AE6" i="55"/>
  <c r="Q54" i="80"/>
  <c r="AE5" i="55" s="1"/>
  <c r="Q54" i="78"/>
  <c r="AE3" i="55" s="1"/>
  <c r="H53" i="78"/>
  <c r="M53" i="78" s="1"/>
  <c r="AE4" i="55"/>
  <c r="H53" i="79"/>
  <c r="M53" i="79" s="1"/>
  <c r="AF6" i="1"/>
  <c r="AC7" i="1" s="1"/>
  <c r="N37" i="92" l="1"/>
  <c r="N37" i="93" s="1"/>
  <c r="O38" i="89"/>
  <c r="AK5" i="1"/>
  <c r="AG6" i="1" s="1"/>
  <c r="J10" i="70"/>
  <c r="O37" i="86"/>
  <c r="O42" i="86" s="1"/>
  <c r="G27" i="85"/>
  <c r="G20" i="87"/>
  <c r="G27" i="86"/>
  <c r="L17" i="78"/>
  <c r="E18" i="78"/>
  <c r="H22" i="70"/>
  <c r="H22" i="71" s="1"/>
  <c r="H22" i="72" s="1"/>
  <c r="H22" i="73" s="1"/>
  <c r="H22" i="75" s="1"/>
  <c r="H22" i="76" s="1"/>
  <c r="H20" i="77" s="1"/>
  <c r="G24" i="88"/>
  <c r="G24" i="89" s="1"/>
  <c r="AT24" i="1"/>
  <c r="AP25" i="1" s="1"/>
  <c r="AC18" i="2"/>
  <c r="Z19" i="2" s="1"/>
  <c r="N38" i="88"/>
  <c r="N42" i="88" s="1"/>
  <c r="G25" i="92"/>
  <c r="H20" i="88"/>
  <c r="K16" i="85"/>
  <c r="K18" i="84"/>
  <c r="G17" i="85"/>
  <c r="J16" i="85"/>
  <c r="J18" i="84"/>
  <c r="H17" i="85"/>
  <c r="K17" i="90"/>
  <c r="J17" i="87"/>
  <c r="Y14" i="2"/>
  <c r="V15" i="2" s="1"/>
  <c r="J9" i="91"/>
  <c r="G9" i="89"/>
  <c r="G15" i="88"/>
  <c r="J11" i="87"/>
  <c r="J15" i="86"/>
  <c r="AF7" i="1"/>
  <c r="AC8" i="1" s="1"/>
  <c r="N37" i="94" l="1"/>
  <c r="N37" i="95" s="1"/>
  <c r="N37" i="96" s="1"/>
  <c r="O38" i="90"/>
  <c r="J10" i="71"/>
  <c r="O37" i="87"/>
  <c r="O42" i="87" s="1"/>
  <c r="G20" i="88"/>
  <c r="G27" i="87"/>
  <c r="G24" i="90"/>
  <c r="AK6" i="1"/>
  <c r="AT25" i="1"/>
  <c r="AP26" i="1" s="1"/>
  <c r="AC19" i="2"/>
  <c r="Z20" i="2" s="1"/>
  <c r="N38" i="89"/>
  <c r="N42" i="89" s="1"/>
  <c r="G25" i="93"/>
  <c r="H20" i="89"/>
  <c r="H17" i="86"/>
  <c r="H17" i="87" s="1"/>
  <c r="H17" i="88" s="1"/>
  <c r="J16" i="86"/>
  <c r="J18" i="85"/>
  <c r="G17" i="86"/>
  <c r="G17" i="87" s="1"/>
  <c r="K16" i="86"/>
  <c r="K18" i="85"/>
  <c r="J17" i="88"/>
  <c r="K17" i="91"/>
  <c r="J11" i="88"/>
  <c r="J11" i="89" s="1"/>
  <c r="J11" i="90" s="1"/>
  <c r="J15" i="87"/>
  <c r="J9" i="92"/>
  <c r="K11" i="88"/>
  <c r="K11" i="89" s="1"/>
  <c r="K11" i="90" s="1"/>
  <c r="G9" i="90"/>
  <c r="G15" i="89"/>
  <c r="Y15" i="2"/>
  <c r="V16" i="2" s="1"/>
  <c r="AF8" i="1"/>
  <c r="AC9" i="1" s="1"/>
  <c r="N37" i="42" l="1"/>
  <c r="O38" i="91"/>
  <c r="O38" i="92" s="1"/>
  <c r="J10" i="72"/>
  <c r="J10" i="73" s="1"/>
  <c r="O37" i="88"/>
  <c r="O42" i="88" s="1"/>
  <c r="G20" i="89"/>
  <c r="G27" i="88"/>
  <c r="G24" i="91"/>
  <c r="M32" i="72"/>
  <c r="AG7" i="1"/>
  <c r="AT26" i="1"/>
  <c r="AP27" i="1" s="1"/>
  <c r="AC20" i="2"/>
  <c r="Z21" i="2" s="1"/>
  <c r="N38" i="90"/>
  <c r="G25" i="94"/>
  <c r="H20" i="90"/>
  <c r="K16" i="87"/>
  <c r="K18" i="86"/>
  <c r="J16" i="87"/>
  <c r="J18" i="86"/>
  <c r="K17" i="92"/>
  <c r="J17" i="89"/>
  <c r="G9" i="91"/>
  <c r="G15" i="90"/>
  <c r="J9" i="93"/>
  <c r="Y16" i="2"/>
  <c r="V17" i="2" s="1"/>
  <c r="J15" i="88"/>
  <c r="AF9" i="1"/>
  <c r="O38" i="93" l="1"/>
  <c r="O38" i="94" s="1"/>
  <c r="O38" i="95" s="1"/>
  <c r="N38" i="91"/>
  <c r="N42" i="91" s="1"/>
  <c r="N42" i="90"/>
  <c r="J9" i="94"/>
  <c r="O37" i="89"/>
  <c r="O42" i="89" s="1"/>
  <c r="G20" i="90"/>
  <c r="G27" i="89"/>
  <c r="AJ28" i="3"/>
  <c r="AC10" i="1"/>
  <c r="AK7" i="1"/>
  <c r="AG8" i="1" s="1"/>
  <c r="AT27" i="1"/>
  <c r="AP28" i="1" s="1"/>
  <c r="AC21" i="2"/>
  <c r="Z22" i="2" s="1"/>
  <c r="G25" i="95"/>
  <c r="G25" i="96" s="1"/>
  <c r="H20" i="91"/>
  <c r="J16" i="88"/>
  <c r="J18" i="87"/>
  <c r="K16" i="88"/>
  <c r="K18" i="87"/>
  <c r="G17" i="88"/>
  <c r="J17" i="90"/>
  <c r="K17" i="93"/>
  <c r="K17" i="94" s="1"/>
  <c r="K17" i="95" s="1"/>
  <c r="K17" i="96" s="1"/>
  <c r="K17" i="42" s="1"/>
  <c r="Y17" i="2"/>
  <c r="V18" i="2" s="1"/>
  <c r="J15" i="89"/>
  <c r="G9" i="92"/>
  <c r="G15" i="91"/>
  <c r="J9" i="95" l="1"/>
  <c r="J9" i="96" s="1"/>
  <c r="J9" i="42" s="1"/>
  <c r="O37" i="90"/>
  <c r="O42" i="90" s="1"/>
  <c r="O38" i="96"/>
  <c r="O38" i="42" s="1"/>
  <c r="O38" i="67" s="1"/>
  <c r="O38" i="68" s="1"/>
  <c r="O38" i="69" s="1"/>
  <c r="O38" i="70" s="1"/>
  <c r="O38" i="71" s="1"/>
  <c r="O38" i="72" s="1"/>
  <c r="G20" i="91"/>
  <c r="G27" i="90"/>
  <c r="AF10" i="1"/>
  <c r="AC11" i="1" s="1"/>
  <c r="AF11" i="1" s="1"/>
  <c r="AC12" i="1" s="1"/>
  <c r="AK8" i="1"/>
  <c r="AG9" i="1" s="1"/>
  <c r="G24" i="92"/>
  <c r="G24" i="93" s="1"/>
  <c r="G24" i="94" s="1"/>
  <c r="AT28" i="1"/>
  <c r="AP29" i="1" s="1"/>
  <c r="AC22" i="2"/>
  <c r="Z23" i="2" s="1"/>
  <c r="N38" i="92"/>
  <c r="N42" i="92" s="1"/>
  <c r="H20" i="92"/>
  <c r="G17" i="89"/>
  <c r="H17" i="89"/>
  <c r="K16" i="89"/>
  <c r="K18" i="89" s="1"/>
  <c r="K18" i="88"/>
  <c r="J16" i="89"/>
  <c r="J18" i="89" s="1"/>
  <c r="J18" i="88"/>
  <c r="J17" i="91"/>
  <c r="J11" i="91"/>
  <c r="J15" i="90"/>
  <c r="K11" i="91"/>
  <c r="Y18" i="2"/>
  <c r="V19" i="2" s="1"/>
  <c r="G9" i="93"/>
  <c r="G15" i="92"/>
  <c r="O37" i="91" l="1"/>
  <c r="O42" i="91" s="1"/>
  <c r="G20" i="92"/>
  <c r="G27" i="91"/>
  <c r="G24" i="95"/>
  <c r="G24" i="96" s="1"/>
  <c r="AK9" i="1"/>
  <c r="AG10" i="1" s="1"/>
  <c r="AT29" i="1"/>
  <c r="AP30" i="1" s="1"/>
  <c r="AC23" i="2"/>
  <c r="Z24" i="2" s="1"/>
  <c r="N38" i="93"/>
  <c r="N42" i="93" s="1"/>
  <c r="G25" i="42"/>
  <c r="Y19" i="2"/>
  <c r="V20" i="2" s="1"/>
  <c r="H20" i="93"/>
  <c r="G15" i="93"/>
  <c r="G9" i="94"/>
  <c r="J16" i="90"/>
  <c r="H17" i="90"/>
  <c r="K16" i="90"/>
  <c r="G17" i="90"/>
  <c r="J17" i="92"/>
  <c r="J17" i="93" s="1"/>
  <c r="K11" i="92"/>
  <c r="J11" i="92"/>
  <c r="J15" i="91"/>
  <c r="AF12" i="1"/>
  <c r="AC13" i="1" s="1"/>
  <c r="X4" i="6"/>
  <c r="O37" i="92" l="1"/>
  <c r="O42" i="92" s="1"/>
  <c r="G20" i="93"/>
  <c r="G27" i="92"/>
  <c r="G24" i="42"/>
  <c r="G24" i="67" s="1"/>
  <c r="AK10" i="1"/>
  <c r="AG11" i="1" s="1"/>
  <c r="AT30" i="1"/>
  <c r="AP31" i="1" s="1"/>
  <c r="AC24" i="2"/>
  <c r="Z25" i="2" s="1"/>
  <c r="N38" i="94"/>
  <c r="N42" i="94" s="1"/>
  <c r="G15" i="94"/>
  <c r="G9" i="95"/>
  <c r="Y20" i="2"/>
  <c r="V21" i="2" s="1"/>
  <c r="H20" i="94"/>
  <c r="H17" i="91"/>
  <c r="K16" i="91"/>
  <c r="K18" i="90"/>
  <c r="G17" i="91"/>
  <c r="J16" i="91"/>
  <c r="J18" i="90"/>
  <c r="J17" i="94"/>
  <c r="J17" i="95" s="1"/>
  <c r="J17" i="96" s="1"/>
  <c r="J17" i="42" s="1"/>
  <c r="J11" i="93"/>
  <c r="J15" i="92"/>
  <c r="K11" i="93"/>
  <c r="AF13" i="1"/>
  <c r="O37" i="93" l="1"/>
  <c r="O42" i="93" s="1"/>
  <c r="G27" i="93"/>
  <c r="G20" i="94"/>
  <c r="G24" i="68"/>
  <c r="G24" i="69" s="1"/>
  <c r="G24" i="70" s="1"/>
  <c r="AK11" i="1"/>
  <c r="AG12" i="1" s="1"/>
  <c r="AK12" i="1" s="1"/>
  <c r="AC14" i="1"/>
  <c r="AT31" i="1"/>
  <c r="AP32" i="1" s="1"/>
  <c r="AC25" i="2"/>
  <c r="Z26" i="2" s="1"/>
  <c r="N38" i="95"/>
  <c r="N42" i="95" s="1"/>
  <c r="G9" i="96"/>
  <c r="G15" i="95"/>
  <c r="Y21" i="2"/>
  <c r="V22" i="2" s="1"/>
  <c r="H20" i="95"/>
  <c r="J15" i="93"/>
  <c r="J11" i="94"/>
  <c r="K11" i="94"/>
  <c r="K11" i="95" s="1"/>
  <c r="J16" i="92"/>
  <c r="J18" i="91"/>
  <c r="K16" i="92"/>
  <c r="K18" i="91"/>
  <c r="G17" i="92"/>
  <c r="H17" i="92"/>
  <c r="O37" i="94" l="1"/>
  <c r="O42" i="94" s="1"/>
  <c r="G27" i="94"/>
  <c r="G20" i="95"/>
  <c r="G27" i="95" s="1"/>
  <c r="AF14" i="1"/>
  <c r="AC15" i="1" s="1"/>
  <c r="AF15" i="1" s="1"/>
  <c r="AC16" i="1" s="1"/>
  <c r="G24" i="71"/>
  <c r="AG13" i="1"/>
  <c r="K11" i="96"/>
  <c r="K11" i="42" s="1"/>
  <c r="K11" i="67" s="1"/>
  <c r="K11" i="68" s="1"/>
  <c r="AT32" i="1"/>
  <c r="AP33" i="1" s="1"/>
  <c r="AP34" i="1" s="1"/>
  <c r="AC26" i="2"/>
  <c r="Z27" i="2" s="1"/>
  <c r="N38" i="96"/>
  <c r="N42" i="96" s="1"/>
  <c r="J15" i="94"/>
  <c r="J11" i="95"/>
  <c r="J11" i="96" s="1"/>
  <c r="G9" i="42"/>
  <c r="G15" i="96"/>
  <c r="Y22" i="2"/>
  <c r="V23" i="2" s="1"/>
  <c r="H20" i="96"/>
  <c r="K16" i="93"/>
  <c r="K18" i="92"/>
  <c r="G17" i="93"/>
  <c r="H17" i="93"/>
  <c r="J16" i="93"/>
  <c r="J18" i="92"/>
  <c r="N3" i="1"/>
  <c r="EE3" i="1" l="1"/>
  <c r="L16" i="78"/>
  <c r="O37" i="95"/>
  <c r="O42" i="95" s="1"/>
  <c r="E5" i="3"/>
  <c r="F5" i="3" s="1"/>
  <c r="I24" i="80" s="1"/>
  <c r="R5" i="3"/>
  <c r="S5" i="3" s="1"/>
  <c r="I23" i="80" s="1"/>
  <c r="G24" i="72"/>
  <c r="G20" i="96"/>
  <c r="AK13" i="1"/>
  <c r="AG14" i="1" s="1"/>
  <c r="AT33" i="1"/>
  <c r="AP35" i="1"/>
  <c r="Q3" i="1"/>
  <c r="AC27" i="2"/>
  <c r="Z28" i="2" s="1"/>
  <c r="N38" i="42"/>
  <c r="J15" i="95"/>
  <c r="G17" i="94"/>
  <c r="Y23" i="2"/>
  <c r="V24" i="2" s="1"/>
  <c r="H20" i="42"/>
  <c r="H17" i="94"/>
  <c r="J18" i="93"/>
  <c r="J16" i="94"/>
  <c r="K18" i="93"/>
  <c r="K16" i="94"/>
  <c r="P3" i="1"/>
  <c r="AF16" i="1"/>
  <c r="AC17" i="1" s="1"/>
  <c r="M32" i="80" l="1"/>
  <c r="N38" i="67"/>
  <c r="N38" i="68" s="1"/>
  <c r="N38" i="69" s="1"/>
  <c r="N42" i="42"/>
  <c r="R16" i="3"/>
  <c r="O37" i="96"/>
  <c r="O42" i="96" s="1"/>
  <c r="AJ5" i="3"/>
  <c r="G24" i="73"/>
  <c r="G24" i="74" s="1"/>
  <c r="G24" i="75" s="1"/>
  <c r="G27" i="96"/>
  <c r="G20" i="42"/>
  <c r="G27" i="42" s="1"/>
  <c r="X5" i="3"/>
  <c r="U6" i="3" s="1"/>
  <c r="X6" i="3" s="1"/>
  <c r="U7" i="3" s="1"/>
  <c r="X7" i="3" s="1"/>
  <c r="AB5" i="3"/>
  <c r="AK14" i="1"/>
  <c r="AG15" i="1" s="1"/>
  <c r="AK15" i="1" s="1"/>
  <c r="AT34" i="1"/>
  <c r="AC28" i="2"/>
  <c r="J11" i="42"/>
  <c r="J11" i="67" s="1"/>
  <c r="J15" i="96"/>
  <c r="G17" i="95"/>
  <c r="Y24" i="2"/>
  <c r="V25" i="2" s="1"/>
  <c r="H17" i="95"/>
  <c r="K18" i="94"/>
  <c r="K16" i="95"/>
  <c r="J18" i="94"/>
  <c r="J16" i="95"/>
  <c r="AF17" i="1"/>
  <c r="AC18" i="1" s="1"/>
  <c r="S16" i="3" l="1"/>
  <c r="I23" i="91" s="1"/>
  <c r="AJ16" i="3"/>
  <c r="N38" i="70"/>
  <c r="O37" i="42"/>
  <c r="O42" i="42" s="1"/>
  <c r="G24" i="76"/>
  <c r="E23" i="81"/>
  <c r="Y6" i="3"/>
  <c r="AB6" i="3" s="1"/>
  <c r="AG16" i="1"/>
  <c r="AK16" i="1" s="1"/>
  <c r="J11" i="68"/>
  <c r="U8" i="3"/>
  <c r="X8" i="3" s="1"/>
  <c r="Z29" i="2"/>
  <c r="G17" i="96"/>
  <c r="G17" i="42" s="1"/>
  <c r="Y25" i="2"/>
  <c r="H17" i="96"/>
  <c r="H17" i="42" s="1"/>
  <c r="J18" i="95"/>
  <c r="J16" i="96"/>
  <c r="J16" i="42" s="1"/>
  <c r="J18" i="42" s="1"/>
  <c r="K16" i="96"/>
  <c r="K16" i="42" s="1"/>
  <c r="K18" i="42" s="1"/>
  <c r="K18" i="95"/>
  <c r="AF18" i="1"/>
  <c r="AC19" i="1" s="1"/>
  <c r="G22" i="77" l="1"/>
  <c r="AF19" i="1"/>
  <c r="AC20" i="1" s="1"/>
  <c r="Y7" i="3"/>
  <c r="AB7" i="3" s="1"/>
  <c r="V26" i="2"/>
  <c r="AG17" i="1"/>
  <c r="AK17" i="1" s="1"/>
  <c r="U9" i="3"/>
  <c r="X9" i="3" s="1"/>
  <c r="AC29" i="2"/>
  <c r="J18" i="96"/>
  <c r="K18" i="96"/>
  <c r="AF20" i="1" l="1"/>
  <c r="AC21" i="1" s="1"/>
  <c r="Y8" i="3"/>
  <c r="AB8" i="3" s="1"/>
  <c r="Y26" i="2"/>
  <c r="V27" i="2" s="1"/>
  <c r="AG18" i="1"/>
  <c r="AK18" i="1" s="1"/>
  <c r="U10" i="3"/>
  <c r="X10" i="3" s="1"/>
  <c r="Z30" i="2"/>
  <c r="AF21" i="1" l="1"/>
  <c r="AC22" i="1" s="1"/>
  <c r="Y9" i="3"/>
  <c r="AB9" i="3" s="1"/>
  <c r="Y27" i="2"/>
  <c r="V28" i="2" s="1"/>
  <c r="AG19" i="1"/>
  <c r="AK19" i="1" s="1"/>
  <c r="U11" i="3"/>
  <c r="X11" i="3" s="1"/>
  <c r="AC30" i="2"/>
  <c r="AF22" i="1" l="1"/>
  <c r="AC23" i="1" s="1"/>
  <c r="Y10" i="3"/>
  <c r="AB10" i="3" s="1"/>
  <c r="Y28" i="2"/>
  <c r="V29" i="2" s="1"/>
  <c r="Y29" i="2" s="1"/>
  <c r="V30" i="2" s="1"/>
  <c r="AG20" i="1"/>
  <c r="AK20" i="1" s="1"/>
  <c r="U12" i="3"/>
  <c r="X12" i="3" s="1"/>
  <c r="Z31" i="2"/>
  <c r="AF23" i="1" l="1"/>
  <c r="AC24" i="1" s="1"/>
  <c r="AF24" i="1" s="1"/>
  <c r="AC25" i="1" s="1"/>
  <c r="Y11" i="3"/>
  <c r="AB11" i="3" s="1"/>
  <c r="AG21" i="1"/>
  <c r="AK21" i="1" s="1"/>
  <c r="U13" i="3"/>
  <c r="X13" i="3" s="1"/>
  <c r="AC31" i="2"/>
  <c r="Y30" i="2"/>
  <c r="Y12" i="3" l="1"/>
  <c r="AB12" i="3" s="1"/>
  <c r="V31" i="2"/>
  <c r="AG22" i="1"/>
  <c r="AK22" i="1" s="1"/>
  <c r="U14" i="3"/>
  <c r="X14" i="3" s="1"/>
  <c r="Z32" i="2"/>
  <c r="AF25" i="1"/>
  <c r="AC26" i="1" s="1"/>
  <c r="Y13" i="3" l="1"/>
  <c r="AB13" i="3" s="1"/>
  <c r="Y31" i="2"/>
  <c r="V32" i="2" s="1"/>
  <c r="Y32" i="2" s="1"/>
  <c r="AG23" i="1"/>
  <c r="AK23" i="1" s="1"/>
  <c r="U15" i="3"/>
  <c r="X15" i="3" s="1"/>
  <c r="AC32" i="2"/>
  <c r="AF26" i="1"/>
  <c r="AC27" i="1" s="1"/>
  <c r="AG24" i="1" l="1"/>
  <c r="AK24" i="1" s="1"/>
  <c r="U16" i="3"/>
  <c r="X16" i="3" s="1"/>
  <c r="Z33" i="2"/>
  <c r="V33" i="2"/>
  <c r="Y33" i="2" s="1"/>
  <c r="Y34" i="2" s="1"/>
  <c r="AF27" i="1"/>
  <c r="AC28" i="1" s="1"/>
  <c r="Y14" i="3" l="1"/>
  <c r="AB14" i="3" s="1"/>
  <c r="AG25" i="1"/>
  <c r="AK25" i="1" s="1"/>
  <c r="U17" i="3"/>
  <c r="AC33" i="2"/>
  <c r="AC34" i="2" s="1"/>
  <c r="Z34" i="2"/>
  <c r="V34" i="2"/>
  <c r="AF28" i="1"/>
  <c r="AC29" i="1" s="1"/>
  <c r="AG26" i="1" l="1"/>
  <c r="AK26" i="1" s="1"/>
  <c r="AF29" i="1"/>
  <c r="AC30" i="1" s="1"/>
  <c r="AJ17" i="3" l="1"/>
  <c r="Y15" i="3"/>
  <c r="AB15" i="3" s="1"/>
  <c r="AG27" i="1"/>
  <c r="AK27" i="1" s="1"/>
  <c r="AF30" i="1"/>
  <c r="AC31" i="1" s="1"/>
  <c r="Y16" i="3" l="1"/>
  <c r="AB16" i="3" s="1"/>
  <c r="AG28" i="1"/>
  <c r="AK28" i="1" s="1"/>
  <c r="X17" i="3"/>
  <c r="U18" i="3" s="1"/>
  <c r="X18" i="3" s="1"/>
  <c r="U19" i="3" s="1"/>
  <c r="X19" i="3" s="1"/>
  <c r="U20" i="3" s="1"/>
  <c r="X20" i="3" s="1"/>
  <c r="AF31" i="1"/>
  <c r="AC32" i="1" s="1"/>
  <c r="Y17" i="3" l="1"/>
  <c r="AB17" i="3" s="1"/>
  <c r="AG29" i="1"/>
  <c r="AK29" i="1" s="1"/>
  <c r="U21" i="3"/>
  <c r="X21" i="3" s="1"/>
  <c r="AF32" i="1"/>
  <c r="AC33" i="1" s="1"/>
  <c r="AC34" i="1" l="1"/>
  <c r="Y18" i="3"/>
  <c r="AB18" i="3" s="1"/>
  <c r="AG30" i="1"/>
  <c r="AK30" i="1" s="1"/>
  <c r="U22" i="3"/>
  <c r="X22" i="3" s="1"/>
  <c r="AF33" i="1"/>
  <c r="AF34" i="1" s="1"/>
  <c r="Y19" i="3" l="1"/>
  <c r="AB19" i="3" s="1"/>
  <c r="U23" i="3"/>
  <c r="AV5" i="12"/>
  <c r="O10" i="12"/>
  <c r="O11" i="12"/>
  <c r="O12" i="12"/>
  <c r="O15" i="12"/>
  <c r="O16" i="12"/>
  <c r="O17" i="12"/>
  <c r="O18" i="12"/>
  <c r="O20" i="12"/>
  <c r="O21" i="12"/>
  <c r="O22" i="12"/>
  <c r="O23" i="12"/>
  <c r="O24" i="12"/>
  <c r="O25" i="12"/>
  <c r="O27" i="12"/>
  <c r="O30" i="12"/>
  <c r="O31" i="12"/>
  <c r="O32" i="12"/>
  <c r="O33" i="12"/>
  <c r="Y20" i="3" l="1"/>
  <c r="AB20" i="3" s="1"/>
  <c r="AG31" i="1"/>
  <c r="AK31" i="1" s="1"/>
  <c r="X23" i="3"/>
  <c r="U24" i="3" s="1"/>
  <c r="AV9" i="12"/>
  <c r="AV8" i="12"/>
  <c r="AV7" i="12"/>
  <c r="AV40" i="12" l="1"/>
  <c r="AU42" i="97" s="1"/>
  <c r="Y21" i="3"/>
  <c r="AB21" i="3" s="1"/>
  <c r="X24" i="3"/>
  <c r="U25" i="3" s="1"/>
  <c r="K22" i="67"/>
  <c r="K22" i="68" s="1"/>
  <c r="K22" i="69" s="1"/>
  <c r="K22" i="70" s="1"/>
  <c r="J22" i="67"/>
  <c r="J22" i="68" s="1"/>
  <c r="J22" i="69" s="1"/>
  <c r="J22" i="70" s="1"/>
  <c r="Y22" i="3" l="1"/>
  <c r="AB22" i="3" s="1"/>
  <c r="AG32" i="1"/>
  <c r="AK32" i="1" s="1"/>
  <c r="J22" i="71"/>
  <c r="J22" i="72" s="1"/>
  <c r="J22" i="73" s="1"/>
  <c r="J22" i="74" s="1"/>
  <c r="J22" i="75" s="1"/>
  <c r="J22" i="76" s="1"/>
  <c r="J20" i="77" s="1"/>
  <c r="K22" i="71"/>
  <c r="K22" i="72" s="1"/>
  <c r="K22" i="73" s="1"/>
  <c r="K22" i="74" s="1"/>
  <c r="K22" i="75" s="1"/>
  <c r="K22" i="76" s="1"/>
  <c r="K20" i="77" s="1"/>
  <c r="X25" i="3"/>
  <c r="U26" i="3" s="1"/>
  <c r="R31" i="3" l="1"/>
  <c r="S31" i="3" s="1"/>
  <c r="Y23" i="3"/>
  <c r="AB23" i="3" s="1"/>
  <c r="X26" i="3"/>
  <c r="U27" i="3" s="1"/>
  <c r="I23" i="75" l="1"/>
  <c r="M32" i="75" s="1"/>
  <c r="AJ31" i="3"/>
  <c r="Y24" i="3"/>
  <c r="AB24" i="3" s="1"/>
  <c r="AG33" i="1"/>
  <c r="AK33" i="1" s="1"/>
  <c r="X27" i="3"/>
  <c r="U28" i="3" s="1"/>
  <c r="AV12" i="12"/>
  <c r="Y25" i="3" l="1"/>
  <c r="AB25" i="3" s="1"/>
  <c r="X28" i="3"/>
  <c r="U29" i="3" s="1"/>
  <c r="AV11" i="12"/>
  <c r="Y26" i="3" l="1"/>
  <c r="AB26" i="3" s="1"/>
  <c r="X29" i="3"/>
  <c r="U30" i="3" s="1"/>
  <c r="Y27" i="3" l="1"/>
  <c r="AB27" i="3" s="1"/>
  <c r="X30" i="3"/>
  <c r="U31" i="3" s="1"/>
  <c r="Y34" i="64"/>
  <c r="X31" i="3" l="1"/>
  <c r="U32" i="3" s="1"/>
  <c r="Y28" i="3"/>
  <c r="AB28" i="3" s="1"/>
  <c r="Y29" i="3" l="1"/>
  <c r="AB29" i="3" s="1"/>
  <c r="X32" i="3"/>
  <c r="Y30" i="3" l="1"/>
  <c r="AB30" i="3" s="1"/>
  <c r="Y31" i="3" l="1"/>
  <c r="AB31" i="3" s="1"/>
  <c r="Y32" i="3" l="1"/>
  <c r="AB32" i="3" s="1"/>
  <c r="AB34" i="64"/>
  <c r="AC33" i="64"/>
  <c r="AC30" i="64"/>
  <c r="X31" i="64" s="1"/>
  <c r="AC31" i="64" s="1"/>
  <c r="X32" i="64" s="1"/>
  <c r="AC32" i="64" s="1"/>
  <c r="AC27" i="64"/>
  <c r="X28" i="64" s="1"/>
  <c r="AC28" i="64" s="1"/>
  <c r="X29" i="64" s="1"/>
  <c r="AC29" i="64" s="1"/>
  <c r="AC24" i="64"/>
  <c r="X25" i="64" s="1"/>
  <c r="AC25" i="64" s="1"/>
  <c r="X26" i="64" s="1"/>
  <c r="AC26" i="64" s="1"/>
  <c r="AC21" i="64"/>
  <c r="X22" i="64" s="1"/>
  <c r="AC22" i="64" s="1"/>
  <c r="X23" i="64" s="1"/>
  <c r="AC23" i="64" s="1"/>
  <c r="AC18" i="64"/>
  <c r="X19" i="64" s="1"/>
  <c r="AC19" i="64" s="1"/>
  <c r="X20" i="64" s="1"/>
  <c r="AC20" i="64" s="1"/>
  <c r="AC15" i="64"/>
  <c r="X16" i="64" s="1"/>
  <c r="AC16" i="64" s="1"/>
  <c r="X17" i="64" s="1"/>
  <c r="AC17" i="64" s="1"/>
  <c r="AC12" i="64"/>
  <c r="X13" i="64" s="1"/>
  <c r="AC13" i="64" s="1"/>
  <c r="X14" i="64" s="1"/>
  <c r="AC14" i="64" s="1"/>
  <c r="AC9" i="64"/>
  <c r="X10" i="64" s="1"/>
  <c r="AC10" i="64" s="1"/>
  <c r="X11" i="64" s="1"/>
  <c r="AC11" i="64" s="1"/>
  <c r="AC6" i="64"/>
  <c r="X7" i="64" s="1"/>
  <c r="AC7" i="64" s="1"/>
  <c r="X8" i="64" s="1"/>
  <c r="AC8" i="64" s="1"/>
  <c r="AC3" i="64"/>
  <c r="X4" i="64" s="1"/>
  <c r="AC4" i="64" s="1"/>
  <c r="X5" i="64" s="1"/>
  <c r="AC5" i="64" s="1"/>
  <c r="Y33" i="3" l="1"/>
  <c r="Q34" i="64"/>
  <c r="N34" i="64"/>
  <c r="R33" i="64"/>
  <c r="R30" i="64"/>
  <c r="M31" i="64" s="1"/>
  <c r="R31" i="64" s="1"/>
  <c r="M32" i="64" s="1"/>
  <c r="R32" i="64" s="1"/>
  <c r="R27" i="64"/>
  <c r="M28" i="64" s="1"/>
  <c r="R28" i="64" s="1"/>
  <c r="M29" i="64" s="1"/>
  <c r="R29" i="64" s="1"/>
  <c r="R24" i="64"/>
  <c r="M25" i="64" s="1"/>
  <c r="R25" i="64" s="1"/>
  <c r="M26" i="64" s="1"/>
  <c r="R26" i="64" s="1"/>
  <c r="R21" i="64"/>
  <c r="M22" i="64" s="1"/>
  <c r="R22" i="64" s="1"/>
  <c r="M23" i="64" s="1"/>
  <c r="R23" i="64" s="1"/>
  <c r="R18" i="64"/>
  <c r="M19" i="64" s="1"/>
  <c r="R15" i="64"/>
  <c r="M16" i="64" s="1"/>
  <c r="R16" i="64" s="1"/>
  <c r="M17" i="64" s="1"/>
  <c r="R17" i="64" s="1"/>
  <c r="R12" i="64"/>
  <c r="M13" i="64" s="1"/>
  <c r="R13" i="64" s="1"/>
  <c r="M14" i="64" s="1"/>
  <c r="R14" i="64" s="1"/>
  <c r="R9" i="64"/>
  <c r="M10" i="64" s="1"/>
  <c r="R10" i="64" s="1"/>
  <c r="M11" i="64" s="1"/>
  <c r="R11" i="64" s="1"/>
  <c r="R6" i="64"/>
  <c r="M7" i="64" s="1"/>
  <c r="R7" i="64" s="1"/>
  <c r="M8" i="64" s="1"/>
  <c r="R8" i="64" s="1"/>
  <c r="R3" i="64"/>
  <c r="M4" i="64" s="1"/>
  <c r="R4" i="64" s="1"/>
  <c r="M5" i="64" s="1"/>
  <c r="R5" i="64" s="1"/>
  <c r="R19" i="64" l="1"/>
  <c r="M20" i="64" s="1"/>
  <c r="R20" i="64" s="1"/>
  <c r="G60" i="72" l="1"/>
  <c r="G60" i="73" s="1"/>
  <c r="G60" i="74" s="1"/>
  <c r="G60" i="75" l="1"/>
  <c r="G60" i="76" s="1"/>
  <c r="G58" i="77" s="1"/>
  <c r="AP40" i="12"/>
  <c r="AO42" i="97" s="1"/>
  <c r="AT10" i="12"/>
  <c r="AU10" i="12"/>
  <c r="AV10" i="12"/>
  <c r="AG10" i="12" l="1"/>
  <c r="AM10" i="12" s="1"/>
  <c r="EL9" i="1" l="1"/>
  <c r="AL10" i="12"/>
  <c r="EV9" i="1" l="1"/>
  <c r="AH9" i="3"/>
  <c r="EU9" i="1"/>
  <c r="I21" i="84"/>
  <c r="ER9" i="1"/>
  <c r="EO10" i="1" s="1"/>
  <c r="ER10" i="1" s="1"/>
  <c r="EO11" i="1" s="1"/>
  <c r="ER11" i="1" s="1"/>
  <c r="M36" i="84"/>
  <c r="I20" i="84" l="1"/>
  <c r="E21" i="85"/>
  <c r="K21" i="84"/>
  <c r="J21" i="84"/>
  <c r="L21" i="84"/>
  <c r="AH4" i="6" l="1"/>
  <c r="F39" i="79" s="1"/>
  <c r="AH5" i="6"/>
  <c r="F39" i="80" s="1"/>
  <c r="AH6" i="6"/>
  <c r="F39" i="81" s="1"/>
  <c r="AH7" i="6"/>
  <c r="F39" i="82" s="1"/>
  <c r="AH8" i="6"/>
  <c r="F39" i="83" s="1"/>
  <c r="AH9" i="6"/>
  <c r="F39" i="84" s="1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F39" i="69"/>
  <c r="AH3" i="6"/>
  <c r="F39" i="93" l="1"/>
  <c r="F39" i="89"/>
  <c r="F39" i="85"/>
  <c r="F39" i="90"/>
  <c r="F39" i="96"/>
  <c r="F39" i="92"/>
  <c r="F39" i="88"/>
  <c r="F39" i="94"/>
  <c r="F39" i="86"/>
  <c r="F39" i="95"/>
  <c r="F39" i="91"/>
  <c r="F39" i="87"/>
  <c r="F39" i="78"/>
  <c r="H39" i="78" l="1"/>
  <c r="H39" i="79" s="1"/>
  <c r="H39" i="80" s="1"/>
  <c r="H39" i="81" s="1"/>
  <c r="H39" i="82" s="1"/>
  <c r="H39" i="83" s="1"/>
  <c r="H39" i="84" s="1"/>
  <c r="H39" i="85" s="1"/>
  <c r="H39" i="86" s="1"/>
  <c r="H39" i="87" s="1"/>
  <c r="H39" i="88" s="1"/>
  <c r="H39" i="89" s="1"/>
  <c r="H39" i="90" s="1"/>
  <c r="H39" i="91" s="1"/>
  <c r="H39" i="92" s="1"/>
  <c r="G39" i="78"/>
  <c r="G39" i="79" s="1"/>
  <c r="G39" i="80" s="1"/>
  <c r="G39" i="81" s="1"/>
  <c r="G39" i="82" s="1"/>
  <c r="G39" i="83" s="1"/>
  <c r="G39" i="84" s="1"/>
  <c r="G39" i="85" s="1"/>
  <c r="G39" i="86" s="1"/>
  <c r="G39" i="87" s="1"/>
  <c r="G39" i="88" s="1"/>
  <c r="G39" i="89" s="1"/>
  <c r="G39" i="90" s="1"/>
  <c r="G39" i="91" s="1"/>
  <c r="G39" i="92" s="1"/>
  <c r="H39" i="93" l="1"/>
  <c r="H39" i="94" s="1"/>
  <c r="H39" i="95" s="1"/>
  <c r="T33" i="1"/>
  <c r="V33" i="1" s="1"/>
  <c r="G39" i="93" l="1"/>
  <c r="G39" i="94" s="1"/>
  <c r="G39" i="95" s="1"/>
  <c r="G39" i="96" s="1"/>
  <c r="G39" i="42" s="1"/>
  <c r="G39" i="67" s="1"/>
  <c r="G39" i="68" s="1"/>
  <c r="G39" i="69" s="1"/>
  <c r="H39" i="96"/>
  <c r="H39" i="42" s="1"/>
  <c r="H39" i="67" s="1"/>
  <c r="H39" i="68" s="1"/>
  <c r="H39" i="69" s="1"/>
  <c r="BH34" i="6"/>
  <c r="G3" i="64" l="1"/>
  <c r="B4" i="64" s="1"/>
  <c r="G59" i="67" l="1"/>
  <c r="G59" i="68" s="1"/>
  <c r="G4" i="64"/>
  <c r="G59" i="69" l="1"/>
  <c r="B5" i="64"/>
  <c r="G5" i="64" s="1"/>
  <c r="G6" i="64" s="1"/>
  <c r="B7" i="64" s="1"/>
  <c r="G7" i="64" s="1"/>
  <c r="B8" i="64" s="1"/>
  <c r="H59" i="67"/>
  <c r="H59" i="68" s="1"/>
  <c r="H59" i="69" s="1"/>
  <c r="G59" i="70" l="1"/>
  <c r="G59" i="71" s="1"/>
  <c r="G59" i="72" s="1"/>
  <c r="G59" i="73" s="1"/>
  <c r="G59" i="74" s="1"/>
  <c r="G59" i="75" s="1"/>
  <c r="G59" i="76" s="1"/>
  <c r="G57" i="77" s="1"/>
  <c r="H59" i="70"/>
  <c r="H59" i="71" s="1"/>
  <c r="H59" i="72" s="1"/>
  <c r="H59" i="73" s="1"/>
  <c r="H59" i="74" s="1"/>
  <c r="H59" i="75" s="1"/>
  <c r="H59" i="76" s="1"/>
  <c r="H57" i="77" s="1"/>
  <c r="G8" i="64"/>
  <c r="G9" i="64" l="1"/>
  <c r="B10" i="64" s="1"/>
  <c r="G10" i="64" l="1"/>
  <c r="B11" i="64" s="1"/>
  <c r="G11" i="64" l="1"/>
  <c r="G12" i="64" l="1"/>
  <c r="B13" i="64" s="1"/>
  <c r="G13" i="64" l="1"/>
  <c r="B14" i="64" s="1"/>
  <c r="G14" i="64" l="1"/>
  <c r="G15" i="64" l="1"/>
  <c r="B16" i="64" s="1"/>
  <c r="G16" i="64" l="1"/>
  <c r="B17" i="64" s="1"/>
  <c r="G17" i="64" l="1"/>
  <c r="G18" i="64" l="1"/>
  <c r="B19" i="64" s="1"/>
  <c r="G19" i="64" l="1"/>
  <c r="B20" i="64" s="1"/>
  <c r="G20" i="64" l="1"/>
  <c r="G21" i="64" l="1"/>
  <c r="B22" i="64" s="1"/>
  <c r="G22" i="64" l="1"/>
  <c r="B23" i="64" l="1"/>
  <c r="G23" i="64" s="1"/>
  <c r="B25" i="64"/>
  <c r="G25" i="64" l="1"/>
  <c r="B26" i="64" s="1"/>
  <c r="G26" i="64" l="1"/>
  <c r="G27" i="64" l="1"/>
  <c r="B28" i="64" s="1"/>
  <c r="G28" i="64" l="1"/>
  <c r="B29" i="64" s="1"/>
  <c r="G29" i="64" l="1"/>
  <c r="AI4" i="6"/>
  <c r="BO4" i="6" s="1"/>
  <c r="AI5" i="6"/>
  <c r="BO5" i="6" s="1"/>
  <c r="AI6" i="6"/>
  <c r="BO6" i="6" s="1"/>
  <c r="AI7" i="6"/>
  <c r="AI8" i="6"/>
  <c r="BO8" i="6" s="1"/>
  <c r="AI9" i="6"/>
  <c r="BO9" i="6" s="1"/>
  <c r="AI10" i="6"/>
  <c r="BO10" i="6" s="1"/>
  <c r="AI11" i="6"/>
  <c r="BO11" i="6" s="1"/>
  <c r="AI12" i="6"/>
  <c r="BO12" i="6" s="1"/>
  <c r="AI13" i="6"/>
  <c r="BO13" i="6" s="1"/>
  <c r="AI14" i="6"/>
  <c r="AI15" i="6"/>
  <c r="BO15" i="6" s="1"/>
  <c r="AI16" i="6"/>
  <c r="AI17" i="6"/>
  <c r="BO17" i="6" s="1"/>
  <c r="AI18" i="6"/>
  <c r="BO18" i="6" s="1"/>
  <c r="AI19" i="6"/>
  <c r="BO19" i="6" s="1"/>
  <c r="AI20" i="6"/>
  <c r="BO20" i="6" s="1"/>
  <c r="AI21" i="6"/>
  <c r="BO21" i="6" s="1"/>
  <c r="AI22" i="6"/>
  <c r="BO22" i="6" s="1"/>
  <c r="AI23" i="6"/>
  <c r="BO23" i="6" s="1"/>
  <c r="AI3" i="6"/>
  <c r="BO3" i="6" s="1"/>
  <c r="BQ3" i="6" s="1"/>
  <c r="BO16" i="6" l="1"/>
  <c r="BO14" i="6"/>
  <c r="BO7" i="6"/>
  <c r="J39" i="82"/>
  <c r="Q45" i="78"/>
  <c r="J39" i="78"/>
  <c r="P39" i="78" s="1"/>
  <c r="J39" i="89"/>
  <c r="J39" i="96"/>
  <c r="Q39" i="96" s="1"/>
  <c r="J39" i="92"/>
  <c r="Q39" i="92" s="1"/>
  <c r="J39" i="88"/>
  <c r="J39" i="80"/>
  <c r="J39" i="93"/>
  <c r="J39" i="91"/>
  <c r="J39" i="94"/>
  <c r="J39" i="95"/>
  <c r="J39" i="90"/>
  <c r="J39" i="87"/>
  <c r="J39" i="86"/>
  <c r="J39" i="85"/>
  <c r="Q39" i="85" s="1"/>
  <c r="J39" i="84"/>
  <c r="J39" i="83"/>
  <c r="Q39" i="83" s="1"/>
  <c r="J39" i="81"/>
  <c r="J39" i="79"/>
  <c r="G30" i="64"/>
  <c r="B31" i="64" s="1"/>
  <c r="Q39" i="84" l="1"/>
  <c r="Q39" i="93"/>
  <c r="Q39" i="91"/>
  <c r="L39" i="78"/>
  <c r="L39" i="79" s="1"/>
  <c r="L39" i="80" s="1"/>
  <c r="K39" i="78"/>
  <c r="K39" i="79" s="1"/>
  <c r="K39" i="80" s="1"/>
  <c r="Q39" i="78"/>
  <c r="Q39" i="88"/>
  <c r="Q39" i="82"/>
  <c r="Q39" i="80"/>
  <c r="Q39" i="89"/>
  <c r="Q39" i="94"/>
  <c r="Q39" i="95"/>
  <c r="Q39" i="90"/>
  <c r="Q39" i="87"/>
  <c r="Q39" i="86"/>
  <c r="Q39" i="81"/>
  <c r="Q39" i="79"/>
  <c r="G31" i="64"/>
  <c r="B32" i="64" s="1"/>
  <c r="L39" i="81" l="1"/>
  <c r="L39" i="82" s="1"/>
  <c r="L39" i="83" s="1"/>
  <c r="K39" i="81"/>
  <c r="K39" i="82" s="1"/>
  <c r="K39" i="83" s="1"/>
  <c r="G32" i="64"/>
  <c r="K39" i="84" l="1"/>
  <c r="K39" i="85" s="1"/>
  <c r="K39" i="86" s="1"/>
  <c r="K39" i="87" s="1"/>
  <c r="K39" i="88" s="1"/>
  <c r="K39" i="89" s="1"/>
  <c r="K39" i="90" s="1"/>
  <c r="K39" i="91" s="1"/>
  <c r="K39" i="92" s="1"/>
  <c r="L39" i="84"/>
  <c r="L39" i="85" s="1"/>
  <c r="L39" i="86" s="1"/>
  <c r="L39" i="87" s="1"/>
  <c r="L39" i="88" s="1"/>
  <c r="L39" i="89" s="1"/>
  <c r="L39" i="90" s="1"/>
  <c r="L39" i="91" s="1"/>
  <c r="L39" i="92" s="1"/>
  <c r="G33" i="64"/>
  <c r="L39" i="93" l="1"/>
  <c r="L39" i="94" s="1"/>
  <c r="L39" i="95" s="1"/>
  <c r="L39" i="96" s="1"/>
  <c r="L39" i="42" s="1"/>
  <c r="K39" i="93"/>
  <c r="K39" i="94" s="1"/>
  <c r="K39" i="95" s="1"/>
  <c r="K39" i="96" s="1"/>
  <c r="K39" i="42" s="1"/>
  <c r="AO4" i="2"/>
  <c r="AO5" i="2"/>
  <c r="AO6" i="2"/>
  <c r="AO7" i="2"/>
  <c r="AO8" i="2"/>
  <c r="AO3" i="2"/>
  <c r="T7" i="1" l="1"/>
  <c r="K17" i="67" l="1"/>
  <c r="K17" i="68" s="1"/>
  <c r="K17" i="69" s="1"/>
  <c r="K17" i="70" l="1"/>
  <c r="K17" i="71" s="1"/>
  <c r="K17" i="72" s="1"/>
  <c r="K17" i="73" s="1"/>
  <c r="K17" i="74" s="1"/>
  <c r="K17" i="75" s="1"/>
  <c r="K17" i="76" s="1"/>
  <c r="K15" i="77" s="1"/>
  <c r="J17" i="67"/>
  <c r="J17" i="68" l="1"/>
  <c r="J17" i="69" l="1"/>
  <c r="J17" i="70" s="1"/>
  <c r="J17" i="71" l="1"/>
  <c r="J17" i="72" s="1"/>
  <c r="J17" i="73" l="1"/>
  <c r="K39" i="67"/>
  <c r="J17" i="74" l="1"/>
  <c r="L39" i="67"/>
  <c r="BN4" i="6"/>
  <c r="BQ4" i="6" s="1"/>
  <c r="I39" i="79" l="1"/>
  <c r="P39" i="79" s="1"/>
  <c r="BN5" i="6"/>
  <c r="BQ5" i="6" s="1"/>
  <c r="J17" i="75"/>
  <c r="BN6" i="6" l="1"/>
  <c r="BQ6" i="6" s="1"/>
  <c r="I39" i="80"/>
  <c r="P39" i="80" s="1"/>
  <c r="J17" i="76"/>
  <c r="O39" i="73" l="1"/>
  <c r="N39" i="73"/>
  <c r="N39" i="74" s="1"/>
  <c r="N39" i="75" s="1"/>
  <c r="N39" i="76" s="1"/>
  <c r="I39" i="81"/>
  <c r="P39" i="81" s="1"/>
  <c r="BN7" i="6"/>
  <c r="BQ7" i="6" s="1"/>
  <c r="J15" i="77"/>
  <c r="AH33" i="55"/>
  <c r="O39" i="74" l="1"/>
  <c r="I39" i="82"/>
  <c r="P39" i="82" s="1"/>
  <c r="BN8" i="6"/>
  <c r="BQ8" i="6" s="1"/>
  <c r="O39" i="75" l="1"/>
  <c r="O39" i="76" s="1"/>
  <c r="O37" i="77" s="1"/>
  <c r="I39" i="83"/>
  <c r="P39" i="83" s="1"/>
  <c r="BN9" i="6"/>
  <c r="BQ9" i="6" s="1"/>
  <c r="N37" i="77" l="1"/>
  <c r="I39" i="84"/>
  <c r="P39" i="84" s="1"/>
  <c r="BN10" i="6"/>
  <c r="BQ10" i="6" s="1"/>
  <c r="I39" i="85" l="1"/>
  <c r="P39" i="85" s="1"/>
  <c r="BN11" i="6"/>
  <c r="BQ11" i="6" s="1"/>
  <c r="U33" i="3"/>
  <c r="I39" i="86" l="1"/>
  <c r="P39" i="86" s="1"/>
  <c r="BN12" i="6"/>
  <c r="BQ12" i="6" s="1"/>
  <c r="I39" i="87" l="1"/>
  <c r="P39" i="87" s="1"/>
  <c r="BN13" i="6"/>
  <c r="BQ13" i="6" s="1"/>
  <c r="I39" i="88" l="1"/>
  <c r="P39" i="88" s="1"/>
  <c r="BN14" i="6"/>
  <c r="BQ14" i="6" s="1"/>
  <c r="F39" i="70"/>
  <c r="F39" i="76"/>
  <c r="J39" i="69"/>
  <c r="Q39" i="69" s="1"/>
  <c r="J39" i="70"/>
  <c r="Q39" i="70" s="1"/>
  <c r="BO27" i="6"/>
  <c r="BO29" i="6"/>
  <c r="BO30" i="6"/>
  <c r="BO31" i="6"/>
  <c r="BO32" i="6"/>
  <c r="BO33" i="6"/>
  <c r="H39" i="70" l="1"/>
  <c r="G39" i="70"/>
  <c r="J39" i="72"/>
  <c r="BO28" i="6"/>
  <c r="F39" i="74"/>
  <c r="F39" i="75"/>
  <c r="F39" i="73"/>
  <c r="F39" i="71"/>
  <c r="F39" i="72"/>
  <c r="Q39" i="72" s="1"/>
  <c r="I39" i="89"/>
  <c r="P39" i="89" s="1"/>
  <c r="BN15" i="6"/>
  <c r="BQ15" i="6" s="1"/>
  <c r="AH35" i="6"/>
  <c r="F37" i="77"/>
  <c r="J37" i="77"/>
  <c r="J39" i="76"/>
  <c r="J39" i="75"/>
  <c r="J39" i="73"/>
  <c r="J39" i="74"/>
  <c r="J39" i="71"/>
  <c r="AJ27" i="6"/>
  <c r="AJ31" i="6"/>
  <c r="AJ30" i="6"/>
  <c r="AJ29" i="6"/>
  <c r="AJ32" i="6"/>
  <c r="AJ28" i="6"/>
  <c r="AJ33" i="6"/>
  <c r="G39" i="71" l="1"/>
  <c r="G39" i="72" s="1"/>
  <c r="G39" i="73" s="1"/>
  <c r="G39" i="74" s="1"/>
  <c r="G39" i="75" s="1"/>
  <c r="G39" i="76" s="1"/>
  <c r="G37" i="77" s="1"/>
  <c r="H39" i="71"/>
  <c r="H39" i="72" s="1"/>
  <c r="H39" i="73" s="1"/>
  <c r="H39" i="74" s="1"/>
  <c r="H39" i="75" s="1"/>
  <c r="H39" i="76" s="1"/>
  <c r="H37" i="77" s="1"/>
  <c r="Q39" i="76"/>
  <c r="Q39" i="74"/>
  <c r="Q39" i="71"/>
  <c r="Q39" i="73"/>
  <c r="Q39" i="75"/>
  <c r="Q37" i="77"/>
  <c r="I39" i="90"/>
  <c r="P39" i="90" s="1"/>
  <c r="BN16" i="6"/>
  <c r="BQ16" i="6" s="1"/>
  <c r="I39" i="91" l="1"/>
  <c r="P39" i="91" s="1"/>
  <c r="BN17" i="6"/>
  <c r="BQ17" i="6" s="1"/>
  <c r="I39" i="92" l="1"/>
  <c r="P39" i="92" s="1"/>
  <c r="BN18" i="6"/>
  <c r="BQ18" i="6" s="1"/>
  <c r="I39" i="93" l="1"/>
  <c r="P39" i="93" s="1"/>
  <c r="BN19" i="6"/>
  <c r="BQ19" i="6" s="1"/>
  <c r="BP34" i="6"/>
  <c r="I39" i="94" l="1"/>
  <c r="P39" i="94" s="1"/>
  <c r="BN20" i="6"/>
  <c r="BQ20" i="6" s="1"/>
  <c r="I39" i="95" l="1"/>
  <c r="P39" i="95" s="1"/>
  <c r="BN21" i="6"/>
  <c r="BQ21" i="6" s="1"/>
  <c r="I39" i="96" l="1"/>
  <c r="P39" i="96" s="1"/>
  <c r="BN22" i="6"/>
  <c r="BQ22" i="6" s="1"/>
  <c r="J39" i="68"/>
  <c r="AI35" i="6"/>
  <c r="AI34" i="6"/>
  <c r="AH34" i="6"/>
  <c r="BO35" i="6"/>
  <c r="L39" i="68" l="1"/>
  <c r="L39" i="69" s="1"/>
  <c r="K39" i="68"/>
  <c r="K39" i="69" s="1"/>
  <c r="K39" i="70" s="1"/>
  <c r="K39" i="71" s="1"/>
  <c r="K39" i="72" s="1"/>
  <c r="K39" i="73" s="1"/>
  <c r="AC42" i="97"/>
  <c r="Q39" i="68"/>
  <c r="I39" i="42"/>
  <c r="P39" i="42" s="1"/>
  <c r="BN23" i="6"/>
  <c r="BQ23" i="6" s="1"/>
  <c r="BO34" i="6"/>
  <c r="AJ34" i="6"/>
  <c r="L39" i="70" l="1"/>
  <c r="L39" i="71" s="1"/>
  <c r="L39" i="72" s="1"/>
  <c r="L39" i="73" s="1"/>
  <c r="I39" i="67"/>
  <c r="P39" i="67" s="1"/>
  <c r="BN24" i="6"/>
  <c r="BQ24" i="6" s="1"/>
  <c r="K39" i="74" l="1"/>
  <c r="K39" i="75" s="1"/>
  <c r="K39" i="76" s="1"/>
  <c r="K37" i="77" s="1"/>
  <c r="BN25" i="6"/>
  <c r="BQ25" i="6" s="1"/>
  <c r="I39" i="68"/>
  <c r="P39" i="68" s="1"/>
  <c r="L39" i="74" l="1"/>
  <c r="L39" i="75" s="1"/>
  <c r="L39" i="76" s="1"/>
  <c r="L37" i="77" s="1"/>
  <c r="BN26" i="6"/>
  <c r="BQ26" i="6" s="1"/>
  <c r="I39" i="69"/>
  <c r="P39" i="69" s="1"/>
  <c r="BN27" i="6" l="1"/>
  <c r="BQ27" i="6" s="1"/>
  <c r="I39" i="70"/>
  <c r="P39" i="70" s="1"/>
  <c r="BN28" i="6" l="1"/>
  <c r="BQ28" i="6" s="1"/>
  <c r="I39" i="71"/>
  <c r="P39" i="71" s="1"/>
  <c r="BN29" i="6" l="1"/>
  <c r="BQ29" i="6" s="1"/>
  <c r="I39" i="72"/>
  <c r="P39" i="72" s="1"/>
  <c r="I39" i="73" l="1"/>
  <c r="P39" i="73" s="1"/>
  <c r="BN30" i="6"/>
  <c r="BQ30" i="6" s="1"/>
  <c r="I39" i="74" l="1"/>
  <c r="P39" i="74" s="1"/>
  <c r="BN31" i="6"/>
  <c r="BQ31" i="6" s="1"/>
  <c r="I39" i="75" l="1"/>
  <c r="BN32" i="6"/>
  <c r="BQ32" i="6" s="1"/>
  <c r="P39" i="75" l="1"/>
  <c r="I39" i="76"/>
  <c r="P39" i="76" s="1"/>
  <c r="BN33" i="6"/>
  <c r="BQ33" i="6" s="1"/>
  <c r="I37" i="77" l="1"/>
  <c r="P37" i="77" s="1"/>
  <c r="AT25" i="12" l="1"/>
  <c r="AV4" i="2"/>
  <c r="AV5" i="2"/>
  <c r="AV6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3" i="2"/>
  <c r="AU8" i="12" l="1"/>
  <c r="AG8" i="12" l="1"/>
  <c r="AM8" i="12" s="1"/>
  <c r="AT8" i="12"/>
  <c r="EL7" i="1" l="1"/>
  <c r="EU7" i="1" s="1"/>
  <c r="AL8" i="12"/>
  <c r="I20" i="82" l="1"/>
  <c r="EV7" i="1"/>
  <c r="M36" i="82"/>
  <c r="R32" i="3" l="1"/>
  <c r="S32" i="3" s="1"/>
  <c r="AH40" i="12"/>
  <c r="AG42" i="97" s="1"/>
  <c r="G34" i="6"/>
  <c r="N34" i="6"/>
  <c r="S34" i="6"/>
  <c r="U38" i="6" s="1"/>
  <c r="S34" i="3" l="1"/>
  <c r="S35" i="3" s="1"/>
  <c r="AJ32" i="3"/>
  <c r="P34" i="55"/>
  <c r="W34" i="3"/>
  <c r="X33" i="3"/>
  <c r="U34" i="3" s="1"/>
  <c r="AB33" i="3"/>
  <c r="Y34" i="3" s="1"/>
  <c r="AA34" i="3"/>
  <c r="AJ33" i="3"/>
  <c r="O34" i="6"/>
  <c r="I23" i="76" l="1"/>
  <c r="M32" i="76" s="1"/>
  <c r="AB34" i="3"/>
  <c r="X34" i="3"/>
  <c r="Z33" i="6" l="1"/>
  <c r="W33" i="55" s="1"/>
  <c r="CN33" i="6" l="1"/>
  <c r="BG33" i="6"/>
  <c r="J35" i="77"/>
  <c r="BK33" i="6"/>
  <c r="J36" i="77"/>
  <c r="F35" i="77"/>
  <c r="F36" i="77"/>
  <c r="K33" i="6"/>
  <c r="M31" i="77" s="1"/>
  <c r="N33" i="1"/>
  <c r="F40" i="77" l="1"/>
  <c r="J40" i="77"/>
  <c r="Q35" i="77"/>
  <c r="Q36" i="77"/>
  <c r="J33" i="1"/>
  <c r="I52" i="77" l="1"/>
  <c r="Q40" i="77"/>
  <c r="J52" i="77"/>
  <c r="L52" i="77"/>
  <c r="L34" i="6" l="1"/>
  <c r="K33" i="55" l="1"/>
  <c r="C34" i="55"/>
  <c r="C36" i="55" s="1"/>
  <c r="F34" i="55"/>
  <c r="F36" i="55" s="1"/>
  <c r="H34" i="55"/>
  <c r="I34" i="55"/>
  <c r="J34" i="55"/>
  <c r="F33" i="6"/>
  <c r="O33" i="6"/>
  <c r="X33" i="6"/>
  <c r="AA33" i="6"/>
  <c r="AD33" i="6"/>
  <c r="AG33" i="6"/>
  <c r="BZ34" i="6"/>
  <c r="BL34" i="6"/>
  <c r="CA34" i="6"/>
  <c r="M53" i="77" l="1"/>
  <c r="K52" i="77"/>
  <c r="V3" i="55"/>
  <c r="P33" i="1"/>
  <c r="D34" i="1"/>
  <c r="S34" i="2"/>
  <c r="R34" i="2"/>
  <c r="N34" i="2"/>
  <c r="M34" i="2"/>
  <c r="J34" i="2"/>
  <c r="J35" i="2" s="1"/>
  <c r="I34" i="2"/>
  <c r="I35" i="2" s="1"/>
  <c r="E34" i="2"/>
  <c r="D34" i="2"/>
  <c r="H9" i="80" l="1"/>
  <c r="H9" i="81" s="1"/>
  <c r="H9" i="82" s="1"/>
  <c r="H9" i="83" s="1"/>
  <c r="H9" i="84" s="1"/>
  <c r="H9" i="85" s="1"/>
  <c r="H9" i="86" s="1"/>
  <c r="H9" i="87" s="1"/>
  <c r="H9" i="88" s="1"/>
  <c r="H9" i="89" s="1"/>
  <c r="H9" i="90" s="1"/>
  <c r="H9" i="91" s="1"/>
  <c r="H9" i="92" s="1"/>
  <c r="H9" i="93" s="1"/>
  <c r="H9" i="94" s="1"/>
  <c r="H9" i="95" s="1"/>
  <c r="H9" i="96" s="1"/>
  <c r="H9" i="42" s="1"/>
  <c r="E35" i="2"/>
  <c r="K9" i="79"/>
  <c r="K9" i="80" s="1"/>
  <c r="K9" i="81" s="1"/>
  <c r="K9" i="82" s="1"/>
  <c r="K9" i="83" s="1"/>
  <c r="K9" i="84" s="1"/>
  <c r="K9" i="85" s="1"/>
  <c r="K9" i="86" s="1"/>
  <c r="K9" i="87" s="1"/>
  <c r="K9" i="88" s="1"/>
  <c r="K9" i="89" s="1"/>
  <c r="K9" i="90" s="1"/>
  <c r="K9" i="91" s="1"/>
  <c r="K9" i="92" s="1"/>
  <c r="K9" i="93" s="1"/>
  <c r="K9" i="94" s="1"/>
  <c r="K9" i="95" s="1"/>
  <c r="K9" i="96" s="1"/>
  <c r="K9" i="42" s="1"/>
  <c r="M35" i="2"/>
  <c r="H10" i="78"/>
  <c r="H10" i="79" s="1"/>
  <c r="H10" i="80" s="1"/>
  <c r="H10" i="81" s="1"/>
  <c r="H10" i="82" s="1"/>
  <c r="H10" i="83" s="1"/>
  <c r="H10" i="84" s="1"/>
  <c r="H10" i="85" s="1"/>
  <c r="H10" i="86" s="1"/>
  <c r="H10" i="87" s="1"/>
  <c r="H10" i="88" s="1"/>
  <c r="H10" i="89" s="1"/>
  <c r="H10" i="90" s="1"/>
  <c r="H10" i="91" s="1"/>
  <c r="H10" i="92" s="1"/>
  <c r="H10" i="93" s="1"/>
  <c r="H10" i="94" s="1"/>
  <c r="H10" i="95" s="1"/>
  <c r="H10" i="96" s="1"/>
  <c r="H10" i="42" s="1"/>
  <c r="H10" i="67" s="1"/>
  <c r="H10" i="68" s="1"/>
  <c r="N35" i="2"/>
  <c r="K10" i="78"/>
  <c r="K10" i="79" s="1"/>
  <c r="K10" i="80" s="1"/>
  <c r="K10" i="81" s="1"/>
  <c r="K10" i="82" s="1"/>
  <c r="K10" i="83" s="1"/>
  <c r="K10" i="84" s="1"/>
  <c r="K10" i="85" s="1"/>
  <c r="K10" i="86" s="1"/>
  <c r="K10" i="87" s="1"/>
  <c r="K10" i="88" s="1"/>
  <c r="K10" i="89" s="1"/>
  <c r="K10" i="90" s="1"/>
  <c r="K10" i="91" s="1"/>
  <c r="K10" i="92" s="1"/>
  <c r="K10" i="93" s="1"/>
  <c r="K10" i="94" s="1"/>
  <c r="K10" i="95" s="1"/>
  <c r="K10" i="96" s="1"/>
  <c r="K10" i="42" s="1"/>
  <c r="K10" i="67" s="1"/>
  <c r="K10" i="68" s="1"/>
  <c r="S35" i="2"/>
  <c r="K12" i="78"/>
  <c r="K12" i="79" s="1"/>
  <c r="K12" i="80" s="1"/>
  <c r="K12" i="81" s="1"/>
  <c r="K12" i="82" s="1"/>
  <c r="K12" i="83" s="1"/>
  <c r="K12" i="84" s="1"/>
  <c r="K12" i="85" s="1"/>
  <c r="K12" i="86" s="1"/>
  <c r="K12" i="87" s="1"/>
  <c r="K12" i="88" s="1"/>
  <c r="K12" i="89" s="1"/>
  <c r="K12" i="90" s="1"/>
  <c r="K12" i="91" s="1"/>
  <c r="K12" i="92" s="1"/>
  <c r="K12" i="93" s="1"/>
  <c r="K12" i="94" s="1"/>
  <c r="K12" i="95" s="1"/>
  <c r="K12" i="96" s="1"/>
  <c r="K12" i="42" s="1"/>
  <c r="K12" i="67" s="1"/>
  <c r="K12" i="68" s="1"/>
  <c r="K12" i="69" s="1"/>
  <c r="K12" i="70" s="1"/>
  <c r="K12" i="71" s="1"/>
  <c r="K12" i="72" s="1"/>
  <c r="K12" i="73" s="1"/>
  <c r="K12" i="74" s="1"/>
  <c r="K12" i="75" s="1"/>
  <c r="K12" i="76" s="1"/>
  <c r="R35" i="2"/>
  <c r="H12" i="78"/>
  <c r="H12" i="79" s="1"/>
  <c r="H12" i="80" s="1"/>
  <c r="H12" i="81" s="1"/>
  <c r="H12" i="82" s="1"/>
  <c r="H12" i="83" s="1"/>
  <c r="H12" i="84" s="1"/>
  <c r="H12" i="85" s="1"/>
  <c r="H12" i="86" s="1"/>
  <c r="H12" i="87" s="1"/>
  <c r="H12" i="88" s="1"/>
  <c r="H12" i="89" s="1"/>
  <c r="H12" i="90" s="1"/>
  <c r="H12" i="91" s="1"/>
  <c r="H12" i="92" s="1"/>
  <c r="H12" i="93" s="1"/>
  <c r="H12" i="94" s="1"/>
  <c r="H12" i="95" s="1"/>
  <c r="H12" i="96" s="1"/>
  <c r="H12" i="42" s="1"/>
  <c r="H12" i="67" s="1"/>
  <c r="H12" i="68" s="1"/>
  <c r="H12" i="69" s="1"/>
  <c r="H12" i="70" s="1"/>
  <c r="H12" i="71" s="1"/>
  <c r="H12" i="72" s="1"/>
  <c r="H12" i="73" s="1"/>
  <c r="H12" i="74" s="1"/>
  <c r="H12" i="75" s="1"/>
  <c r="H12" i="76" s="1"/>
  <c r="AH32" i="55"/>
  <c r="AH31" i="55"/>
  <c r="AH30" i="55"/>
  <c r="AH29" i="55"/>
  <c r="AH28" i="55"/>
  <c r="AH27" i="55"/>
  <c r="AH26" i="55"/>
  <c r="AH25" i="55"/>
  <c r="AH24" i="55"/>
  <c r="AH23" i="55"/>
  <c r="AU25" i="12" l="1"/>
  <c r="AG25" i="12"/>
  <c r="AM25" i="12" s="1"/>
  <c r="EL24" i="1" l="1"/>
  <c r="I20" i="68" s="1"/>
  <c r="I27" i="68" s="1"/>
  <c r="AL25" i="12"/>
  <c r="AO40" i="12"/>
  <c r="AN42" i="97" s="1"/>
  <c r="EU24" i="1" l="1"/>
  <c r="EW24" i="1" s="1"/>
  <c r="M36" i="68"/>
  <c r="AO9" i="2"/>
  <c r="AO10" i="2"/>
  <c r="AO11" i="2"/>
  <c r="AO12" i="2"/>
  <c r="AO13" i="2"/>
  <c r="AO14" i="2"/>
  <c r="AO15" i="2"/>
  <c r="K12" i="55" l="1"/>
  <c r="K13" i="55"/>
  <c r="K14" i="55"/>
  <c r="K15" i="55"/>
  <c r="K16" i="55"/>
  <c r="K17" i="55"/>
  <c r="K18" i="55"/>
  <c r="K19" i="55"/>
  <c r="K21" i="55"/>
  <c r="K22" i="55"/>
  <c r="K23" i="55"/>
  <c r="K31" i="55"/>
  <c r="K32" i="55"/>
  <c r="K34" i="55" l="1"/>
  <c r="AN41" i="12" l="1"/>
  <c r="K22" i="6" l="1"/>
  <c r="M33" i="42" l="1"/>
  <c r="J22" i="1"/>
  <c r="J19" i="1" l="1"/>
  <c r="K21" i="6"/>
  <c r="K23" i="6"/>
  <c r="M33" i="68"/>
  <c r="M33" i="69"/>
  <c r="M33" i="70"/>
  <c r="K27" i="6"/>
  <c r="M33" i="71" s="1"/>
  <c r="K28" i="6"/>
  <c r="M33" i="72" s="1"/>
  <c r="K29" i="6"/>
  <c r="M33" i="73" s="1"/>
  <c r="K30" i="6"/>
  <c r="M33" i="74" s="1"/>
  <c r="K31" i="6"/>
  <c r="M33" i="75" s="1"/>
  <c r="K32" i="6"/>
  <c r="M33" i="76" s="1"/>
  <c r="M33" i="96" l="1"/>
  <c r="J21" i="1"/>
  <c r="M33" i="67"/>
  <c r="J23" i="1"/>
  <c r="K20" i="6"/>
  <c r="K18" i="6"/>
  <c r="M33" i="93" s="1"/>
  <c r="M33" i="95" l="1"/>
  <c r="J20" i="1"/>
  <c r="AO18" i="2"/>
  <c r="AO19" i="2"/>
  <c r="AO20" i="2"/>
  <c r="AO21" i="2"/>
  <c r="AO22" i="2"/>
  <c r="AO23" i="2"/>
  <c r="AR23" i="2" s="1"/>
  <c r="AO24" i="2"/>
  <c r="AO25" i="2"/>
  <c r="AO26" i="2"/>
  <c r="AO27" i="2"/>
  <c r="AO28" i="2"/>
  <c r="AO29" i="2"/>
  <c r="AO30" i="2"/>
  <c r="AO31" i="2"/>
  <c r="AO32" i="2"/>
  <c r="AO17" i="2"/>
  <c r="AT32" i="2" l="1"/>
  <c r="AU32" i="2"/>
  <c r="AR32" i="2"/>
  <c r="AS32" i="2"/>
  <c r="AT31" i="2"/>
  <c r="AU31" i="2"/>
  <c r="AR31" i="2"/>
  <c r="AS31" i="2"/>
  <c r="AS30" i="2"/>
  <c r="AT30" i="2"/>
  <c r="AU30" i="2"/>
  <c r="AR30" i="2"/>
  <c r="AU29" i="2"/>
  <c r="AR29" i="2"/>
  <c r="AS29" i="2"/>
  <c r="AT29" i="2"/>
  <c r="AT28" i="2"/>
  <c r="AS28" i="2"/>
  <c r="AU28" i="2"/>
  <c r="AR28" i="2"/>
  <c r="AT27" i="2"/>
  <c r="AU27" i="2"/>
  <c r="AS27" i="2"/>
  <c r="AR27" i="2"/>
  <c r="AT26" i="2"/>
  <c r="AU26" i="2"/>
  <c r="AS26" i="2"/>
  <c r="AR26" i="2"/>
  <c r="AT25" i="2"/>
  <c r="AU25" i="2"/>
  <c r="AS25" i="2"/>
  <c r="AR25" i="2"/>
  <c r="AR24" i="2"/>
  <c r="AS24" i="2"/>
  <c r="AT24" i="2"/>
  <c r="AU24" i="2"/>
  <c r="AU23" i="2"/>
  <c r="AS23" i="2"/>
  <c r="AT23" i="2"/>
  <c r="AR22" i="2"/>
  <c r="AS22" i="2"/>
  <c r="AU22" i="2"/>
  <c r="AT22" i="2"/>
  <c r="AR21" i="2"/>
  <c r="AS21" i="2"/>
  <c r="AT21" i="2"/>
  <c r="AU21" i="2"/>
  <c r="AR20" i="2"/>
  <c r="AS20" i="2"/>
  <c r="AT20" i="2"/>
  <c r="AU20" i="2"/>
  <c r="AU19" i="2"/>
  <c r="AR19" i="2"/>
  <c r="AS19" i="2"/>
  <c r="AT19" i="2"/>
  <c r="AR18" i="2"/>
  <c r="AS18" i="2"/>
  <c r="AT18" i="2"/>
  <c r="AU18" i="2"/>
  <c r="AU17" i="2"/>
  <c r="AT17" i="2"/>
  <c r="AS17" i="2"/>
  <c r="AR17" i="2"/>
  <c r="AO16" i="2" l="1"/>
  <c r="Z4" i="6" l="1"/>
  <c r="Z5" i="6"/>
  <c r="Z6" i="6"/>
  <c r="W6" i="55" s="1"/>
  <c r="Z7" i="6"/>
  <c r="Z8" i="6"/>
  <c r="Z9" i="6"/>
  <c r="Z10" i="6"/>
  <c r="Z11" i="6"/>
  <c r="Z13" i="6"/>
  <c r="Z14" i="6"/>
  <c r="Z15" i="6"/>
  <c r="Z16" i="6"/>
  <c r="Z17" i="6"/>
  <c r="Z18" i="6"/>
  <c r="Z19" i="6"/>
  <c r="Z20" i="6"/>
  <c r="Z21" i="6"/>
  <c r="Z22" i="6"/>
  <c r="W22" i="55" s="1"/>
  <c r="Z23" i="6"/>
  <c r="W23" i="55" s="1"/>
  <c r="Z27" i="6"/>
  <c r="W27" i="55" s="1"/>
  <c r="Z28" i="6"/>
  <c r="W28" i="55" s="1"/>
  <c r="Z29" i="6"/>
  <c r="W29" i="55" s="1"/>
  <c r="Z30" i="6"/>
  <c r="W30" i="55" s="1"/>
  <c r="Z31" i="6"/>
  <c r="W31" i="55" s="1"/>
  <c r="Z32" i="6"/>
  <c r="W32" i="55" s="1"/>
  <c r="Z3" i="6"/>
  <c r="AP26" i="2"/>
  <c r="AP27" i="2"/>
  <c r="K4" i="6"/>
  <c r="K5" i="6"/>
  <c r="M33" i="81"/>
  <c r="K7" i="6"/>
  <c r="M33" i="82" s="1"/>
  <c r="K8" i="6"/>
  <c r="M33" i="83" s="1"/>
  <c r="K9" i="6"/>
  <c r="M33" i="84" s="1"/>
  <c r="K10" i="6"/>
  <c r="M33" i="85" s="1"/>
  <c r="K11" i="6"/>
  <c r="M33" i="86" s="1"/>
  <c r="K12" i="6"/>
  <c r="M33" i="87" s="1"/>
  <c r="K13" i="6"/>
  <c r="M33" i="88" s="1"/>
  <c r="K14" i="6"/>
  <c r="M33" i="89" s="1"/>
  <c r="M33" i="90"/>
  <c r="K16" i="6"/>
  <c r="M33" i="91" s="1"/>
  <c r="M33" i="92"/>
  <c r="AH21" i="55" l="1"/>
  <c r="W21" i="55"/>
  <c r="AH15" i="55"/>
  <c r="W15" i="55"/>
  <c r="AH9" i="55"/>
  <c r="W9" i="55"/>
  <c r="AH20" i="55"/>
  <c r="W20" i="55"/>
  <c r="AH14" i="55"/>
  <c r="W14" i="55"/>
  <c r="AH8" i="55"/>
  <c r="W8" i="55"/>
  <c r="AH19" i="55"/>
  <c r="W19" i="55"/>
  <c r="AH13" i="55"/>
  <c r="W13" i="55"/>
  <c r="AH3" i="55"/>
  <c r="W3" i="55"/>
  <c r="AH18" i="55"/>
  <c r="W18" i="55"/>
  <c r="AH12" i="55"/>
  <c r="W12" i="55"/>
  <c r="AH17" i="55"/>
  <c r="W17" i="55"/>
  <c r="AH11" i="55"/>
  <c r="W11" i="55"/>
  <c r="AH16" i="55"/>
  <c r="W16" i="55"/>
  <c r="AH10" i="55"/>
  <c r="W10" i="55"/>
  <c r="AH4" i="55"/>
  <c r="W4" i="55"/>
  <c r="AH7" i="55"/>
  <c r="W7" i="55"/>
  <c r="AH6" i="55"/>
  <c r="AH5" i="55"/>
  <c r="W5" i="55"/>
  <c r="Z35" i="6"/>
  <c r="M33" i="79"/>
  <c r="AM35" i="1"/>
  <c r="M33" i="80"/>
  <c r="AN34" i="2"/>
  <c r="AP17" i="2"/>
  <c r="AP12" i="2"/>
  <c r="AP8" i="2"/>
  <c r="AP32" i="2"/>
  <c r="AP24" i="2"/>
  <c r="AP20" i="2"/>
  <c r="AP15" i="2"/>
  <c r="AP11" i="2"/>
  <c r="AP7" i="2"/>
  <c r="AP31" i="2"/>
  <c r="AP23" i="2"/>
  <c r="AP6" i="2"/>
  <c r="AP19" i="2"/>
  <c r="AP14" i="2"/>
  <c r="AP10" i="2"/>
  <c r="AP30" i="2"/>
  <c r="AP22" i="2"/>
  <c r="AP18" i="2"/>
  <c r="AP13" i="2"/>
  <c r="AP9" i="2"/>
  <c r="AP5" i="2"/>
  <c r="AP16" i="2"/>
  <c r="AP21" i="2"/>
  <c r="AP4" i="2"/>
  <c r="AP29" i="2"/>
  <c r="AP28" i="2"/>
  <c r="AP25" i="2"/>
  <c r="Z34" i="6"/>
  <c r="K3" i="6"/>
  <c r="I34" i="1"/>
  <c r="I35" i="1" s="1"/>
  <c r="D34" i="6"/>
  <c r="B36" i="55" s="1"/>
  <c r="I3" i="6" l="1"/>
  <c r="H4" i="6" s="1"/>
  <c r="I4" i="6" s="1"/>
  <c r="E36" i="55"/>
  <c r="Z39" i="6"/>
  <c r="K35" i="6"/>
  <c r="AH34" i="55"/>
  <c r="C37" i="55"/>
  <c r="F34" i="6"/>
  <c r="F16" i="80"/>
  <c r="K34" i="6"/>
  <c r="M33" i="78"/>
  <c r="P33" i="78" s="1"/>
  <c r="AA34" i="6"/>
  <c r="X34" i="6"/>
  <c r="V34" i="6"/>
  <c r="J3" i="1"/>
  <c r="K3" i="1" s="1"/>
  <c r="H4" i="1" s="1"/>
  <c r="AE34" i="55" l="1"/>
  <c r="F37" i="55"/>
  <c r="E37" i="55"/>
  <c r="F18" i="80"/>
  <c r="H16" i="80"/>
  <c r="G16" i="80"/>
  <c r="O33" i="78"/>
  <c r="O33" i="79" s="1"/>
  <c r="N33" i="78"/>
  <c r="N33" i="79" s="1"/>
  <c r="H16" i="81" l="1"/>
  <c r="H18" i="80"/>
  <c r="G16" i="81"/>
  <c r="G18" i="80"/>
  <c r="N33" i="80"/>
  <c r="N33" i="81" s="1"/>
  <c r="N33" i="82" s="1"/>
  <c r="N33" i="83" s="1"/>
  <c r="N33" i="84" s="1"/>
  <c r="N33" i="85" s="1"/>
  <c r="N33" i="86" s="1"/>
  <c r="N33" i="87" s="1"/>
  <c r="N33" i="88" s="1"/>
  <c r="N33" i="89" s="1"/>
  <c r="N33" i="90" s="1"/>
  <c r="N33" i="91" s="1"/>
  <c r="N33" i="92" s="1"/>
  <c r="N33" i="93" s="1"/>
  <c r="N33" i="94" s="1"/>
  <c r="N33" i="95" s="1"/>
  <c r="N33" i="96" s="1"/>
  <c r="N33" i="42" s="1"/>
  <c r="O33" i="80"/>
  <c r="O33" i="81" s="1"/>
  <c r="O33" i="82" s="1"/>
  <c r="O33" i="83" s="1"/>
  <c r="O33" i="84" s="1"/>
  <c r="O33" i="85" s="1"/>
  <c r="O33" i="86" s="1"/>
  <c r="O33" i="87" s="1"/>
  <c r="O33" i="88" s="1"/>
  <c r="O33" i="89" s="1"/>
  <c r="O33" i="90" s="1"/>
  <c r="O33" i="91" s="1"/>
  <c r="O33" i="92" s="1"/>
  <c r="O33" i="93" s="1"/>
  <c r="O33" i="94" s="1"/>
  <c r="O33" i="95" s="1"/>
  <c r="O33" i="96" s="1"/>
  <c r="O33" i="42" s="1"/>
  <c r="G16" i="82" l="1"/>
  <c r="G18" i="81"/>
  <c r="H16" i="82"/>
  <c r="H18" i="81"/>
  <c r="H16" i="83" l="1"/>
  <c r="H18" i="82"/>
  <c r="G16" i="83"/>
  <c r="G18" i="82"/>
  <c r="T35" i="12"/>
  <c r="T36" i="12"/>
  <c r="T37" i="12"/>
  <c r="T38" i="12"/>
  <c r="T39" i="12"/>
  <c r="G16" i="84" l="1"/>
  <c r="G18" i="83"/>
  <c r="H16" i="84"/>
  <c r="H18" i="83"/>
  <c r="H16" i="85" l="1"/>
  <c r="H18" i="84"/>
  <c r="G16" i="85"/>
  <c r="G18" i="84"/>
  <c r="G16" i="86" l="1"/>
  <c r="G18" i="85"/>
  <c r="H16" i="86"/>
  <c r="H16" i="87" s="1"/>
  <c r="H16" i="88" s="1"/>
  <c r="H18" i="88" s="1"/>
  <c r="H18" i="85"/>
  <c r="H18" i="86" l="1"/>
  <c r="G16" i="87"/>
  <c r="G18" i="86"/>
  <c r="T4" i="1"/>
  <c r="T5" i="1"/>
  <c r="T6" i="1"/>
  <c r="V6" i="1" s="1"/>
  <c r="T8" i="1"/>
  <c r="V8" i="1" s="1"/>
  <c r="T9" i="1"/>
  <c r="V9" i="1" s="1"/>
  <c r="T10" i="1"/>
  <c r="T11" i="1"/>
  <c r="T12" i="1"/>
  <c r="T13" i="1"/>
  <c r="T14" i="1"/>
  <c r="T15" i="1"/>
  <c r="T16" i="1"/>
  <c r="T17" i="1"/>
  <c r="T18" i="1"/>
  <c r="T24" i="1"/>
  <c r="T25" i="1"/>
  <c r="T26" i="1"/>
  <c r="T27" i="1"/>
  <c r="T28" i="1"/>
  <c r="T29" i="1"/>
  <c r="T30" i="1"/>
  <c r="T31" i="1"/>
  <c r="T32" i="1"/>
  <c r="T3" i="1"/>
  <c r="V7" i="1"/>
  <c r="V5" i="1" l="1"/>
  <c r="T34" i="1"/>
  <c r="T35" i="1" s="1"/>
  <c r="L18" i="78"/>
  <c r="G16" i="88"/>
  <c r="G18" i="87"/>
  <c r="H18" i="87"/>
  <c r="V3" i="1"/>
  <c r="V4" i="1"/>
  <c r="V28" i="1"/>
  <c r="V11" i="1"/>
  <c r="V32" i="1"/>
  <c r="V31" i="1"/>
  <c r="V29" i="1"/>
  <c r="V24" i="1"/>
  <c r="V25" i="1"/>
  <c r="V27" i="1"/>
  <c r="V17" i="1"/>
  <c r="V10" i="1"/>
  <c r="V30" i="1"/>
  <c r="V26" i="1"/>
  <c r="V18" i="1"/>
  <c r="V15" i="1"/>
  <c r="V14" i="1"/>
  <c r="V16" i="1"/>
  <c r="V13" i="1"/>
  <c r="V12" i="1"/>
  <c r="W3" i="1" l="1"/>
  <c r="V34" i="1"/>
  <c r="V35" i="1" s="1"/>
  <c r="H16" i="89"/>
  <c r="H18" i="89" s="1"/>
  <c r="G16" i="89"/>
  <c r="G18" i="89" s="1"/>
  <c r="G18" i="88"/>
  <c r="M10" i="12"/>
  <c r="N10" i="12"/>
  <c r="M11" i="12"/>
  <c r="N11" i="12"/>
  <c r="N12" i="12"/>
  <c r="M13" i="12"/>
  <c r="N13" i="12"/>
  <c r="M15" i="12"/>
  <c r="N15" i="12"/>
  <c r="M16" i="12"/>
  <c r="N16" i="12"/>
  <c r="M17" i="12"/>
  <c r="N17" i="12"/>
  <c r="M18" i="12"/>
  <c r="N18" i="12"/>
  <c r="N20" i="12"/>
  <c r="N22" i="12"/>
  <c r="N23" i="12"/>
  <c r="M24" i="12"/>
  <c r="N24" i="12"/>
  <c r="M25" i="12"/>
  <c r="N25" i="12"/>
  <c r="M27" i="12"/>
  <c r="N27" i="12"/>
  <c r="M30" i="12"/>
  <c r="N30" i="12"/>
  <c r="M31" i="12"/>
  <c r="N31" i="12"/>
  <c r="M32" i="12"/>
  <c r="N32" i="12"/>
  <c r="M33" i="12"/>
  <c r="N33" i="12"/>
  <c r="M40" i="12" l="1"/>
  <c r="M42" i="97" s="1"/>
  <c r="G16" i="90"/>
  <c r="H16" i="90"/>
  <c r="H16" i="91" l="1"/>
  <c r="H18" i="90"/>
  <c r="G16" i="91"/>
  <c r="G18" i="90"/>
  <c r="G16" i="92" l="1"/>
  <c r="G18" i="91"/>
  <c r="H16" i="92"/>
  <c r="H18" i="91"/>
  <c r="H16" i="93" l="1"/>
  <c r="H18" i="92"/>
  <c r="G16" i="93"/>
  <c r="G18" i="92"/>
  <c r="G16" i="94" l="1"/>
  <c r="G18" i="93"/>
  <c r="H16" i="94"/>
  <c r="H18" i="93"/>
  <c r="H16" i="95" l="1"/>
  <c r="H18" i="94"/>
  <c r="G16" i="95"/>
  <c r="G18" i="94"/>
  <c r="G16" i="96" l="1"/>
  <c r="G16" i="42" s="1"/>
  <c r="G18" i="42" s="1"/>
  <c r="G18" i="95"/>
  <c r="H16" i="96"/>
  <c r="H16" i="42" s="1"/>
  <c r="H18" i="42" s="1"/>
  <c r="H18" i="95"/>
  <c r="H18" i="96" l="1"/>
  <c r="G18" i="96"/>
  <c r="F3" i="6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P16" i="1" s="1"/>
  <c r="N17" i="1"/>
  <c r="P17" i="1" s="1"/>
  <c r="N18" i="1"/>
  <c r="P18" i="1" s="1"/>
  <c r="N24" i="1"/>
  <c r="N25" i="1"/>
  <c r="N26" i="1"/>
  <c r="N27" i="1"/>
  <c r="N28" i="1"/>
  <c r="N29" i="1"/>
  <c r="N30" i="1"/>
  <c r="N31" i="1"/>
  <c r="N32" i="1"/>
  <c r="AE4" i="6"/>
  <c r="F37" i="79" s="1"/>
  <c r="AF4" i="6"/>
  <c r="AE5" i="6"/>
  <c r="F37" i="80" s="1"/>
  <c r="AF5" i="6"/>
  <c r="AE6" i="6"/>
  <c r="F37" i="81" s="1"/>
  <c r="AF6" i="6"/>
  <c r="AE7" i="6"/>
  <c r="F37" i="82" s="1"/>
  <c r="AF7" i="6"/>
  <c r="BK7" i="6" s="1"/>
  <c r="AE8" i="6"/>
  <c r="F37" i="83" s="1"/>
  <c r="AF8" i="6"/>
  <c r="BK8" i="6" s="1"/>
  <c r="AE9" i="6"/>
  <c r="F37" i="84" s="1"/>
  <c r="AF9" i="6"/>
  <c r="BK9" i="6" s="1"/>
  <c r="AE10" i="6"/>
  <c r="AF10" i="6"/>
  <c r="BK10" i="6" s="1"/>
  <c r="AE11" i="6"/>
  <c r="AF11" i="6"/>
  <c r="BK11" i="6" s="1"/>
  <c r="AE12" i="6"/>
  <c r="AF12" i="6"/>
  <c r="BK12" i="6" s="1"/>
  <c r="AE13" i="6"/>
  <c r="AF13" i="6"/>
  <c r="BK13" i="6" s="1"/>
  <c r="AE14" i="6"/>
  <c r="AF14" i="6"/>
  <c r="BK14" i="6" s="1"/>
  <c r="AE15" i="6"/>
  <c r="AF15" i="6"/>
  <c r="BK15" i="6" s="1"/>
  <c r="AE16" i="6"/>
  <c r="AF16" i="6"/>
  <c r="BK16" i="6" s="1"/>
  <c r="AE17" i="6"/>
  <c r="AF17" i="6"/>
  <c r="BK17" i="6" s="1"/>
  <c r="AE18" i="6"/>
  <c r="AF18" i="6"/>
  <c r="BK18" i="6" s="1"/>
  <c r="AE19" i="6"/>
  <c r="AF19" i="6"/>
  <c r="BK19" i="6" s="1"/>
  <c r="AE20" i="6"/>
  <c r="AF20" i="6"/>
  <c r="BK20" i="6" s="1"/>
  <c r="AE21" i="6"/>
  <c r="AF21" i="6"/>
  <c r="AE22" i="6"/>
  <c r="AF22" i="6"/>
  <c r="BK22" i="6" s="1"/>
  <c r="AE23" i="6"/>
  <c r="AF23" i="6"/>
  <c r="BK23" i="6" s="1"/>
  <c r="F37" i="68"/>
  <c r="F42" i="68" s="1"/>
  <c r="F37" i="69"/>
  <c r="F37" i="70"/>
  <c r="F42" i="70" s="1"/>
  <c r="J37" i="70"/>
  <c r="AE27" i="6"/>
  <c r="BK27" i="6"/>
  <c r="BK28" i="6"/>
  <c r="BK29" i="6"/>
  <c r="BK30" i="6"/>
  <c r="BK31" i="6"/>
  <c r="AF3" i="6"/>
  <c r="AE3" i="6"/>
  <c r="AC4" i="6"/>
  <c r="CG4" i="6" s="1"/>
  <c r="AC5" i="6"/>
  <c r="AC6" i="6"/>
  <c r="AC7" i="6"/>
  <c r="CG7" i="6" s="1"/>
  <c r="EW7" i="1" s="1"/>
  <c r="AC8" i="6"/>
  <c r="AC9" i="6"/>
  <c r="CG9" i="6" s="1"/>
  <c r="EW9" i="1" s="1"/>
  <c r="AC10" i="6"/>
  <c r="CG10" i="6" s="1"/>
  <c r="AC11" i="6"/>
  <c r="AC12" i="6"/>
  <c r="CG12" i="6" s="1"/>
  <c r="AC13" i="6"/>
  <c r="CG13" i="6" s="1"/>
  <c r="EW13" i="1" s="1"/>
  <c r="AC14" i="6"/>
  <c r="AC15" i="6"/>
  <c r="CG15" i="6" s="1"/>
  <c r="AC16" i="6"/>
  <c r="CG16" i="6" s="1"/>
  <c r="AC17" i="6"/>
  <c r="AC18" i="6"/>
  <c r="CG18" i="6" s="1"/>
  <c r="EW18" i="1" s="1"/>
  <c r="AC19" i="6"/>
  <c r="CG19" i="6" s="1"/>
  <c r="AC20" i="6"/>
  <c r="AC21" i="6"/>
  <c r="CG21" i="6" s="1"/>
  <c r="AC22" i="6"/>
  <c r="CG22" i="6" s="1"/>
  <c r="AC23" i="6"/>
  <c r="J38" i="68"/>
  <c r="J38" i="69"/>
  <c r="J38" i="70"/>
  <c r="AC27" i="6"/>
  <c r="CG27" i="6" s="1"/>
  <c r="EW27" i="1" s="1"/>
  <c r="AC3" i="6"/>
  <c r="AB4" i="6"/>
  <c r="AB5" i="6"/>
  <c r="AB6" i="6"/>
  <c r="AB7" i="6"/>
  <c r="AB8" i="6"/>
  <c r="AB9" i="6"/>
  <c r="F38" i="88"/>
  <c r="F38" i="90"/>
  <c r="F38" i="92"/>
  <c r="F38" i="94"/>
  <c r="F38" i="95"/>
  <c r="F38" i="69"/>
  <c r="F38" i="73"/>
  <c r="F38" i="74"/>
  <c r="F38" i="75"/>
  <c r="AB3" i="6"/>
  <c r="I26" i="79"/>
  <c r="I26" i="80"/>
  <c r="I26" i="81"/>
  <c r="I26" i="82"/>
  <c r="I26" i="83"/>
  <c r="I26" i="84"/>
  <c r="I26" i="85"/>
  <c r="I26" i="86"/>
  <c r="I26" i="87"/>
  <c r="I26" i="88"/>
  <c r="I26" i="89"/>
  <c r="I26" i="90"/>
  <c r="I26" i="91"/>
  <c r="I26" i="92"/>
  <c r="I26" i="93"/>
  <c r="I26" i="94"/>
  <c r="I26" i="95"/>
  <c r="I26" i="96"/>
  <c r="I26" i="70"/>
  <c r="I26" i="71"/>
  <c r="I26" i="72"/>
  <c r="I26" i="73"/>
  <c r="I26" i="74"/>
  <c r="I26" i="75"/>
  <c r="I26" i="76"/>
  <c r="I24" i="77"/>
  <c r="I26" i="78"/>
  <c r="I25" i="79"/>
  <c r="I25" i="80"/>
  <c r="I25" i="81"/>
  <c r="I25" i="82"/>
  <c r="I25" i="83"/>
  <c r="I25" i="84"/>
  <c r="I25" i="85"/>
  <c r="I25" i="86"/>
  <c r="I25" i="87"/>
  <c r="I25" i="88"/>
  <c r="I25" i="89"/>
  <c r="I25" i="90"/>
  <c r="I25" i="91"/>
  <c r="I25" i="92"/>
  <c r="I25" i="93"/>
  <c r="I25" i="94"/>
  <c r="I25" i="95"/>
  <c r="I25" i="96"/>
  <c r="I25" i="42"/>
  <c r="I25" i="67"/>
  <c r="I25" i="70"/>
  <c r="I25" i="71"/>
  <c r="I25" i="72"/>
  <c r="I25" i="73"/>
  <c r="I25" i="74"/>
  <c r="I25" i="75"/>
  <c r="I25" i="76"/>
  <c r="I25" i="78"/>
  <c r="C4" i="1"/>
  <c r="G4" i="1" s="1"/>
  <c r="F42" i="69" l="1"/>
  <c r="CG6" i="6"/>
  <c r="CG3" i="6"/>
  <c r="EW3" i="1" s="1"/>
  <c r="CG20" i="6"/>
  <c r="CG14" i="6"/>
  <c r="CG8" i="6"/>
  <c r="CG23" i="6"/>
  <c r="CG17" i="6"/>
  <c r="CG11" i="6"/>
  <c r="CG5" i="6"/>
  <c r="EW5" i="1" s="1"/>
  <c r="J42" i="70"/>
  <c r="S42" i="70" s="1"/>
  <c r="BK21" i="6"/>
  <c r="E11" i="79"/>
  <c r="L11" i="79" s="1"/>
  <c r="C5" i="1"/>
  <c r="G5" i="1" s="1"/>
  <c r="J38" i="84"/>
  <c r="BK32" i="6"/>
  <c r="J38" i="92"/>
  <c r="AG3" i="6"/>
  <c r="AD7" i="6"/>
  <c r="BG27" i="6"/>
  <c r="BG32" i="6"/>
  <c r="BG20" i="6"/>
  <c r="BG14" i="6"/>
  <c r="BG8" i="6"/>
  <c r="BG21" i="6"/>
  <c r="BG31" i="6"/>
  <c r="BG19" i="6"/>
  <c r="BG13" i="6"/>
  <c r="BG7" i="6"/>
  <c r="BG15" i="6"/>
  <c r="BG30" i="6"/>
  <c r="BG18" i="6"/>
  <c r="BG12" i="6"/>
  <c r="BG6" i="6"/>
  <c r="BG29" i="6"/>
  <c r="BG17" i="6"/>
  <c r="BG11" i="6"/>
  <c r="BG5" i="6"/>
  <c r="BG3" i="6"/>
  <c r="BI3" i="6" s="1"/>
  <c r="BG9" i="6"/>
  <c r="BG28" i="6"/>
  <c r="BG22" i="6"/>
  <c r="BG16" i="6"/>
  <c r="BG10" i="6"/>
  <c r="BG4" i="6"/>
  <c r="BG23" i="6"/>
  <c r="J37" i="78"/>
  <c r="P37" i="78" s="1"/>
  <c r="BK3" i="6"/>
  <c r="J37" i="79"/>
  <c r="BK4" i="6"/>
  <c r="J37" i="80"/>
  <c r="BK5" i="6"/>
  <c r="J37" i="81"/>
  <c r="BK6" i="6"/>
  <c r="Q38" i="70"/>
  <c r="CJ31" i="6"/>
  <c r="CJ29" i="6"/>
  <c r="CJ27" i="6"/>
  <c r="CJ20" i="6"/>
  <c r="CJ18" i="6"/>
  <c r="CJ16" i="6"/>
  <c r="CJ14" i="6"/>
  <c r="CJ12" i="6"/>
  <c r="CJ10" i="6"/>
  <c r="CJ30" i="6"/>
  <c r="CJ28" i="6"/>
  <c r="CJ21" i="6"/>
  <c r="CJ19" i="6"/>
  <c r="CJ17" i="6"/>
  <c r="CJ15" i="6"/>
  <c r="CJ13" i="6"/>
  <c r="CJ11" i="6"/>
  <c r="J38" i="71"/>
  <c r="J38" i="90"/>
  <c r="J38" i="74"/>
  <c r="Q38" i="74" s="1"/>
  <c r="J38" i="93"/>
  <c r="J38" i="89"/>
  <c r="J38" i="85"/>
  <c r="J38" i="81"/>
  <c r="J38" i="75"/>
  <c r="Q38" i="75" s="1"/>
  <c r="J38" i="94"/>
  <c r="J38" i="86"/>
  <c r="J38" i="73"/>
  <c r="J38" i="96"/>
  <c r="J38" i="88"/>
  <c r="Q38" i="88" s="1"/>
  <c r="J38" i="76"/>
  <c r="J38" i="72"/>
  <c r="Q38" i="72" s="1"/>
  <c r="J38" i="95"/>
  <c r="J38" i="91"/>
  <c r="J38" i="87"/>
  <c r="J38" i="83"/>
  <c r="J38" i="79"/>
  <c r="J42" i="79" s="1"/>
  <c r="J38" i="82"/>
  <c r="Q43" i="78"/>
  <c r="Q48" i="78"/>
  <c r="CJ6" i="6"/>
  <c r="CJ5" i="6"/>
  <c r="CJ8" i="6"/>
  <c r="CJ4" i="6"/>
  <c r="CJ22" i="6"/>
  <c r="CJ7" i="6"/>
  <c r="CJ9" i="6"/>
  <c r="CJ23" i="6"/>
  <c r="CJ3" i="6"/>
  <c r="F37" i="73"/>
  <c r="F42" i="73" s="1"/>
  <c r="F37" i="71"/>
  <c r="F37" i="95"/>
  <c r="F42" i="95" s="1"/>
  <c r="F37" i="93"/>
  <c r="F37" i="91"/>
  <c r="F37" i="89"/>
  <c r="F37" i="87"/>
  <c r="F37" i="85"/>
  <c r="F37" i="74"/>
  <c r="F42" i="74" s="1"/>
  <c r="F37" i="72"/>
  <c r="F42" i="72" s="1"/>
  <c r="F37" i="96"/>
  <c r="F37" i="94"/>
  <c r="F42" i="94" s="1"/>
  <c r="F37" i="92"/>
  <c r="F42" i="92" s="1"/>
  <c r="F37" i="90"/>
  <c r="F42" i="90" s="1"/>
  <c r="F37" i="88"/>
  <c r="F42" i="88" s="1"/>
  <c r="F37" i="86"/>
  <c r="F37" i="76"/>
  <c r="F37" i="75"/>
  <c r="F42" i="75" s="1"/>
  <c r="J37" i="72"/>
  <c r="J42" i="72" s="1"/>
  <c r="Q37" i="70"/>
  <c r="J26" i="78"/>
  <c r="J26" i="79" s="1"/>
  <c r="J26" i="80" s="1"/>
  <c r="J26" i="81" s="1"/>
  <c r="J26" i="82" s="1"/>
  <c r="J26" i="83" s="1"/>
  <c r="J26" i="84" s="1"/>
  <c r="J26" i="85" s="1"/>
  <c r="J26" i="86" s="1"/>
  <c r="J26" i="87" s="1"/>
  <c r="J26" i="88" s="1"/>
  <c r="J26" i="89" s="1"/>
  <c r="J26" i="90" s="1"/>
  <c r="J26" i="91" s="1"/>
  <c r="J26" i="92" s="1"/>
  <c r="J26" i="93" s="1"/>
  <c r="J26" i="94" s="1"/>
  <c r="J26" i="95" s="1"/>
  <c r="J26" i="96" s="1"/>
  <c r="J26" i="42" s="1"/>
  <c r="J26" i="67" s="1"/>
  <c r="J26" i="68" s="1"/>
  <c r="J26" i="69" s="1"/>
  <c r="L26" i="78"/>
  <c r="AF35" i="6"/>
  <c r="AB35" i="6"/>
  <c r="AE35" i="6"/>
  <c r="F37" i="78"/>
  <c r="J38" i="78"/>
  <c r="P38" i="78" s="1"/>
  <c r="AC35" i="6"/>
  <c r="J37" i="90"/>
  <c r="J37" i="86"/>
  <c r="J37" i="84"/>
  <c r="J42" i="84" s="1"/>
  <c r="J37" i="76"/>
  <c r="J37" i="95"/>
  <c r="J37" i="93"/>
  <c r="J37" i="91"/>
  <c r="J37" i="89"/>
  <c r="J37" i="87"/>
  <c r="J37" i="85"/>
  <c r="J37" i="83"/>
  <c r="F38" i="76"/>
  <c r="J37" i="75"/>
  <c r="F38" i="96"/>
  <c r="J37" i="96"/>
  <c r="J37" i="94"/>
  <c r="F38" i="93"/>
  <c r="J37" i="92"/>
  <c r="F38" i="91"/>
  <c r="F38" i="89"/>
  <c r="J37" i="88"/>
  <c r="F38" i="87"/>
  <c r="F38" i="86"/>
  <c r="F38" i="85"/>
  <c r="F38" i="84"/>
  <c r="F42" i="84" s="1"/>
  <c r="F38" i="83"/>
  <c r="F38" i="82"/>
  <c r="F42" i="82" s="1"/>
  <c r="J37" i="82"/>
  <c r="F38" i="81"/>
  <c r="F42" i="81" s="1"/>
  <c r="N35" i="1"/>
  <c r="F38" i="80"/>
  <c r="F42" i="80" s="1"/>
  <c r="J38" i="80"/>
  <c r="L25" i="78"/>
  <c r="J25" i="78"/>
  <c r="J25" i="79" s="1"/>
  <c r="J25" i="80" s="1"/>
  <c r="F38" i="79"/>
  <c r="F42" i="79" s="1"/>
  <c r="F38" i="78"/>
  <c r="J37" i="71"/>
  <c r="J42" i="71" s="1"/>
  <c r="J37" i="74"/>
  <c r="J42" i="74" s="1"/>
  <c r="J37" i="73"/>
  <c r="F38" i="71"/>
  <c r="J37" i="69"/>
  <c r="J42" i="69" s="1"/>
  <c r="Q38" i="69"/>
  <c r="J37" i="68"/>
  <c r="Q38" i="68"/>
  <c r="L33" i="67"/>
  <c r="L33" i="68" s="1"/>
  <c r="L33" i="69" s="1"/>
  <c r="H35" i="67"/>
  <c r="H35" i="68" s="1"/>
  <c r="H35" i="69" s="1"/>
  <c r="H35" i="70" s="1"/>
  <c r="H35" i="71" s="1"/>
  <c r="H35" i="72" s="1"/>
  <c r="L35" i="69"/>
  <c r="L35" i="70" s="1"/>
  <c r="L35" i="71" s="1"/>
  <c r="G32" i="67"/>
  <c r="G32" i="68" s="1"/>
  <c r="G32" i="69" s="1"/>
  <c r="H32" i="67"/>
  <c r="H32" i="68" s="1"/>
  <c r="H32" i="69" s="1"/>
  <c r="G33" i="67"/>
  <c r="G33" i="68" s="1"/>
  <c r="G33" i="69" s="1"/>
  <c r="H33" i="67"/>
  <c r="H33" i="68" s="1"/>
  <c r="H33" i="69" s="1"/>
  <c r="K33" i="67"/>
  <c r="K33" i="68" s="1"/>
  <c r="K33" i="69" s="1"/>
  <c r="G35" i="67"/>
  <c r="G35" i="68" s="1"/>
  <c r="G35" i="69" s="1"/>
  <c r="G35" i="70" s="1"/>
  <c r="G36" i="67"/>
  <c r="H36" i="67"/>
  <c r="H36" i="68" s="1"/>
  <c r="H36" i="69" s="1"/>
  <c r="K35" i="69"/>
  <c r="K35" i="70" s="1"/>
  <c r="AC34" i="6"/>
  <c r="AF34" i="6"/>
  <c r="AB34" i="6"/>
  <c r="AE34" i="6"/>
  <c r="N34" i="1"/>
  <c r="M32" i="82"/>
  <c r="M32" i="89"/>
  <c r="M32" i="90"/>
  <c r="M32" i="93"/>
  <c r="M32" i="94"/>
  <c r="M32" i="95"/>
  <c r="AU21" i="12"/>
  <c r="M32" i="96"/>
  <c r="M32" i="67"/>
  <c r="M32" i="68"/>
  <c r="M32" i="69"/>
  <c r="J42" i="75" l="1"/>
  <c r="F42" i="96"/>
  <c r="J42" i="86"/>
  <c r="J42" i="89"/>
  <c r="M23" i="84"/>
  <c r="M20" i="84"/>
  <c r="F42" i="83"/>
  <c r="F42" i="85"/>
  <c r="J42" i="73"/>
  <c r="Q42" i="73" s="1"/>
  <c r="Q42" i="70"/>
  <c r="J42" i="76"/>
  <c r="J42" i="91"/>
  <c r="M23" i="91" s="1"/>
  <c r="F42" i="76"/>
  <c r="F42" i="93"/>
  <c r="J42" i="96"/>
  <c r="M23" i="96" s="1"/>
  <c r="F42" i="71"/>
  <c r="J42" i="68"/>
  <c r="M20" i="68" s="1"/>
  <c r="Q38" i="95"/>
  <c r="J42" i="95"/>
  <c r="S41" i="95" s="1"/>
  <c r="Q38" i="94"/>
  <c r="J42" i="94"/>
  <c r="J42" i="88"/>
  <c r="J42" i="87"/>
  <c r="J42" i="90"/>
  <c r="Q42" i="75"/>
  <c r="J42" i="93"/>
  <c r="F42" i="87"/>
  <c r="Q38" i="92"/>
  <c r="J42" i="92"/>
  <c r="F42" i="89"/>
  <c r="F42" i="91"/>
  <c r="F42" i="86"/>
  <c r="J42" i="85"/>
  <c r="J42" i="81"/>
  <c r="J42" i="82"/>
  <c r="J42" i="83"/>
  <c r="J54" i="84"/>
  <c r="J42" i="80"/>
  <c r="J42" i="78"/>
  <c r="F42" i="78"/>
  <c r="Q38" i="73"/>
  <c r="Q42" i="79"/>
  <c r="J54" i="72"/>
  <c r="M54" i="72"/>
  <c r="K54" i="72"/>
  <c r="J54" i="68"/>
  <c r="J54" i="70"/>
  <c r="M54" i="70"/>
  <c r="K54" i="70"/>
  <c r="G36" i="68"/>
  <c r="G36" i="69" s="1"/>
  <c r="G36" i="70" s="1"/>
  <c r="G36" i="71" s="1"/>
  <c r="G36" i="72" s="1"/>
  <c r="G36" i="73" s="1"/>
  <c r="G36" i="74" s="1"/>
  <c r="BM3" i="6"/>
  <c r="CD3" i="6" s="1"/>
  <c r="BK35" i="6"/>
  <c r="AT7" i="12"/>
  <c r="AT9" i="12"/>
  <c r="L37" i="78"/>
  <c r="K37" i="78"/>
  <c r="Q37" i="80"/>
  <c r="Q37" i="81"/>
  <c r="Q37" i="69"/>
  <c r="Q38" i="90"/>
  <c r="Q38" i="83"/>
  <c r="Q38" i="89"/>
  <c r="Q42" i="72"/>
  <c r="M32" i="91"/>
  <c r="Q38" i="86"/>
  <c r="M23" i="70"/>
  <c r="M23" i="67"/>
  <c r="Q38" i="87"/>
  <c r="Q44" i="78"/>
  <c r="Q37" i="75"/>
  <c r="Q37" i="71"/>
  <c r="Q37" i="93"/>
  <c r="Q37" i="76"/>
  <c r="Q37" i="72"/>
  <c r="Q37" i="79"/>
  <c r="J25" i="81"/>
  <c r="J25" i="82" s="1"/>
  <c r="J26" i="70"/>
  <c r="J26" i="71" s="1"/>
  <c r="J26" i="72" s="1"/>
  <c r="J26" i="73" s="1"/>
  <c r="J26" i="74" s="1"/>
  <c r="J26" i="75" s="1"/>
  <c r="J26" i="76" s="1"/>
  <c r="J24" i="77" s="1"/>
  <c r="G33" i="70"/>
  <c r="G33" i="71" s="1"/>
  <c r="G33" i="72" s="1"/>
  <c r="G33" i="73" s="1"/>
  <c r="G33" i="74" s="1"/>
  <c r="K33" i="70"/>
  <c r="K33" i="71" s="1"/>
  <c r="K33" i="72" s="1"/>
  <c r="K33" i="73" s="1"/>
  <c r="K33" i="74" s="1"/>
  <c r="K33" i="75" s="1"/>
  <c r="G35" i="71"/>
  <c r="K35" i="71"/>
  <c r="H36" i="70"/>
  <c r="H36" i="71" s="1"/>
  <c r="H36" i="72" s="1"/>
  <c r="H36" i="73" s="1"/>
  <c r="H36" i="74" s="1"/>
  <c r="H36" i="75" s="1"/>
  <c r="H36" i="76" s="1"/>
  <c r="H34" i="77" s="1"/>
  <c r="H33" i="70"/>
  <c r="H33" i="71" s="1"/>
  <c r="H33" i="72" s="1"/>
  <c r="H33" i="73" s="1"/>
  <c r="H33" i="74" s="1"/>
  <c r="H35" i="73"/>
  <c r="H35" i="74" s="1"/>
  <c r="H35" i="75" s="1"/>
  <c r="H35" i="76" s="1"/>
  <c r="H33" i="77" s="1"/>
  <c r="L33" i="70"/>
  <c r="L33" i="71" s="1"/>
  <c r="L33" i="72" s="1"/>
  <c r="L33" i="73" s="1"/>
  <c r="L33" i="74" s="1"/>
  <c r="L33" i="75" s="1"/>
  <c r="L33" i="76" s="1"/>
  <c r="L31" i="77" s="1"/>
  <c r="L35" i="72"/>
  <c r="L35" i="73" s="1"/>
  <c r="L35" i="74" s="1"/>
  <c r="L35" i="75" s="1"/>
  <c r="L35" i="76" s="1"/>
  <c r="L33" i="77" s="1"/>
  <c r="H12" i="77"/>
  <c r="H32" i="70"/>
  <c r="H32" i="71" s="1"/>
  <c r="H32" i="72" s="1"/>
  <c r="H32" i="73" s="1"/>
  <c r="H32" i="74" s="1"/>
  <c r="H32" i="75" s="1"/>
  <c r="H32" i="76" s="1"/>
  <c r="H30" i="77" s="1"/>
  <c r="G32" i="70"/>
  <c r="G32" i="71" s="1"/>
  <c r="G32" i="72" s="1"/>
  <c r="G32" i="73" s="1"/>
  <c r="G32" i="74" s="1"/>
  <c r="G32" i="75" s="1"/>
  <c r="G32" i="76" s="1"/>
  <c r="G30" i="77" s="1"/>
  <c r="L38" i="78"/>
  <c r="K38" i="78"/>
  <c r="Q38" i="78"/>
  <c r="H37" i="78"/>
  <c r="G37" i="78"/>
  <c r="Q37" i="78"/>
  <c r="Q38" i="96"/>
  <c r="Q38" i="91"/>
  <c r="Q37" i="85"/>
  <c r="Q37" i="89"/>
  <c r="Q38" i="84"/>
  <c r="Q38" i="85"/>
  <c r="Q37" i="86"/>
  <c r="Q38" i="79"/>
  <c r="Q37" i="83"/>
  <c r="Q37" i="87"/>
  <c r="Q37" i="91"/>
  <c r="Q37" i="95"/>
  <c r="Q37" i="84"/>
  <c r="Q37" i="90"/>
  <c r="Q38" i="76"/>
  <c r="Q37" i="96"/>
  <c r="Q37" i="94"/>
  <c r="Q38" i="93"/>
  <c r="Q37" i="92"/>
  <c r="Q37" i="88"/>
  <c r="Q38" i="82"/>
  <c r="Q37" i="82"/>
  <c r="Q38" i="81"/>
  <c r="Q38" i="80"/>
  <c r="E11" i="80"/>
  <c r="H38" i="78"/>
  <c r="G38" i="78"/>
  <c r="Q37" i="74"/>
  <c r="N35" i="67"/>
  <c r="N35" i="68" s="1"/>
  <c r="N35" i="69" s="1"/>
  <c r="N37" i="67"/>
  <c r="N42" i="67" s="1"/>
  <c r="O37" i="67"/>
  <c r="O42" i="67" s="1"/>
  <c r="O35" i="67"/>
  <c r="O35" i="68" s="1"/>
  <c r="O35" i="69" s="1"/>
  <c r="Q37" i="73"/>
  <c r="Q38" i="71"/>
  <c r="J9" i="67"/>
  <c r="J15" i="67" s="1"/>
  <c r="H10" i="69"/>
  <c r="G9" i="67"/>
  <c r="G15" i="67" s="1"/>
  <c r="G10" i="69"/>
  <c r="G10" i="70" s="1"/>
  <c r="Q37" i="68"/>
  <c r="AW24" i="2"/>
  <c r="AW7" i="2"/>
  <c r="AW17" i="2"/>
  <c r="AW23" i="2"/>
  <c r="AW14" i="2"/>
  <c r="AW21" i="2"/>
  <c r="AW15" i="2"/>
  <c r="AW13" i="2"/>
  <c r="AW19" i="2"/>
  <c r="AW5" i="2"/>
  <c r="AW22" i="2"/>
  <c r="AW20" i="2"/>
  <c r="AW18" i="2"/>
  <c r="AW16" i="2"/>
  <c r="AW11" i="2"/>
  <c r="AW26" i="2"/>
  <c r="AW25" i="2"/>
  <c r="AD34" i="6"/>
  <c r="AG34" i="6"/>
  <c r="CC34" i="6"/>
  <c r="AU7" i="12"/>
  <c r="M32" i="74"/>
  <c r="M32" i="73"/>
  <c r="M32" i="71"/>
  <c r="M24" i="70"/>
  <c r="M24" i="67"/>
  <c r="AU22" i="12"/>
  <c r="AU27" i="12"/>
  <c r="M24" i="42"/>
  <c r="AU11" i="12"/>
  <c r="I27" i="82"/>
  <c r="AU23" i="12"/>
  <c r="AU9" i="12"/>
  <c r="AU20" i="12"/>
  <c r="AG17" i="12"/>
  <c r="AM17" i="12" s="1"/>
  <c r="AU16" i="12"/>
  <c r="AU15" i="12"/>
  <c r="C6" i="1"/>
  <c r="G6" i="1" s="1"/>
  <c r="AU13" i="12"/>
  <c r="AG11" i="12"/>
  <c r="AM11" i="12" s="1"/>
  <c r="AU24" i="12"/>
  <c r="AU12" i="12"/>
  <c r="AG27" i="12"/>
  <c r="AM27" i="12" s="1"/>
  <c r="AG24" i="12"/>
  <c r="AM24" i="12" s="1"/>
  <c r="AG23" i="12"/>
  <c r="AM23" i="12" s="1"/>
  <c r="AG21" i="12"/>
  <c r="AM21" i="12" s="1"/>
  <c r="AG20" i="12"/>
  <c r="AM20" i="12" s="1"/>
  <c r="AT18" i="12"/>
  <c r="AT17" i="12"/>
  <c r="AG16" i="12"/>
  <c r="AM16" i="12" s="1"/>
  <c r="AG15" i="12"/>
  <c r="AM15" i="12" s="1"/>
  <c r="AG13" i="12"/>
  <c r="AM13" i="12" s="1"/>
  <c r="AG12" i="12"/>
  <c r="AM12" i="12" s="1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D3" i="6"/>
  <c r="AD4" i="6"/>
  <c r="AD5" i="6"/>
  <c r="AD6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W3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7" i="6"/>
  <c r="O28" i="6"/>
  <c r="O29" i="6"/>
  <c r="O30" i="6"/>
  <c r="O32" i="6"/>
  <c r="J26" i="1"/>
  <c r="J27" i="1"/>
  <c r="F8" i="6"/>
  <c r="F11" i="6"/>
  <c r="F12" i="6"/>
  <c r="F14" i="6"/>
  <c r="F17" i="6"/>
  <c r="F18" i="6"/>
  <c r="F19" i="6"/>
  <c r="F20" i="6"/>
  <c r="F21" i="6"/>
  <c r="F22" i="6"/>
  <c r="F23" i="6"/>
  <c r="F4" i="6"/>
  <c r="F5" i="6"/>
  <c r="F6" i="6"/>
  <c r="F7" i="6"/>
  <c r="F9" i="6"/>
  <c r="F10" i="6"/>
  <c r="F13" i="6"/>
  <c r="F15" i="6"/>
  <c r="F16" i="6"/>
  <c r="L42" i="78" l="1"/>
  <c r="Q42" i="68"/>
  <c r="M24" i="68"/>
  <c r="K54" i="68"/>
  <c r="M23" i="68"/>
  <c r="M54" i="68"/>
  <c r="I27" i="84"/>
  <c r="EL29" i="1"/>
  <c r="AM30" i="12"/>
  <c r="K42" i="78"/>
  <c r="P42" i="78"/>
  <c r="L37" i="79"/>
  <c r="L37" i="80" s="1"/>
  <c r="G37" i="79"/>
  <c r="G42" i="78"/>
  <c r="H37" i="79"/>
  <c r="H37" i="80" s="1"/>
  <c r="H37" i="81" s="1"/>
  <c r="H37" i="82" s="1"/>
  <c r="H37" i="83" s="1"/>
  <c r="H37" i="84" s="1"/>
  <c r="H42" i="78"/>
  <c r="AG22" i="12"/>
  <c r="AG5" i="12"/>
  <c r="AG9" i="12"/>
  <c r="AM9" i="12" s="1"/>
  <c r="AG7" i="12"/>
  <c r="AM7" i="12" s="1"/>
  <c r="CE3" i="6"/>
  <c r="K54" i="84"/>
  <c r="M54" i="84"/>
  <c r="J54" i="87"/>
  <c r="M54" i="87"/>
  <c r="K54" i="87"/>
  <c r="J54" i="88"/>
  <c r="M54" i="88"/>
  <c r="K54" i="88"/>
  <c r="J54" i="92"/>
  <c r="K54" i="92"/>
  <c r="M54" i="92"/>
  <c r="J54" i="90"/>
  <c r="K54" i="90"/>
  <c r="M54" i="90"/>
  <c r="J54" i="93"/>
  <c r="M54" i="93"/>
  <c r="K54" i="93"/>
  <c r="G54" i="68"/>
  <c r="F54" i="68"/>
  <c r="E54" i="68"/>
  <c r="H54" i="68"/>
  <c r="I54" i="68"/>
  <c r="J54" i="91"/>
  <c r="M54" i="91"/>
  <c r="K54" i="91"/>
  <c r="J54" i="74"/>
  <c r="M54" i="74"/>
  <c r="K54" i="74"/>
  <c r="J54" i="73"/>
  <c r="K54" i="73"/>
  <c r="M54" i="73"/>
  <c r="J54" i="71"/>
  <c r="K54" i="71"/>
  <c r="M54" i="71"/>
  <c r="M23" i="89"/>
  <c r="J54" i="89"/>
  <c r="M54" i="89"/>
  <c r="K54" i="89"/>
  <c r="M54" i="80"/>
  <c r="K54" i="80"/>
  <c r="J54" i="76"/>
  <c r="M54" i="76"/>
  <c r="K54" i="76"/>
  <c r="J54" i="95"/>
  <c r="K54" i="95"/>
  <c r="M54" i="95"/>
  <c r="M23" i="69"/>
  <c r="J54" i="69"/>
  <c r="M54" i="69"/>
  <c r="K54" i="69"/>
  <c r="J54" i="75"/>
  <c r="K54" i="75"/>
  <c r="M54" i="75"/>
  <c r="M23" i="94"/>
  <c r="J54" i="94"/>
  <c r="M54" i="94"/>
  <c r="K54" i="94"/>
  <c r="J54" i="96"/>
  <c r="M54" i="96"/>
  <c r="K54" i="96"/>
  <c r="M23" i="86"/>
  <c r="K54" i="86"/>
  <c r="J54" i="86"/>
  <c r="M54" i="86"/>
  <c r="K54" i="85"/>
  <c r="J54" i="85"/>
  <c r="M54" i="85"/>
  <c r="M54" i="83"/>
  <c r="J54" i="83"/>
  <c r="K54" i="83"/>
  <c r="M20" i="82"/>
  <c r="M54" i="82"/>
  <c r="J54" i="82"/>
  <c r="K54" i="82"/>
  <c r="J54" i="81"/>
  <c r="K54" i="81"/>
  <c r="M54" i="81"/>
  <c r="G36" i="75"/>
  <c r="G36" i="76" s="1"/>
  <c r="G34" i="77" s="1"/>
  <c r="H33" i="75"/>
  <c r="H33" i="76" s="1"/>
  <c r="H31" i="77" s="1"/>
  <c r="G33" i="75"/>
  <c r="K35" i="72"/>
  <c r="K35" i="73" s="1"/>
  <c r="K35" i="74" s="1"/>
  <c r="K35" i="75" s="1"/>
  <c r="G35" i="72"/>
  <c r="G35" i="73" s="1"/>
  <c r="G35" i="74" s="1"/>
  <c r="G35" i="75" s="1"/>
  <c r="G35" i="76" s="1"/>
  <c r="G33" i="77" s="1"/>
  <c r="CH3" i="6"/>
  <c r="E11" i="81"/>
  <c r="L11" i="81" s="1"/>
  <c r="C7" i="1"/>
  <c r="G7" i="1" s="1"/>
  <c r="AU5" i="12"/>
  <c r="AU40" i="12" s="1"/>
  <c r="AT42" i="97" s="1"/>
  <c r="AU17" i="12"/>
  <c r="EL12" i="1"/>
  <c r="EU12" i="1" s="1"/>
  <c r="EW12" i="1" s="1"/>
  <c r="K37" i="79"/>
  <c r="G37" i="80"/>
  <c r="G37" i="81" s="1"/>
  <c r="G37" i="82" s="1"/>
  <c r="Q42" i="83"/>
  <c r="AT22" i="12"/>
  <c r="AT20" i="12"/>
  <c r="AT13" i="12"/>
  <c r="AT30" i="12"/>
  <c r="AT11" i="12"/>
  <c r="AT15" i="12"/>
  <c r="AT16" i="12"/>
  <c r="M24" i="88"/>
  <c r="AT27" i="12"/>
  <c r="AT24" i="12"/>
  <c r="AT23" i="12"/>
  <c r="AT21" i="12"/>
  <c r="K38" i="79"/>
  <c r="K38" i="80" s="1"/>
  <c r="L38" i="79"/>
  <c r="L38" i="80" s="1"/>
  <c r="AT5" i="12"/>
  <c r="M24" i="73"/>
  <c r="AP42" i="97"/>
  <c r="AT12" i="12"/>
  <c r="Q42" i="96"/>
  <c r="Q42" i="82"/>
  <c r="Q42" i="86"/>
  <c r="Q42" i="84"/>
  <c r="M24" i="83"/>
  <c r="M24" i="96"/>
  <c r="Q42" i="88"/>
  <c r="M23" i="82"/>
  <c r="M24" i="86"/>
  <c r="Q42" i="91"/>
  <c r="M23" i="72"/>
  <c r="M23" i="90"/>
  <c r="Q42" i="92"/>
  <c r="M24" i="72"/>
  <c r="M24" i="92"/>
  <c r="M23" i="92"/>
  <c r="M23" i="88"/>
  <c r="M23" i="42"/>
  <c r="M32" i="42"/>
  <c r="M24" i="95"/>
  <c r="M24" i="90"/>
  <c r="M24" i="82"/>
  <c r="M24" i="87"/>
  <c r="M24" i="89"/>
  <c r="M24" i="74"/>
  <c r="M24" i="71"/>
  <c r="M23" i="74"/>
  <c r="M23" i="71"/>
  <c r="M23" i="73"/>
  <c r="M24" i="94"/>
  <c r="M24" i="69"/>
  <c r="M24" i="85"/>
  <c r="M23" i="95"/>
  <c r="Q42" i="95"/>
  <c r="M24" i="93"/>
  <c r="M23" i="93"/>
  <c r="M24" i="91"/>
  <c r="M23" i="87"/>
  <c r="Q42" i="87"/>
  <c r="M23" i="85"/>
  <c r="M24" i="84"/>
  <c r="M24" i="81"/>
  <c r="M23" i="79"/>
  <c r="N23" i="79" s="1"/>
  <c r="Q42" i="90"/>
  <c r="M24" i="80"/>
  <c r="J54" i="80"/>
  <c r="M23" i="80"/>
  <c r="M24" i="79"/>
  <c r="N24" i="79" s="1"/>
  <c r="M24" i="78"/>
  <c r="N24" i="78" s="1"/>
  <c r="L54" i="78"/>
  <c r="J54" i="78"/>
  <c r="I54" i="78"/>
  <c r="J54" i="79"/>
  <c r="L54" i="79"/>
  <c r="I54" i="79"/>
  <c r="Q42" i="76"/>
  <c r="J25" i="83"/>
  <c r="J25" i="84" s="1"/>
  <c r="J25" i="85" s="1"/>
  <c r="J25" i="86" s="1"/>
  <c r="J25" i="87" s="1"/>
  <c r="J25" i="88" s="1"/>
  <c r="J25" i="89" s="1"/>
  <c r="J25" i="90" s="1"/>
  <c r="J25" i="91" s="1"/>
  <c r="J25" i="92" s="1"/>
  <c r="K33" i="76"/>
  <c r="K31" i="77" s="1"/>
  <c r="H10" i="70"/>
  <c r="G12" i="77"/>
  <c r="K12" i="77"/>
  <c r="N35" i="70"/>
  <c r="N35" i="71" s="1"/>
  <c r="N35" i="72" s="1"/>
  <c r="N35" i="73" s="1"/>
  <c r="N35" i="74" s="1"/>
  <c r="N35" i="75" s="1"/>
  <c r="N35" i="76" s="1"/>
  <c r="N33" i="77" s="1"/>
  <c r="O35" i="70"/>
  <c r="O35" i="71" s="1"/>
  <c r="O35" i="72" s="1"/>
  <c r="O35" i="73" s="1"/>
  <c r="O35" i="74" s="1"/>
  <c r="O35" i="75" s="1"/>
  <c r="O35" i="76" s="1"/>
  <c r="O33" i="77" s="1"/>
  <c r="Q42" i="93"/>
  <c r="G9" i="68"/>
  <c r="Q42" i="78"/>
  <c r="Q42" i="85"/>
  <c r="Q42" i="71"/>
  <c r="Q42" i="89"/>
  <c r="Q42" i="69"/>
  <c r="J10" i="74"/>
  <c r="J10" i="75" s="1"/>
  <c r="J10" i="76" s="1"/>
  <c r="G10" i="71"/>
  <c r="Q42" i="94"/>
  <c r="AW8" i="2"/>
  <c r="Q42" i="80"/>
  <c r="Q42" i="81"/>
  <c r="L11" i="80"/>
  <c r="G38" i="79"/>
  <c r="G42" i="79" s="1"/>
  <c r="H38" i="79"/>
  <c r="Q42" i="74"/>
  <c r="J24" i="78"/>
  <c r="J24" i="79" s="1"/>
  <c r="L24" i="78"/>
  <c r="M20" i="78"/>
  <c r="M36" i="78"/>
  <c r="G20" i="67"/>
  <c r="N37" i="68"/>
  <c r="K16" i="67"/>
  <c r="J16" i="67"/>
  <c r="O37" i="68"/>
  <c r="O42" i="68" s="1"/>
  <c r="K32" i="68"/>
  <c r="K32" i="69" s="1"/>
  <c r="K10" i="69"/>
  <c r="K10" i="70" s="1"/>
  <c r="H9" i="67"/>
  <c r="H15" i="67" s="1"/>
  <c r="K9" i="67"/>
  <c r="K15" i="67" s="1"/>
  <c r="J9" i="68"/>
  <c r="H20" i="67"/>
  <c r="EL17" i="1"/>
  <c r="EU17" i="1" s="1"/>
  <c r="EW17" i="1" s="1"/>
  <c r="BF4" i="6"/>
  <c r="BI4" i="6" s="1"/>
  <c r="AW6" i="2"/>
  <c r="AW9" i="2"/>
  <c r="AW10" i="2"/>
  <c r="AW12" i="2"/>
  <c r="AW4" i="2"/>
  <c r="AW3" i="2"/>
  <c r="AW30" i="2"/>
  <c r="AW29" i="2"/>
  <c r="AW28" i="2"/>
  <c r="AW27" i="2"/>
  <c r="BK34" i="6"/>
  <c r="T4" i="6"/>
  <c r="J24" i="1"/>
  <c r="J25" i="1"/>
  <c r="J18" i="1"/>
  <c r="J17" i="1"/>
  <c r="J16" i="1"/>
  <c r="J6" i="1"/>
  <c r="J8" i="1"/>
  <c r="J12" i="1"/>
  <c r="J13" i="1"/>
  <c r="J15" i="1"/>
  <c r="J9" i="1"/>
  <c r="J14" i="1"/>
  <c r="J11" i="1"/>
  <c r="J10" i="1"/>
  <c r="J7" i="1"/>
  <c r="J4" i="1"/>
  <c r="K4" i="1" s="1"/>
  <c r="E26" i="79"/>
  <c r="L26" i="79" s="1"/>
  <c r="X4" i="1"/>
  <c r="R4" i="1"/>
  <c r="EF4" i="1" s="1"/>
  <c r="P4" i="1"/>
  <c r="P5" i="1"/>
  <c r="P6" i="1"/>
  <c r="P7" i="1"/>
  <c r="P8" i="1"/>
  <c r="P9" i="1"/>
  <c r="P10" i="1"/>
  <c r="P11" i="1"/>
  <c r="P12" i="1"/>
  <c r="P13" i="1"/>
  <c r="P14" i="1"/>
  <c r="P15" i="1"/>
  <c r="P24" i="1"/>
  <c r="P25" i="1"/>
  <c r="P26" i="1"/>
  <c r="Q4" i="2"/>
  <c r="U4" i="2" s="1"/>
  <c r="L4" i="2"/>
  <c r="P4" i="2" s="1"/>
  <c r="AM22" i="12" l="1"/>
  <c r="EL21" i="1"/>
  <c r="H10" i="71"/>
  <c r="H10" i="72" s="1"/>
  <c r="H10" i="73" s="1"/>
  <c r="H10" i="74" s="1"/>
  <c r="H10" i="75" s="1"/>
  <c r="H10" i="76" s="1"/>
  <c r="H10" i="77" s="1"/>
  <c r="G9" i="69"/>
  <c r="G15" i="68"/>
  <c r="J9" i="69"/>
  <c r="J9" i="70" s="1"/>
  <c r="J15" i="68"/>
  <c r="H37" i="85"/>
  <c r="H37" i="86" s="1"/>
  <c r="G37" i="83"/>
  <c r="G37" i="84" s="1"/>
  <c r="H42" i="79"/>
  <c r="G33" i="76"/>
  <c r="G31" i="77" s="1"/>
  <c r="N37" i="69"/>
  <c r="N42" i="69" s="1"/>
  <c r="N42" i="68"/>
  <c r="L42" i="79"/>
  <c r="K42" i="79"/>
  <c r="H37" i="87"/>
  <c r="EL8" i="1"/>
  <c r="EU8" i="1" s="1"/>
  <c r="EW8" i="1" s="1"/>
  <c r="I35" i="79"/>
  <c r="P35" i="79" s="1"/>
  <c r="W4" i="6"/>
  <c r="AM5" i="12"/>
  <c r="EL4" i="1"/>
  <c r="EV4" i="1" s="1"/>
  <c r="N54" i="68"/>
  <c r="EV12" i="1"/>
  <c r="K37" i="80"/>
  <c r="K37" i="81" s="1"/>
  <c r="H54" i="84"/>
  <c r="I54" i="84"/>
  <c r="F54" i="84"/>
  <c r="E54" i="84"/>
  <c r="G54" i="84"/>
  <c r="H54" i="82"/>
  <c r="I54" i="82"/>
  <c r="G54" i="82"/>
  <c r="E54" i="82"/>
  <c r="F54" i="82"/>
  <c r="K35" i="76"/>
  <c r="K33" i="77" s="1"/>
  <c r="E11" i="82"/>
  <c r="L11" i="82" s="1"/>
  <c r="E10" i="79"/>
  <c r="L10" i="79" s="1"/>
  <c r="L5" i="2"/>
  <c r="P5" i="2" s="1"/>
  <c r="E12" i="79"/>
  <c r="L12" i="79" s="1"/>
  <c r="EL11" i="1"/>
  <c r="EU11" i="1" s="1"/>
  <c r="EW11" i="1" s="1"/>
  <c r="J10" i="77"/>
  <c r="EL15" i="1"/>
  <c r="EU15" i="1" s="1"/>
  <c r="EW15" i="1" s="1"/>
  <c r="EL10" i="1"/>
  <c r="EU10" i="1" s="1"/>
  <c r="EW10" i="1" s="1"/>
  <c r="AL9" i="12"/>
  <c r="EL22" i="1"/>
  <c r="EL23" i="1"/>
  <c r="EL26" i="1"/>
  <c r="EU26" i="1" s="1"/>
  <c r="EW26" i="1" s="1"/>
  <c r="EL20" i="1"/>
  <c r="EU20" i="1" s="1"/>
  <c r="EW20" i="1" s="1"/>
  <c r="EL19" i="1"/>
  <c r="EL14" i="1"/>
  <c r="EU14" i="1" s="1"/>
  <c r="EW14" i="1" s="1"/>
  <c r="EL16" i="1"/>
  <c r="EL6" i="1"/>
  <c r="L37" i="81"/>
  <c r="M32" i="78"/>
  <c r="O32" i="78" s="1"/>
  <c r="L9" i="78"/>
  <c r="E9" i="79" s="1"/>
  <c r="L9" i="79" s="1"/>
  <c r="E9" i="80" s="1"/>
  <c r="I27" i="78"/>
  <c r="M23" i="78"/>
  <c r="N23" i="78" s="1"/>
  <c r="M23" i="83"/>
  <c r="I38" i="79"/>
  <c r="P38" i="79" s="1"/>
  <c r="EI4" i="1"/>
  <c r="I21" i="87"/>
  <c r="I21" i="86"/>
  <c r="I21" i="89"/>
  <c r="J24" i="80"/>
  <c r="J24" i="81" s="1"/>
  <c r="J24" i="82" s="1"/>
  <c r="H20" i="68"/>
  <c r="AB4" i="1"/>
  <c r="X5" i="1" s="1"/>
  <c r="K32" i="70"/>
  <c r="K32" i="71" s="1"/>
  <c r="K32" i="72" s="1"/>
  <c r="K32" i="73" s="1"/>
  <c r="K32" i="74" s="1"/>
  <c r="K32" i="75" s="1"/>
  <c r="K32" i="76" s="1"/>
  <c r="K30" i="77" s="1"/>
  <c r="I20" i="72"/>
  <c r="I27" i="72" s="1"/>
  <c r="M36" i="72"/>
  <c r="G10" i="72"/>
  <c r="G10" i="73" s="1"/>
  <c r="G10" i="74" s="1"/>
  <c r="G10" i="75" s="1"/>
  <c r="G10" i="76" s="1"/>
  <c r="G10" i="77" s="1"/>
  <c r="H9" i="68"/>
  <c r="AL5" i="1"/>
  <c r="G38" i="80"/>
  <c r="G42" i="80" s="1"/>
  <c r="H38" i="80"/>
  <c r="H42" i="80" s="1"/>
  <c r="K10" i="71"/>
  <c r="J25" i="93"/>
  <c r="I20" i="93"/>
  <c r="M36" i="93"/>
  <c r="M36" i="92"/>
  <c r="I20" i="92"/>
  <c r="M36" i="88"/>
  <c r="I20" i="88"/>
  <c r="M36" i="80"/>
  <c r="I20" i="80"/>
  <c r="J20" i="78"/>
  <c r="L20" i="78"/>
  <c r="J23" i="78"/>
  <c r="J23" i="79" s="1"/>
  <c r="J23" i="80" s="1"/>
  <c r="J23" i="81" s="1"/>
  <c r="J23" i="82" s="1"/>
  <c r="J23" i="83" s="1"/>
  <c r="N36" i="78"/>
  <c r="P36" i="78"/>
  <c r="W4" i="1"/>
  <c r="K16" i="68"/>
  <c r="K18" i="67"/>
  <c r="J16" i="68"/>
  <c r="J18" i="67"/>
  <c r="O37" i="69"/>
  <c r="G20" i="68"/>
  <c r="I20" i="71"/>
  <c r="M20" i="71" s="1"/>
  <c r="M36" i="71"/>
  <c r="M36" i="69"/>
  <c r="I20" i="69"/>
  <c r="I27" i="69" s="1"/>
  <c r="L32" i="68"/>
  <c r="L32" i="69" s="1"/>
  <c r="K9" i="68"/>
  <c r="AL27" i="12"/>
  <c r="K36" i="67"/>
  <c r="K36" i="68" s="1"/>
  <c r="K36" i="69" s="1"/>
  <c r="L36" i="67"/>
  <c r="L36" i="68" s="1"/>
  <c r="L36" i="69" s="1"/>
  <c r="AL7" i="12"/>
  <c r="AL22" i="12"/>
  <c r="AL21" i="12"/>
  <c r="AF3" i="3"/>
  <c r="AL16" i="12"/>
  <c r="C4" i="2"/>
  <c r="G4" i="2" s="1"/>
  <c r="AL15" i="12"/>
  <c r="AL18" i="12"/>
  <c r="AL17" i="12"/>
  <c r="AL13" i="12"/>
  <c r="AL5" i="12"/>
  <c r="AL12" i="12"/>
  <c r="AL30" i="12"/>
  <c r="L4" i="1"/>
  <c r="EB4" i="1" s="1"/>
  <c r="EE4" i="1" s="1"/>
  <c r="AL11" i="12"/>
  <c r="AL23" i="12"/>
  <c r="AH25" i="3"/>
  <c r="AH28" i="3"/>
  <c r="AL24" i="12"/>
  <c r="AL20" i="12"/>
  <c r="J5" i="1"/>
  <c r="C8" i="1"/>
  <c r="G8" i="1" s="1"/>
  <c r="EJ4" i="1"/>
  <c r="BJ4" i="6"/>
  <c r="BM4" i="6" s="1"/>
  <c r="CD4" i="6" s="1"/>
  <c r="AH5" i="3"/>
  <c r="AH7" i="3"/>
  <c r="AH3" i="3"/>
  <c r="J28" i="1"/>
  <c r="J29" i="1"/>
  <c r="J30" i="1"/>
  <c r="G9" i="70" l="1"/>
  <c r="H9" i="69"/>
  <c r="H15" i="68"/>
  <c r="K9" i="69"/>
  <c r="K9" i="70" s="1"/>
  <c r="K15" i="68"/>
  <c r="G37" i="85"/>
  <c r="G37" i="86" s="1"/>
  <c r="G37" i="87" s="1"/>
  <c r="G37" i="88" s="1"/>
  <c r="M36" i="83"/>
  <c r="N37" i="70"/>
  <c r="N42" i="70" s="1"/>
  <c r="M20" i="88"/>
  <c r="H54" i="88" s="1"/>
  <c r="I27" i="88"/>
  <c r="E26" i="80"/>
  <c r="L26" i="80" s="1"/>
  <c r="O37" i="70"/>
  <c r="O42" i="70" s="1"/>
  <c r="O42" i="69"/>
  <c r="H37" i="88"/>
  <c r="EV8" i="1"/>
  <c r="I20" i="83"/>
  <c r="M20" i="83" s="1"/>
  <c r="G54" i="83" s="1"/>
  <c r="EU4" i="1"/>
  <c r="EW4" i="1" s="1"/>
  <c r="M36" i="79"/>
  <c r="N36" i="79" s="1"/>
  <c r="N36" i="80" s="1"/>
  <c r="K42" i="80"/>
  <c r="L42" i="80"/>
  <c r="L38" i="81"/>
  <c r="L42" i="81" s="1"/>
  <c r="CH4" i="6"/>
  <c r="H5" i="6"/>
  <c r="I5" i="6" s="1"/>
  <c r="CE4" i="6"/>
  <c r="AB5" i="1"/>
  <c r="X6" i="1" s="1"/>
  <c r="G54" i="71"/>
  <c r="F54" i="71"/>
  <c r="E54" i="71"/>
  <c r="H54" i="71"/>
  <c r="I54" i="71"/>
  <c r="N54" i="84"/>
  <c r="N54" i="82"/>
  <c r="E11" i="83"/>
  <c r="L11" i="83" s="1"/>
  <c r="I20" i="67"/>
  <c r="EU23" i="1"/>
  <c r="EW23" i="1" s="1"/>
  <c r="M36" i="94"/>
  <c r="EU19" i="1"/>
  <c r="EW19" i="1" s="1"/>
  <c r="M36" i="42"/>
  <c r="EU22" i="1"/>
  <c r="EW22" i="1" s="1"/>
  <c r="EV6" i="1"/>
  <c r="EU6" i="1"/>
  <c r="EW6" i="1" s="1"/>
  <c r="I20" i="96"/>
  <c r="M20" i="96" s="1"/>
  <c r="EU21" i="1"/>
  <c r="EW21" i="1" s="1"/>
  <c r="EV11" i="1"/>
  <c r="I20" i="91"/>
  <c r="M20" i="91" s="1"/>
  <c r="EU16" i="1"/>
  <c r="EW16" i="1" s="1"/>
  <c r="M36" i="73"/>
  <c r="EU29" i="1"/>
  <c r="EW29" i="1" s="1"/>
  <c r="M36" i="85"/>
  <c r="EV10" i="1"/>
  <c r="I20" i="90"/>
  <c r="M20" i="90" s="1"/>
  <c r="EV15" i="1"/>
  <c r="I20" i="89"/>
  <c r="M20" i="89" s="1"/>
  <c r="EV14" i="1"/>
  <c r="M36" i="90"/>
  <c r="M36" i="67"/>
  <c r="I20" i="42"/>
  <c r="M20" i="42" s="1"/>
  <c r="AH19" i="3"/>
  <c r="M36" i="91"/>
  <c r="I20" i="94"/>
  <c r="M20" i="94" s="1"/>
  <c r="AH21" i="3"/>
  <c r="M36" i="96"/>
  <c r="I20" i="73"/>
  <c r="I27" i="73" s="1"/>
  <c r="I27" i="80"/>
  <c r="M20" i="80" s="1"/>
  <c r="I54" i="80" s="1"/>
  <c r="P32" i="78"/>
  <c r="L27" i="78"/>
  <c r="K38" i="81"/>
  <c r="K42" i="81" s="1"/>
  <c r="I27" i="92"/>
  <c r="M20" i="92"/>
  <c r="K37" i="82"/>
  <c r="L37" i="82"/>
  <c r="N38" i="71"/>
  <c r="I27" i="93"/>
  <c r="M20" i="93"/>
  <c r="M20" i="69"/>
  <c r="E16" i="79"/>
  <c r="L16" i="79" s="1"/>
  <c r="M20" i="72"/>
  <c r="I27" i="71"/>
  <c r="O32" i="79"/>
  <c r="J27" i="78"/>
  <c r="E17" i="79"/>
  <c r="L17" i="79" s="1"/>
  <c r="BJ5" i="6"/>
  <c r="BM5" i="6" s="1"/>
  <c r="I37" i="79"/>
  <c r="I21" i="85"/>
  <c r="I20" i="79"/>
  <c r="M20" i="79" s="1"/>
  <c r="H20" i="69"/>
  <c r="J24" i="83"/>
  <c r="J24" i="84" s="1"/>
  <c r="J24" i="85" s="1"/>
  <c r="J24" i="86" s="1"/>
  <c r="J24" i="87" s="1"/>
  <c r="J24" i="88" s="1"/>
  <c r="J24" i="89" s="1"/>
  <c r="R5" i="1"/>
  <c r="AO5" i="1"/>
  <c r="I36" i="79"/>
  <c r="K36" i="70"/>
  <c r="K36" i="71" s="1"/>
  <c r="K36" i="72" s="1"/>
  <c r="K36" i="73" s="1"/>
  <c r="K36" i="74" s="1"/>
  <c r="K36" i="75" s="1"/>
  <c r="K36" i="76" s="1"/>
  <c r="I20" i="70"/>
  <c r="M36" i="70"/>
  <c r="L36" i="70"/>
  <c r="L36" i="71" s="1"/>
  <c r="L36" i="72" s="1"/>
  <c r="L36" i="73" s="1"/>
  <c r="L36" i="74" s="1"/>
  <c r="L36" i="75" s="1"/>
  <c r="L36" i="76" s="1"/>
  <c r="L34" i="77" s="1"/>
  <c r="L32" i="70"/>
  <c r="L32" i="71" s="1"/>
  <c r="L32" i="72" s="1"/>
  <c r="L32" i="73" s="1"/>
  <c r="L32" i="74" s="1"/>
  <c r="L32" i="75" s="1"/>
  <c r="L32" i="76" s="1"/>
  <c r="L30" i="77" s="1"/>
  <c r="K10" i="72"/>
  <c r="K10" i="73" s="1"/>
  <c r="K10" i="74" s="1"/>
  <c r="K10" i="75" s="1"/>
  <c r="K10" i="76" s="1"/>
  <c r="K10" i="77" s="1"/>
  <c r="G38" i="81"/>
  <c r="G42" i="81" s="1"/>
  <c r="Q4" i="1"/>
  <c r="H38" i="81"/>
  <c r="H42" i="81" s="1"/>
  <c r="J25" i="94"/>
  <c r="I20" i="95"/>
  <c r="M36" i="95"/>
  <c r="M36" i="81"/>
  <c r="I20" i="81"/>
  <c r="I33" i="79"/>
  <c r="P33" i="79" s="1"/>
  <c r="E10" i="80"/>
  <c r="L10" i="80" s="1"/>
  <c r="F54" i="78"/>
  <c r="G54" i="78"/>
  <c r="E54" i="78"/>
  <c r="H54" i="78"/>
  <c r="N32" i="78"/>
  <c r="EM4" i="1"/>
  <c r="E20" i="79"/>
  <c r="Q5" i="2"/>
  <c r="U5" i="2" s="1"/>
  <c r="C5" i="2"/>
  <c r="G5" i="2" s="1"/>
  <c r="J16" i="69"/>
  <c r="J16" i="70" s="1"/>
  <c r="J18" i="70" s="1"/>
  <c r="J18" i="68"/>
  <c r="G20" i="69"/>
  <c r="K16" i="69"/>
  <c r="K16" i="70" s="1"/>
  <c r="K18" i="70" s="1"/>
  <c r="K18" i="68"/>
  <c r="J9" i="71"/>
  <c r="AH20" i="3"/>
  <c r="AH8" i="3"/>
  <c r="AH6" i="3"/>
  <c r="AH23" i="3"/>
  <c r="C4" i="3"/>
  <c r="G4" i="3" s="1"/>
  <c r="H4" i="2"/>
  <c r="K4" i="2" s="1"/>
  <c r="AH18" i="3"/>
  <c r="AH16" i="3"/>
  <c r="AH17" i="3"/>
  <c r="AH15" i="3"/>
  <c r="AH14" i="3"/>
  <c r="AH11" i="3"/>
  <c r="AH4" i="3"/>
  <c r="AH26" i="3"/>
  <c r="T5" i="6"/>
  <c r="AH13" i="3"/>
  <c r="AH27" i="3"/>
  <c r="AH22" i="3"/>
  <c r="AH29" i="3"/>
  <c r="AH24" i="3"/>
  <c r="L6" i="2"/>
  <c r="P6" i="2" s="1"/>
  <c r="C9" i="1"/>
  <c r="G9" i="1" s="1"/>
  <c r="BF5" i="6"/>
  <c r="M20" i="70" l="1"/>
  <c r="I27" i="70"/>
  <c r="H9" i="70"/>
  <c r="G9" i="71"/>
  <c r="G54" i="88"/>
  <c r="F54" i="88"/>
  <c r="I54" i="88"/>
  <c r="E54" i="88"/>
  <c r="P36" i="79"/>
  <c r="M20" i="67"/>
  <c r="G54" i="67" s="1"/>
  <c r="I27" i="67"/>
  <c r="E26" i="81"/>
  <c r="L26" i="81" s="1"/>
  <c r="F54" i="83"/>
  <c r="I42" i="79"/>
  <c r="P37" i="79"/>
  <c r="P42" i="79" s="1"/>
  <c r="I27" i="83"/>
  <c r="H37" i="89"/>
  <c r="G37" i="89"/>
  <c r="I54" i="83"/>
  <c r="H5" i="1"/>
  <c r="E54" i="83"/>
  <c r="H54" i="83"/>
  <c r="I27" i="91"/>
  <c r="L18" i="79"/>
  <c r="CH5" i="6"/>
  <c r="H6" i="6"/>
  <c r="I6" i="6" s="1"/>
  <c r="CH6" i="6" s="1"/>
  <c r="BI5" i="6"/>
  <c r="CD5" i="6" s="1"/>
  <c r="EF5" i="1"/>
  <c r="EI5" i="1" s="1"/>
  <c r="AB6" i="1"/>
  <c r="X7" i="1" s="1"/>
  <c r="N54" i="71"/>
  <c r="G54" i="69"/>
  <c r="F54" i="69"/>
  <c r="H54" i="69"/>
  <c r="E54" i="69"/>
  <c r="I54" i="69"/>
  <c r="G54" i="42"/>
  <c r="F54" i="42"/>
  <c r="H54" i="42"/>
  <c r="E54" i="42"/>
  <c r="I54" i="42"/>
  <c r="G54" i="93"/>
  <c r="F54" i="93"/>
  <c r="E54" i="93"/>
  <c r="H54" i="93"/>
  <c r="I54" i="93"/>
  <c r="G54" i="92"/>
  <c r="H54" i="92"/>
  <c r="F54" i="92"/>
  <c r="E54" i="92"/>
  <c r="I54" i="92"/>
  <c r="G54" i="96"/>
  <c r="F54" i="96"/>
  <c r="E54" i="96"/>
  <c r="H54" i="96"/>
  <c r="I54" i="96"/>
  <c r="G54" i="72"/>
  <c r="E54" i="72"/>
  <c r="F54" i="72"/>
  <c r="H54" i="72"/>
  <c r="I54" i="72"/>
  <c r="G54" i="94"/>
  <c r="H54" i="94"/>
  <c r="F54" i="94"/>
  <c r="E54" i="94"/>
  <c r="I54" i="94"/>
  <c r="G54" i="90"/>
  <c r="F54" i="90"/>
  <c r="H54" i="90"/>
  <c r="E54" i="90"/>
  <c r="I54" i="90"/>
  <c r="G54" i="91"/>
  <c r="H54" i="91"/>
  <c r="F54" i="91"/>
  <c r="E54" i="91"/>
  <c r="I54" i="91"/>
  <c r="I27" i="96"/>
  <c r="H54" i="80"/>
  <c r="G54" i="80"/>
  <c r="F54" i="80"/>
  <c r="E11" i="84"/>
  <c r="L11" i="84" s="1"/>
  <c r="C10" i="1"/>
  <c r="G10" i="1" s="1"/>
  <c r="Q6" i="2"/>
  <c r="U6" i="2" s="1"/>
  <c r="I27" i="90"/>
  <c r="K34" i="77"/>
  <c r="J12" i="77"/>
  <c r="K38" i="82"/>
  <c r="K42" i="82" s="1"/>
  <c r="J24" i="90"/>
  <c r="J24" i="91" s="1"/>
  <c r="M20" i="81"/>
  <c r="I27" i="81"/>
  <c r="M23" i="81" s="1"/>
  <c r="I27" i="42"/>
  <c r="L38" i="82"/>
  <c r="I27" i="95"/>
  <c r="M20" i="95"/>
  <c r="I27" i="94"/>
  <c r="M20" i="73"/>
  <c r="E54" i="80"/>
  <c r="K37" i="83"/>
  <c r="L37" i="83"/>
  <c r="N38" i="72"/>
  <c r="I27" i="79"/>
  <c r="F54" i="79"/>
  <c r="H20" i="70"/>
  <c r="C6" i="2"/>
  <c r="G6" i="2" s="1"/>
  <c r="N32" i="79"/>
  <c r="N32" i="80" s="1"/>
  <c r="I32" i="79"/>
  <c r="P32" i="79" s="1"/>
  <c r="I38" i="80"/>
  <c r="M36" i="87"/>
  <c r="I20" i="87"/>
  <c r="M20" i="87" s="1"/>
  <c r="AH12" i="3"/>
  <c r="M36" i="86"/>
  <c r="I20" i="86"/>
  <c r="M20" i="86" s="1"/>
  <c r="I20" i="85"/>
  <c r="M20" i="85" s="1"/>
  <c r="AH10" i="3"/>
  <c r="M36" i="89"/>
  <c r="E21" i="86"/>
  <c r="L21" i="86" s="1"/>
  <c r="EO12" i="1"/>
  <c r="K21" i="85"/>
  <c r="K21" i="86" s="1"/>
  <c r="K21" i="87" s="1"/>
  <c r="K21" i="88" s="1"/>
  <c r="K21" i="89" s="1"/>
  <c r="K21" i="90" s="1"/>
  <c r="K21" i="91" s="1"/>
  <c r="K21" i="92" s="1"/>
  <c r="K21" i="93" s="1"/>
  <c r="K21" i="94" s="1"/>
  <c r="K21" i="95" s="1"/>
  <c r="K21" i="96" s="1"/>
  <c r="K21" i="42" s="1"/>
  <c r="K21" i="67" s="1"/>
  <c r="K21" i="68" s="1"/>
  <c r="K21" i="69" s="1"/>
  <c r="K21" i="70" s="1"/>
  <c r="K21" i="71" s="1"/>
  <c r="K21" i="72" s="1"/>
  <c r="K21" i="73" s="1"/>
  <c r="K21" i="74" s="1"/>
  <c r="J21" i="85"/>
  <c r="J21" i="86" s="1"/>
  <c r="J21" i="87" s="1"/>
  <c r="L21" i="85"/>
  <c r="I37" i="80"/>
  <c r="P37" i="80" s="1"/>
  <c r="BJ6" i="6"/>
  <c r="BM6" i="6" s="1"/>
  <c r="J20" i="79"/>
  <c r="J27" i="79" s="1"/>
  <c r="J23" i="84"/>
  <c r="W5" i="1"/>
  <c r="R6" i="1" s="1"/>
  <c r="G20" i="70"/>
  <c r="EJ5" i="1"/>
  <c r="EM5" i="1" s="1"/>
  <c r="EJ6" i="1" s="1"/>
  <c r="L5" i="1"/>
  <c r="J9" i="72"/>
  <c r="AL6" i="1"/>
  <c r="G38" i="82"/>
  <c r="H38" i="82"/>
  <c r="J25" i="95"/>
  <c r="L7" i="2"/>
  <c r="P7" i="2" s="1"/>
  <c r="E10" i="81"/>
  <c r="L10" i="81" s="1"/>
  <c r="N36" i="81"/>
  <c r="N36" i="82" s="1"/>
  <c r="N36" i="83" s="1"/>
  <c r="N36" i="84" s="1"/>
  <c r="M54" i="78"/>
  <c r="I35" i="80"/>
  <c r="P35" i="80" s="1"/>
  <c r="I33" i="80"/>
  <c r="P33" i="80" s="1"/>
  <c r="E12" i="80"/>
  <c r="L12" i="80" s="1"/>
  <c r="L9" i="80"/>
  <c r="E9" i="81" s="1"/>
  <c r="L9" i="81" s="1"/>
  <c r="E9" i="82" s="1"/>
  <c r="C5" i="3"/>
  <c r="E24" i="79"/>
  <c r="L20" i="79"/>
  <c r="E15" i="79"/>
  <c r="L15" i="79" s="1"/>
  <c r="K18" i="69"/>
  <c r="O37" i="71"/>
  <c r="O42" i="71" s="1"/>
  <c r="N37" i="71"/>
  <c r="N42" i="71" s="1"/>
  <c r="J18" i="69"/>
  <c r="K9" i="71"/>
  <c r="K9" i="72" s="1"/>
  <c r="N33" i="67"/>
  <c r="N33" i="68" s="1"/>
  <c r="N33" i="69" s="1"/>
  <c r="O33" i="67"/>
  <c r="O33" i="68" s="1"/>
  <c r="O33" i="69" s="1"/>
  <c r="K3" i="3"/>
  <c r="H4" i="3" s="1"/>
  <c r="E25" i="79" s="1"/>
  <c r="L25" i="79" s="1"/>
  <c r="H5" i="2"/>
  <c r="K5" i="2" s="1"/>
  <c r="W5" i="6"/>
  <c r="J9" i="73" l="1"/>
  <c r="G9" i="72"/>
  <c r="H9" i="71"/>
  <c r="N54" i="88"/>
  <c r="I54" i="67"/>
  <c r="E54" i="67"/>
  <c r="F54" i="67"/>
  <c r="H54" i="67"/>
  <c r="J24" i="92"/>
  <c r="J24" i="93" s="1"/>
  <c r="J24" i="94" s="1"/>
  <c r="J24" i="95" s="1"/>
  <c r="N54" i="83"/>
  <c r="G42" i="82"/>
  <c r="G38" i="83"/>
  <c r="G38" i="84" s="1"/>
  <c r="H42" i="82"/>
  <c r="H38" i="83"/>
  <c r="H38" i="84" s="1"/>
  <c r="G5" i="3"/>
  <c r="C6" i="3" s="1"/>
  <c r="G37" i="90"/>
  <c r="H37" i="90"/>
  <c r="K5" i="1"/>
  <c r="H6" i="1" s="1"/>
  <c r="K38" i="83"/>
  <c r="K42" i="83" s="1"/>
  <c r="L38" i="83"/>
  <c r="L42" i="83" s="1"/>
  <c r="L42" i="82"/>
  <c r="P38" i="80"/>
  <c r="P42" i="80" s="1"/>
  <c r="I42" i="80"/>
  <c r="N54" i="72"/>
  <c r="N54" i="96"/>
  <c r="N54" i="42"/>
  <c r="EB5" i="1"/>
  <c r="EE5" i="1" s="1"/>
  <c r="EF6" i="1"/>
  <c r="EI6" i="1" s="1"/>
  <c r="AB7" i="1"/>
  <c r="X8" i="1" s="1"/>
  <c r="N54" i="92"/>
  <c r="K37" i="84"/>
  <c r="N54" i="94"/>
  <c r="N54" i="69"/>
  <c r="N54" i="93"/>
  <c r="N54" i="91"/>
  <c r="N54" i="90"/>
  <c r="G54" i="73"/>
  <c r="H54" i="73"/>
  <c r="E54" i="73"/>
  <c r="F54" i="73"/>
  <c r="I54" i="73"/>
  <c r="G54" i="89"/>
  <c r="F54" i="89"/>
  <c r="H54" i="89"/>
  <c r="E54" i="89"/>
  <c r="I54" i="89"/>
  <c r="G54" i="87"/>
  <c r="H54" i="87"/>
  <c r="F54" i="87"/>
  <c r="E54" i="87"/>
  <c r="I54" i="87"/>
  <c r="G54" i="95"/>
  <c r="E54" i="95"/>
  <c r="F54" i="95"/>
  <c r="H54" i="95"/>
  <c r="I54" i="95"/>
  <c r="G54" i="70"/>
  <c r="F54" i="70"/>
  <c r="H54" i="70"/>
  <c r="I54" i="70"/>
  <c r="E54" i="70"/>
  <c r="G54" i="86"/>
  <c r="F54" i="86"/>
  <c r="E54" i="86"/>
  <c r="H54" i="86"/>
  <c r="I54" i="86"/>
  <c r="G54" i="81"/>
  <c r="F54" i="81"/>
  <c r="H54" i="81"/>
  <c r="E54" i="81"/>
  <c r="I54" i="81"/>
  <c r="E11" i="85"/>
  <c r="L11" i="85" s="1"/>
  <c r="C11" i="1"/>
  <c r="G11" i="1" s="1"/>
  <c r="E12" i="81"/>
  <c r="L12" i="81" s="1"/>
  <c r="Q7" i="2"/>
  <c r="U7" i="2" s="1"/>
  <c r="L37" i="84"/>
  <c r="N38" i="73"/>
  <c r="O38" i="73"/>
  <c r="O38" i="74" s="1"/>
  <c r="O38" i="75" s="1"/>
  <c r="N37" i="72"/>
  <c r="N42" i="72" s="1"/>
  <c r="O37" i="72"/>
  <c r="O42" i="72" s="1"/>
  <c r="J21" i="88"/>
  <c r="J21" i="89" s="1"/>
  <c r="J21" i="90" s="1"/>
  <c r="J21" i="91" s="1"/>
  <c r="J21" i="92" s="1"/>
  <c r="J21" i="93" s="1"/>
  <c r="J21" i="94" s="1"/>
  <c r="J21" i="95" s="1"/>
  <c r="J21" i="96" s="1"/>
  <c r="J21" i="42" s="1"/>
  <c r="J21" i="67" s="1"/>
  <c r="J21" i="68" s="1"/>
  <c r="J21" i="69" s="1"/>
  <c r="J21" i="70" s="1"/>
  <c r="J21" i="71" s="1"/>
  <c r="J21" i="72" s="1"/>
  <c r="J21" i="73" s="1"/>
  <c r="J21" i="74" s="1"/>
  <c r="C7" i="2"/>
  <c r="G7" i="2" s="1"/>
  <c r="I27" i="85"/>
  <c r="H20" i="71"/>
  <c r="I27" i="89"/>
  <c r="I27" i="86"/>
  <c r="I27" i="87"/>
  <c r="E27" i="79"/>
  <c r="L9" i="82"/>
  <c r="E9" i="83" s="1"/>
  <c r="L9" i="83" s="1"/>
  <c r="J23" i="85"/>
  <c r="J23" i="86" s="1"/>
  <c r="J23" i="87" s="1"/>
  <c r="J23" i="88" s="1"/>
  <c r="J23" i="89" s="1"/>
  <c r="J23" i="90" s="1"/>
  <c r="J23" i="91" s="1"/>
  <c r="J23" i="92" s="1"/>
  <c r="J23" i="93" s="1"/>
  <c r="J23" i="94" s="1"/>
  <c r="J23" i="95" s="1"/>
  <c r="J23" i="96" s="1"/>
  <c r="J23" i="42" s="1"/>
  <c r="J23" i="67" s="1"/>
  <c r="J23" i="68" s="1"/>
  <c r="J23" i="69" s="1"/>
  <c r="J23" i="70" s="1"/>
  <c r="J23" i="71" s="1"/>
  <c r="J23" i="72" s="1"/>
  <c r="I32" i="80"/>
  <c r="P32" i="80" s="1"/>
  <c r="N32" i="81"/>
  <c r="N32" i="82" s="1"/>
  <c r="N32" i="83" s="1"/>
  <c r="N32" i="84" s="1"/>
  <c r="N32" i="85" s="1"/>
  <c r="N32" i="86" s="1"/>
  <c r="N32" i="87" s="1"/>
  <c r="N32" i="88" s="1"/>
  <c r="N32" i="89" s="1"/>
  <c r="N36" i="85"/>
  <c r="N36" i="86" s="1"/>
  <c r="N36" i="87" s="1"/>
  <c r="N36" i="88" s="1"/>
  <c r="N36" i="89" s="1"/>
  <c r="N36" i="90" s="1"/>
  <c r="N36" i="91" s="1"/>
  <c r="N36" i="92" s="1"/>
  <c r="N36" i="93" s="1"/>
  <c r="N36" i="94" s="1"/>
  <c r="N36" i="95" s="1"/>
  <c r="N36" i="96" s="1"/>
  <c r="N36" i="42" s="1"/>
  <c r="ER12" i="1"/>
  <c r="EO13" i="1" s="1"/>
  <c r="E21" i="87"/>
  <c r="L21" i="87" s="1"/>
  <c r="H54" i="79"/>
  <c r="G54" i="79"/>
  <c r="J20" i="80"/>
  <c r="J27" i="80" s="1"/>
  <c r="I37" i="81"/>
  <c r="P37" i="81" s="1"/>
  <c r="BJ7" i="6"/>
  <c r="BM7" i="6" s="1"/>
  <c r="E54" i="79"/>
  <c r="W6" i="1"/>
  <c r="R7" i="1" s="1"/>
  <c r="Q5" i="1"/>
  <c r="L6" i="1" s="1"/>
  <c r="I36" i="80"/>
  <c r="P36" i="80" s="1"/>
  <c r="E20" i="80"/>
  <c r="L20" i="80" s="1"/>
  <c r="E17" i="80"/>
  <c r="L17" i="80" s="1"/>
  <c r="AO6" i="1"/>
  <c r="O33" i="70"/>
  <c r="O33" i="71" s="1"/>
  <c r="O33" i="72" s="1"/>
  <c r="O33" i="73" s="1"/>
  <c r="O33" i="74" s="1"/>
  <c r="O33" i="75" s="1"/>
  <c r="O33" i="76" s="1"/>
  <c r="O31" i="77" s="1"/>
  <c r="N33" i="70"/>
  <c r="N33" i="71" s="1"/>
  <c r="N33" i="72" s="1"/>
  <c r="N33" i="73" s="1"/>
  <c r="N33" i="74" s="1"/>
  <c r="N33" i="75" s="1"/>
  <c r="N33" i="76" s="1"/>
  <c r="N31" i="77" s="1"/>
  <c r="E26" i="82"/>
  <c r="L26" i="82" s="1"/>
  <c r="K38" i="84"/>
  <c r="L24" i="79"/>
  <c r="L27" i="79" s="1"/>
  <c r="J25" i="96"/>
  <c r="EM6" i="1"/>
  <c r="EJ7" i="1" s="1"/>
  <c r="E20" i="81"/>
  <c r="L20" i="81" s="1"/>
  <c r="I36" i="81"/>
  <c r="P36" i="81" s="1"/>
  <c r="L8" i="2"/>
  <c r="P8" i="2" s="1"/>
  <c r="E10" i="82"/>
  <c r="L10" i="82" s="1"/>
  <c r="N54" i="80"/>
  <c r="E15" i="80"/>
  <c r="L15" i="80" s="1"/>
  <c r="E24" i="80"/>
  <c r="E18" i="79"/>
  <c r="K16" i="71"/>
  <c r="K16" i="72" s="1"/>
  <c r="K18" i="72" s="1"/>
  <c r="G20" i="71"/>
  <c r="J16" i="71"/>
  <c r="J16" i="72" s="1"/>
  <c r="J18" i="72" s="1"/>
  <c r="K9" i="73"/>
  <c r="K4" i="3"/>
  <c r="H5" i="3" s="1"/>
  <c r="E25" i="80" s="1"/>
  <c r="L25" i="80" s="1"/>
  <c r="H6" i="2"/>
  <c r="K6" i="2" s="1"/>
  <c r="T6" i="6"/>
  <c r="I35" i="81" s="1"/>
  <c r="P35" i="81" s="1"/>
  <c r="BF6" i="6"/>
  <c r="CE5" i="6"/>
  <c r="G9" i="73" l="1"/>
  <c r="K9" i="74"/>
  <c r="J9" i="74"/>
  <c r="H9" i="72"/>
  <c r="N54" i="67"/>
  <c r="J24" i="96"/>
  <c r="J24" i="42" s="1"/>
  <c r="J24" i="67" s="1"/>
  <c r="J24" i="68" s="1"/>
  <c r="J24" i="69" s="1"/>
  <c r="J24" i="70" s="1"/>
  <c r="H38" i="85"/>
  <c r="H38" i="86" s="1"/>
  <c r="H38" i="87" s="1"/>
  <c r="H38" i="88" s="1"/>
  <c r="H38" i="89" s="1"/>
  <c r="H38" i="90" s="1"/>
  <c r="H38" i="91" s="1"/>
  <c r="H38" i="92" s="1"/>
  <c r="H42" i="84"/>
  <c r="K42" i="84"/>
  <c r="G38" i="85"/>
  <c r="G38" i="86" s="1"/>
  <c r="G38" i="87" s="1"/>
  <c r="G38" i="88" s="1"/>
  <c r="G38" i="89" s="1"/>
  <c r="G38" i="90" s="1"/>
  <c r="G38" i="91" s="1"/>
  <c r="G38" i="92" s="1"/>
  <c r="G42" i="84"/>
  <c r="H42" i="83"/>
  <c r="G42" i="83"/>
  <c r="E24" i="81"/>
  <c r="G6" i="3"/>
  <c r="C7" i="3" s="1"/>
  <c r="G7" i="3" s="1"/>
  <c r="C8" i="3" s="1"/>
  <c r="E26" i="83"/>
  <c r="L26" i="83" s="1"/>
  <c r="K37" i="85"/>
  <c r="K37" i="86" s="1"/>
  <c r="L37" i="85"/>
  <c r="L37" i="86" s="1"/>
  <c r="L37" i="87" s="1"/>
  <c r="N54" i="73"/>
  <c r="H37" i="91"/>
  <c r="G37" i="91"/>
  <c r="K6" i="1"/>
  <c r="H7" i="1" s="1"/>
  <c r="K7" i="1" s="1"/>
  <c r="H8" i="1" s="1"/>
  <c r="K8" i="1" s="1"/>
  <c r="H9" i="1" s="1"/>
  <c r="K9" i="1" s="1"/>
  <c r="L38" i="84"/>
  <c r="L42" i="84" s="1"/>
  <c r="H7" i="6"/>
  <c r="I7" i="6" s="1"/>
  <c r="BI6" i="6"/>
  <c r="CD6" i="6" s="1"/>
  <c r="E17" i="81"/>
  <c r="L17" i="81" s="1"/>
  <c r="EB6" i="1"/>
  <c r="EE6" i="1" s="1"/>
  <c r="AB8" i="1"/>
  <c r="X9" i="1" s="1"/>
  <c r="N54" i="70"/>
  <c r="N54" i="87"/>
  <c r="N54" i="95"/>
  <c r="N54" i="89"/>
  <c r="N54" i="86"/>
  <c r="G54" i="85"/>
  <c r="F54" i="85"/>
  <c r="E54" i="85"/>
  <c r="H54" i="85"/>
  <c r="I54" i="85"/>
  <c r="N54" i="81"/>
  <c r="Q8" i="2"/>
  <c r="E12" i="82"/>
  <c r="L12" i="82" s="1"/>
  <c r="E11" i="86"/>
  <c r="L11" i="86" s="1"/>
  <c r="C12" i="1"/>
  <c r="G12" i="1" s="1"/>
  <c r="C8" i="2"/>
  <c r="N38" i="74"/>
  <c r="E27" i="80"/>
  <c r="I32" i="81"/>
  <c r="P32" i="81" s="1"/>
  <c r="H7" i="2"/>
  <c r="K7" i="2" s="1"/>
  <c r="H20" i="72"/>
  <c r="N32" i="90"/>
  <c r="N32" i="91" s="1"/>
  <c r="E9" i="84"/>
  <c r="L9" i="84" s="1"/>
  <c r="I38" i="81"/>
  <c r="M54" i="79"/>
  <c r="ER13" i="1"/>
  <c r="EO14" i="1" s="1"/>
  <c r="E21" i="88"/>
  <c r="L21" i="88" s="1"/>
  <c r="J20" i="81"/>
  <c r="J27" i="81" s="1"/>
  <c r="I37" i="82"/>
  <c r="P37" i="82" s="1"/>
  <c r="BJ8" i="6"/>
  <c r="BM8" i="6" s="1"/>
  <c r="W7" i="1"/>
  <c r="R8" i="1" s="1"/>
  <c r="Q6" i="1"/>
  <c r="L7" i="1" s="1"/>
  <c r="EB7" i="1" s="1"/>
  <c r="EE7" i="1" s="1"/>
  <c r="E16" i="80"/>
  <c r="L16" i="80" s="1"/>
  <c r="G20" i="72"/>
  <c r="AL7" i="1"/>
  <c r="EF7" i="1" s="1"/>
  <c r="K38" i="85"/>
  <c r="E15" i="81"/>
  <c r="L15" i="81" s="1"/>
  <c r="J25" i="42"/>
  <c r="EM7" i="1"/>
  <c r="EJ8" i="1" s="1"/>
  <c r="I36" i="82"/>
  <c r="P36" i="82" s="1"/>
  <c r="E20" i="82"/>
  <c r="I33" i="81"/>
  <c r="P33" i="81" s="1"/>
  <c r="L9" i="2"/>
  <c r="P9" i="2" s="1"/>
  <c r="E10" i="83"/>
  <c r="L10" i="83" s="1"/>
  <c r="L24" i="81"/>
  <c r="L24" i="80"/>
  <c r="J18" i="71"/>
  <c r="O37" i="73"/>
  <c r="K18" i="71"/>
  <c r="N37" i="73"/>
  <c r="N42" i="73" s="1"/>
  <c r="K5" i="3"/>
  <c r="H6" i="3" s="1"/>
  <c r="E25" i="81" s="1"/>
  <c r="E27" i="81" s="1"/>
  <c r="W6" i="6"/>
  <c r="T7" i="6" s="1"/>
  <c r="P28" i="1"/>
  <c r="P30" i="1"/>
  <c r="P31" i="1"/>
  <c r="P32" i="1"/>
  <c r="R35" i="12"/>
  <c r="AH35" i="12" s="1"/>
  <c r="S35" i="12"/>
  <c r="U35" i="12"/>
  <c r="AC35" i="12" s="1"/>
  <c r="R36" i="12"/>
  <c r="AH36" i="12" s="1"/>
  <c r="S36" i="12"/>
  <c r="U36" i="12"/>
  <c r="AC36" i="12" s="1"/>
  <c r="R37" i="12"/>
  <c r="S37" i="12"/>
  <c r="U37" i="12"/>
  <c r="AC37" i="12" s="1"/>
  <c r="R38" i="12"/>
  <c r="S38" i="12"/>
  <c r="U38" i="12"/>
  <c r="AC38" i="12" s="1"/>
  <c r="R39" i="12"/>
  <c r="S39" i="12"/>
  <c r="U39" i="12"/>
  <c r="AC39" i="12" s="1"/>
  <c r="K9" i="75" l="1"/>
  <c r="H9" i="73"/>
  <c r="G9" i="74"/>
  <c r="J9" i="75"/>
  <c r="N32" i="92"/>
  <c r="N32" i="93" s="1"/>
  <c r="N32" i="94" s="1"/>
  <c r="N32" i="95" s="1"/>
  <c r="N32" i="96" s="1"/>
  <c r="N32" i="42" s="1"/>
  <c r="N32" i="67" s="1"/>
  <c r="N32" i="68" s="1"/>
  <c r="N32" i="69" s="1"/>
  <c r="N32" i="70" s="1"/>
  <c r="N32" i="71" s="1"/>
  <c r="N32" i="72" s="1"/>
  <c r="N32" i="73" s="1"/>
  <c r="N32" i="74" s="1"/>
  <c r="E24" i="82"/>
  <c r="L24" i="82" s="1"/>
  <c r="K42" i="85"/>
  <c r="E24" i="83"/>
  <c r="L24" i="83" s="1"/>
  <c r="G8" i="3"/>
  <c r="C9" i="3" s="1"/>
  <c r="G9" i="3" s="1"/>
  <c r="E9" i="85"/>
  <c r="N38" i="75"/>
  <c r="L38" i="85"/>
  <c r="L42" i="85" s="1"/>
  <c r="AB35" i="12"/>
  <c r="AG35" i="12" s="1"/>
  <c r="L37" i="88"/>
  <c r="AB37" i="12"/>
  <c r="AB39" i="12"/>
  <c r="G37" i="92"/>
  <c r="G37" i="93" s="1"/>
  <c r="H37" i="92"/>
  <c r="H37" i="93" s="1"/>
  <c r="AB38" i="12"/>
  <c r="AB36" i="12"/>
  <c r="AG36" i="12" s="1"/>
  <c r="P38" i="81"/>
  <c r="P42" i="81" s="1"/>
  <c r="I42" i="81"/>
  <c r="AI35" i="12"/>
  <c r="O42" i="73"/>
  <c r="O37" i="74"/>
  <c r="O42" i="74" s="1"/>
  <c r="E17" i="82"/>
  <c r="L17" i="82" s="1"/>
  <c r="EI7" i="1"/>
  <c r="AB9" i="1"/>
  <c r="X10" i="1" s="1"/>
  <c r="AI37" i="12"/>
  <c r="K37" i="87"/>
  <c r="N54" i="85"/>
  <c r="U8" i="2"/>
  <c r="Q9" i="2" s="1"/>
  <c r="U9" i="2" s="1"/>
  <c r="E12" i="83"/>
  <c r="L12" i="83" s="1"/>
  <c r="G8" i="2"/>
  <c r="C9" i="2" s="1"/>
  <c r="E11" i="87"/>
  <c r="L11" i="87" s="1"/>
  <c r="E10" i="84"/>
  <c r="L10" i="84" s="1"/>
  <c r="AI38" i="12"/>
  <c r="AI36" i="12"/>
  <c r="AI39" i="12"/>
  <c r="E33" i="3"/>
  <c r="F33" i="3" s="1"/>
  <c r="N37" i="74"/>
  <c r="N42" i="74" s="1"/>
  <c r="L27" i="80"/>
  <c r="H20" i="73"/>
  <c r="H20" i="74" s="1"/>
  <c r="H20" i="75" s="1"/>
  <c r="I32" i="82"/>
  <c r="P32" i="82" s="1"/>
  <c r="H8" i="2"/>
  <c r="K8" i="2" s="1"/>
  <c r="W8" i="1"/>
  <c r="R9" i="1" s="1"/>
  <c r="J20" i="82"/>
  <c r="J27" i="82" s="1"/>
  <c r="E16" i="81"/>
  <c r="L16" i="81" s="1"/>
  <c r="Q7" i="1"/>
  <c r="L8" i="1" s="1"/>
  <c r="EB8" i="1" s="1"/>
  <c r="EE8" i="1" s="1"/>
  <c r="ER14" i="1"/>
  <c r="EO15" i="1" s="1"/>
  <c r="E21" i="89"/>
  <c r="L21" i="89" s="1"/>
  <c r="I37" i="83"/>
  <c r="P37" i="83" s="1"/>
  <c r="BJ9" i="6"/>
  <c r="BM9" i="6" s="1"/>
  <c r="L18" i="80"/>
  <c r="E18" i="80"/>
  <c r="L20" i="82"/>
  <c r="AO7" i="1"/>
  <c r="G42" i="85"/>
  <c r="K38" i="86"/>
  <c r="K42" i="86" s="1"/>
  <c r="L25" i="81"/>
  <c r="L27" i="81" s="1"/>
  <c r="H42" i="85"/>
  <c r="EM8" i="1"/>
  <c r="EJ9" i="1" s="1"/>
  <c r="I36" i="83"/>
  <c r="P36" i="83" s="1"/>
  <c r="E20" i="83"/>
  <c r="L10" i="2"/>
  <c r="P10" i="2" s="1"/>
  <c r="E15" i="82"/>
  <c r="L15" i="82" s="1"/>
  <c r="J16" i="73"/>
  <c r="K16" i="73"/>
  <c r="G20" i="73"/>
  <c r="K9" i="76"/>
  <c r="H10" i="1"/>
  <c r="K10" i="1" s="1"/>
  <c r="K6" i="3"/>
  <c r="H7" i="3" s="1"/>
  <c r="E25" i="82" s="1"/>
  <c r="E27" i="82" s="1"/>
  <c r="AH39" i="12"/>
  <c r="AN39" i="12"/>
  <c r="AN38" i="12"/>
  <c r="AN37" i="12"/>
  <c r="AN36" i="12"/>
  <c r="AN35" i="12"/>
  <c r="I35" i="82"/>
  <c r="P35" i="82" s="1"/>
  <c r="M24" i="76"/>
  <c r="AN40" i="12"/>
  <c r="AM42" i="97" s="1"/>
  <c r="J32" i="1"/>
  <c r="C13" i="1"/>
  <c r="G13" i="1" s="1"/>
  <c r="BF7" i="6"/>
  <c r="BI7" i="6" s="1"/>
  <c r="CE6" i="6"/>
  <c r="AH38" i="12"/>
  <c r="AH37" i="12"/>
  <c r="P29" i="1"/>
  <c r="P27" i="1"/>
  <c r="K9" i="77" l="1"/>
  <c r="J9" i="76"/>
  <c r="G9" i="75"/>
  <c r="H9" i="74"/>
  <c r="I22" i="77"/>
  <c r="M22" i="77" s="1"/>
  <c r="F34" i="3"/>
  <c r="F35" i="3" s="1"/>
  <c r="L9" i="85"/>
  <c r="E9" i="86" s="1"/>
  <c r="L9" i="86" s="1"/>
  <c r="E9" i="87" s="1"/>
  <c r="L9" i="87" s="1"/>
  <c r="I23" i="77"/>
  <c r="E24" i="84"/>
  <c r="L24" i="84" s="1"/>
  <c r="C10" i="3"/>
  <c r="G10" i="3" s="1"/>
  <c r="O10" i="3"/>
  <c r="L38" i="86"/>
  <c r="L42" i="86" s="1"/>
  <c r="G37" i="94"/>
  <c r="G37" i="95" s="1"/>
  <c r="G37" i="96" s="1"/>
  <c r="G37" i="42" s="1"/>
  <c r="G37" i="67" s="1"/>
  <c r="H37" i="94"/>
  <c r="H37" i="95" s="1"/>
  <c r="H37" i="96" s="1"/>
  <c r="H37" i="42" s="1"/>
  <c r="H37" i="67" s="1"/>
  <c r="L37" i="89"/>
  <c r="CH7" i="6"/>
  <c r="H8" i="6"/>
  <c r="I8" i="6" s="1"/>
  <c r="AM36" i="12"/>
  <c r="AM35" i="12"/>
  <c r="AM33" i="12"/>
  <c r="AM32" i="12"/>
  <c r="W9" i="1"/>
  <c r="R10" i="1" s="1"/>
  <c r="AB10" i="1"/>
  <c r="X11" i="1" s="1"/>
  <c r="K37" i="88"/>
  <c r="G9" i="2"/>
  <c r="C10" i="2" s="1"/>
  <c r="G10" i="2" s="1"/>
  <c r="C11" i="2" s="1"/>
  <c r="G11" i="2" s="1"/>
  <c r="E11" i="88"/>
  <c r="L11" i="88" s="1"/>
  <c r="C14" i="1"/>
  <c r="G14" i="1" s="1"/>
  <c r="I33" i="82"/>
  <c r="P33" i="82" s="1"/>
  <c r="E12" i="84"/>
  <c r="L12" i="84" s="1"/>
  <c r="Q10" i="2"/>
  <c r="U10" i="2" s="1"/>
  <c r="AT35" i="12"/>
  <c r="AT34" i="12"/>
  <c r="AT32" i="12"/>
  <c r="AT33" i="12"/>
  <c r="O38" i="76"/>
  <c r="N38" i="76"/>
  <c r="N37" i="75"/>
  <c r="N42" i="75" s="1"/>
  <c r="CD7" i="6"/>
  <c r="O37" i="75"/>
  <c r="O42" i="75" s="1"/>
  <c r="AG38" i="12"/>
  <c r="AL36" i="12"/>
  <c r="M21" i="77"/>
  <c r="M30" i="77"/>
  <c r="Q8" i="1"/>
  <c r="L9" i="1" s="1"/>
  <c r="I32" i="83"/>
  <c r="P32" i="83" s="1"/>
  <c r="H9" i="2"/>
  <c r="K9" i="2" s="1"/>
  <c r="M23" i="75"/>
  <c r="M23" i="76"/>
  <c r="I38" i="82"/>
  <c r="I42" i="82" s="1"/>
  <c r="J20" i="83"/>
  <c r="J27" i="83" s="1"/>
  <c r="AG39" i="12"/>
  <c r="E18" i="81"/>
  <c r="L18" i="81" s="1"/>
  <c r="ER15" i="1"/>
  <c r="EO16" i="1" s="1"/>
  <c r="E21" i="90"/>
  <c r="L21" i="90" s="1"/>
  <c r="E16" i="82"/>
  <c r="L16" i="82" s="1"/>
  <c r="I37" i="84"/>
  <c r="BJ10" i="6"/>
  <c r="BM10" i="6" s="1"/>
  <c r="AG37" i="12"/>
  <c r="L20" i="83"/>
  <c r="H20" i="76"/>
  <c r="AL8" i="1"/>
  <c r="G42" i="86"/>
  <c r="K38" i="87"/>
  <c r="K42" i="87" s="1"/>
  <c r="L25" i="82"/>
  <c r="L27" i="82" s="1"/>
  <c r="H42" i="86"/>
  <c r="L11" i="2"/>
  <c r="P11" i="2" s="1"/>
  <c r="E10" i="85"/>
  <c r="EM9" i="1"/>
  <c r="EJ10" i="1" s="1"/>
  <c r="I36" i="84"/>
  <c r="P36" i="84" s="1"/>
  <c r="E20" i="84"/>
  <c r="W10" i="1"/>
  <c r="R11" i="1" s="1"/>
  <c r="G20" i="74"/>
  <c r="K16" i="74"/>
  <c r="K18" i="73"/>
  <c r="J16" i="74"/>
  <c r="J18" i="73"/>
  <c r="K7" i="3"/>
  <c r="H8" i="3" s="1"/>
  <c r="E25" i="83" s="1"/>
  <c r="E27" i="83" s="1"/>
  <c r="AW32" i="2"/>
  <c r="AW31" i="2"/>
  <c r="W7" i="6"/>
  <c r="P34" i="1"/>
  <c r="M34" i="6"/>
  <c r="J9" i="77" l="1"/>
  <c r="G9" i="76"/>
  <c r="H9" i="75"/>
  <c r="P37" i="84"/>
  <c r="L38" i="87"/>
  <c r="L42" i="87" s="1"/>
  <c r="E24" i="85"/>
  <c r="L24" i="85" s="1"/>
  <c r="C11" i="3"/>
  <c r="G11" i="3" s="1"/>
  <c r="O11" i="3"/>
  <c r="H37" i="68"/>
  <c r="G37" i="68"/>
  <c r="L37" i="90"/>
  <c r="K37" i="89"/>
  <c r="H11" i="1"/>
  <c r="AL39" i="12"/>
  <c r="AM39" i="12"/>
  <c r="AL38" i="12"/>
  <c r="AM38" i="12"/>
  <c r="EL33" i="1"/>
  <c r="I18" i="77" s="1"/>
  <c r="AM34" i="12"/>
  <c r="AL37" i="12"/>
  <c r="AM37" i="12"/>
  <c r="CH8" i="6"/>
  <c r="H9" i="6"/>
  <c r="I9" i="6" s="1"/>
  <c r="Q9" i="1"/>
  <c r="L10" i="1" s="1"/>
  <c r="EB10" i="1" s="1"/>
  <c r="EE10" i="1" s="1"/>
  <c r="EB9" i="1"/>
  <c r="EE9" i="1" s="1"/>
  <c r="EF8" i="1"/>
  <c r="AB11" i="1"/>
  <c r="X12" i="1" s="1"/>
  <c r="E11" i="89"/>
  <c r="L11" i="89" s="1"/>
  <c r="E12" i="85"/>
  <c r="L12" i="85" s="1"/>
  <c r="Q11" i="2"/>
  <c r="U11" i="2" s="1"/>
  <c r="EL32" i="1"/>
  <c r="EU32" i="1" s="1"/>
  <c r="EL31" i="1"/>
  <c r="EU31" i="1" s="1"/>
  <c r="BF8" i="6"/>
  <c r="N36" i="77"/>
  <c r="O36" i="77"/>
  <c r="N37" i="76"/>
  <c r="N42" i="76" s="1"/>
  <c r="O37" i="76"/>
  <c r="O42" i="76" s="1"/>
  <c r="I32" i="84"/>
  <c r="P32" i="84" s="1"/>
  <c r="H10" i="2"/>
  <c r="K10" i="2" s="1"/>
  <c r="L10" i="85"/>
  <c r="P38" i="82"/>
  <c r="P42" i="82" s="1"/>
  <c r="E15" i="83"/>
  <c r="L15" i="83" s="1"/>
  <c r="AL35" i="12"/>
  <c r="J20" i="84"/>
  <c r="J27" i="84" s="1"/>
  <c r="ER16" i="1"/>
  <c r="EO17" i="1" s="1"/>
  <c r="ER17" i="1" s="1"/>
  <c r="EO18" i="1" s="1"/>
  <c r="E21" i="91"/>
  <c r="L21" i="91" s="1"/>
  <c r="I21" i="76"/>
  <c r="I37" i="85"/>
  <c r="BJ11" i="6"/>
  <c r="BM11" i="6" s="1"/>
  <c r="E16" i="83"/>
  <c r="L16" i="83" s="1"/>
  <c r="AL34" i="12"/>
  <c r="L20" i="84"/>
  <c r="H18" i="77"/>
  <c r="J23" i="73"/>
  <c r="J23" i="74" s="1"/>
  <c r="J23" i="75" s="1"/>
  <c r="AO8" i="1"/>
  <c r="E18" i="82"/>
  <c r="L18" i="82" s="1"/>
  <c r="G42" i="87"/>
  <c r="K38" i="88"/>
  <c r="K42" i="88" s="1"/>
  <c r="L25" i="83"/>
  <c r="L27" i="83" s="1"/>
  <c r="Q10" i="1"/>
  <c r="L11" i="1" s="1"/>
  <c r="EB11" i="1" s="1"/>
  <c r="EE11" i="1" s="1"/>
  <c r="H42" i="87"/>
  <c r="N32" i="75"/>
  <c r="N32" i="76" s="1"/>
  <c r="N30" i="77" s="1"/>
  <c r="I33" i="83"/>
  <c r="P33" i="83" s="1"/>
  <c r="L12" i="2"/>
  <c r="P12" i="2" s="1"/>
  <c r="E10" i="86"/>
  <c r="EM10" i="1"/>
  <c r="EJ11" i="1" s="1"/>
  <c r="I36" i="85"/>
  <c r="P36" i="85" s="1"/>
  <c r="E20" i="85"/>
  <c r="L20" i="85" s="1"/>
  <c r="W11" i="1"/>
  <c r="R12" i="1" s="1"/>
  <c r="G20" i="75"/>
  <c r="J16" i="75"/>
  <c r="J18" i="74"/>
  <c r="K16" i="75"/>
  <c r="K18" i="74"/>
  <c r="K8" i="3"/>
  <c r="H9" i="3" s="1"/>
  <c r="E27" i="84" s="1"/>
  <c r="AL32" i="12"/>
  <c r="T8" i="6"/>
  <c r="I35" i="83" s="1"/>
  <c r="P35" i="83" s="1"/>
  <c r="AH33" i="3"/>
  <c r="AL33" i="12"/>
  <c r="C15" i="1"/>
  <c r="G15" i="1" s="1"/>
  <c r="C12" i="2"/>
  <c r="G12" i="2" s="1"/>
  <c r="CE7" i="6"/>
  <c r="L38" i="88" l="1"/>
  <c r="L42" i="88" s="1"/>
  <c r="G9" i="77"/>
  <c r="H9" i="76"/>
  <c r="I25" i="77"/>
  <c r="M18" i="77"/>
  <c r="M34" i="77"/>
  <c r="E24" i="86"/>
  <c r="L24" i="86" s="1"/>
  <c r="E26" i="87"/>
  <c r="L26" i="87" s="1"/>
  <c r="O12" i="3"/>
  <c r="G37" i="69"/>
  <c r="H37" i="69"/>
  <c r="K37" i="90"/>
  <c r="L37" i="91"/>
  <c r="P37" i="85"/>
  <c r="K11" i="1"/>
  <c r="H12" i="1" s="1"/>
  <c r="K12" i="1" s="1"/>
  <c r="H13" i="1" s="1"/>
  <c r="K13" i="1" s="1"/>
  <c r="CH9" i="6"/>
  <c r="H10" i="6"/>
  <c r="I10" i="6" s="1"/>
  <c r="BI8" i="6"/>
  <c r="CD8" i="6" s="1"/>
  <c r="EI8" i="1"/>
  <c r="E17" i="83"/>
  <c r="L17" i="83" s="1"/>
  <c r="AB12" i="1"/>
  <c r="X13" i="1" s="1"/>
  <c r="ER18" i="1"/>
  <c r="E21" i="93"/>
  <c r="L21" i="93" s="1"/>
  <c r="E15" i="85"/>
  <c r="E11" i="90"/>
  <c r="L11" i="90" s="1"/>
  <c r="C16" i="1"/>
  <c r="G16" i="1" s="1"/>
  <c r="E12" i="86"/>
  <c r="L12" i="86" s="1"/>
  <c r="Q12" i="2"/>
  <c r="U12" i="2" s="1"/>
  <c r="I38" i="83"/>
  <c r="I32" i="85"/>
  <c r="P32" i="85" s="1"/>
  <c r="H11" i="2"/>
  <c r="K11" i="2" s="1"/>
  <c r="E15" i="84"/>
  <c r="L15" i="84" s="1"/>
  <c r="J20" i="85"/>
  <c r="J27" i="85" s="1"/>
  <c r="E21" i="92"/>
  <c r="L21" i="92" s="1"/>
  <c r="AH32" i="3"/>
  <c r="I37" i="86"/>
  <c r="BJ12" i="6"/>
  <c r="BM12" i="6" s="1"/>
  <c r="J23" i="76"/>
  <c r="AL9" i="1"/>
  <c r="G42" i="88"/>
  <c r="K38" i="89"/>
  <c r="K42" i="89" s="1"/>
  <c r="Q11" i="1"/>
  <c r="L12" i="1" s="1"/>
  <c r="EB12" i="1" s="1"/>
  <c r="EE12" i="1" s="1"/>
  <c r="L38" i="89"/>
  <c r="L42" i="89" s="1"/>
  <c r="H42" i="88"/>
  <c r="EM11" i="1"/>
  <c r="EJ12" i="1" s="1"/>
  <c r="E20" i="86"/>
  <c r="I36" i="86"/>
  <c r="P36" i="86" s="1"/>
  <c r="E9" i="88"/>
  <c r="L9" i="88" s="1"/>
  <c r="E9" i="89" s="1"/>
  <c r="L9" i="89" s="1"/>
  <c r="L13" i="2"/>
  <c r="P13" i="2" s="1"/>
  <c r="E10" i="87"/>
  <c r="L10" i="87" s="1"/>
  <c r="L10" i="86"/>
  <c r="L27" i="84"/>
  <c r="I33" i="84"/>
  <c r="P33" i="84" s="1"/>
  <c r="W12" i="1"/>
  <c r="R13" i="1" s="1"/>
  <c r="J16" i="76"/>
  <c r="J18" i="75"/>
  <c r="N35" i="77"/>
  <c r="N40" i="77" s="1"/>
  <c r="K16" i="76"/>
  <c r="K18" i="75"/>
  <c r="O35" i="77"/>
  <c r="O40" i="77" s="1"/>
  <c r="G20" i="76"/>
  <c r="B37" i="55" s="1"/>
  <c r="J37" i="55" s="1"/>
  <c r="K9" i="3"/>
  <c r="H10" i="3" s="1"/>
  <c r="E27" i="85" s="1"/>
  <c r="W8" i="6"/>
  <c r="T9" i="6" s="1"/>
  <c r="I35" i="84" s="1"/>
  <c r="P35" i="84" s="1"/>
  <c r="J31" i="1"/>
  <c r="C12" i="3"/>
  <c r="G12" i="3" s="1"/>
  <c r="C13" i="2"/>
  <c r="G13" i="2" s="1"/>
  <c r="N39" i="12"/>
  <c r="N34" i="12"/>
  <c r="N35" i="12"/>
  <c r="N36" i="12"/>
  <c r="N37" i="12"/>
  <c r="N38" i="12"/>
  <c r="M34" i="12"/>
  <c r="M35" i="12"/>
  <c r="M36" i="12"/>
  <c r="M37" i="12"/>
  <c r="M38" i="12"/>
  <c r="M39" i="12"/>
  <c r="H9" i="77" l="1"/>
  <c r="E24" i="87"/>
  <c r="L24" i="87" s="1"/>
  <c r="E26" i="88"/>
  <c r="L26" i="88" s="1"/>
  <c r="O13" i="3"/>
  <c r="G37" i="70"/>
  <c r="BF9" i="6"/>
  <c r="BI9" i="6" s="1"/>
  <c r="CD9" i="6" s="1"/>
  <c r="H37" i="70"/>
  <c r="H37" i="71" s="1"/>
  <c r="L37" i="92"/>
  <c r="L37" i="93" s="1"/>
  <c r="L37" i="94" s="1"/>
  <c r="L37" i="95" s="1"/>
  <c r="L37" i="96" s="1"/>
  <c r="L37" i="42" s="1"/>
  <c r="K37" i="91"/>
  <c r="P37" i="86"/>
  <c r="P38" i="83"/>
  <c r="P42" i="83" s="1"/>
  <c r="I42" i="83"/>
  <c r="EF9" i="1"/>
  <c r="AB13" i="1"/>
  <c r="X14" i="1" s="1"/>
  <c r="E11" i="91"/>
  <c r="L11" i="91" s="1"/>
  <c r="E12" i="87"/>
  <c r="L12" i="87" s="1"/>
  <c r="Q13" i="2"/>
  <c r="U13" i="2" s="1"/>
  <c r="I32" i="86"/>
  <c r="P32" i="86" s="1"/>
  <c r="H12" i="2"/>
  <c r="K12" i="2" s="1"/>
  <c r="L15" i="85"/>
  <c r="J20" i="86"/>
  <c r="J27" i="86" s="1"/>
  <c r="EO19" i="1"/>
  <c r="M36" i="76"/>
  <c r="I20" i="76"/>
  <c r="M20" i="76" s="1"/>
  <c r="I37" i="87"/>
  <c r="BJ13" i="6"/>
  <c r="BM13" i="6" s="1"/>
  <c r="J21" i="77"/>
  <c r="E16" i="84"/>
  <c r="L16" i="84" s="1"/>
  <c r="AO9" i="1"/>
  <c r="AL10" i="1" s="1"/>
  <c r="E18" i="83"/>
  <c r="L18" i="83" s="1"/>
  <c r="G42" i="89"/>
  <c r="K38" i="90"/>
  <c r="K42" i="90" s="1"/>
  <c r="L27" i="85"/>
  <c r="Q12" i="1"/>
  <c r="L13" i="1" s="1"/>
  <c r="EB13" i="1" s="1"/>
  <c r="EE13" i="1" s="1"/>
  <c r="H42" i="89"/>
  <c r="L38" i="90"/>
  <c r="L42" i="90" s="1"/>
  <c r="L20" i="86"/>
  <c r="EM12" i="1"/>
  <c r="EJ13" i="1" s="1"/>
  <c r="I36" i="87"/>
  <c r="P36" i="87" s="1"/>
  <c r="E20" i="87"/>
  <c r="L14" i="2"/>
  <c r="P14" i="2" s="1"/>
  <c r="E10" i="88"/>
  <c r="L10" i="88" s="1"/>
  <c r="E52" i="77"/>
  <c r="G52" i="77"/>
  <c r="F52" i="77"/>
  <c r="H52" i="77"/>
  <c r="W13" i="1"/>
  <c r="R14" i="1" s="1"/>
  <c r="K14" i="77"/>
  <c r="K16" i="77" s="1"/>
  <c r="K18" i="76"/>
  <c r="G18" i="77"/>
  <c r="J14" i="77"/>
  <c r="J18" i="76"/>
  <c r="H14" i="1"/>
  <c r="K14" i="1" s="1"/>
  <c r="K10" i="3"/>
  <c r="H11" i="3" s="1"/>
  <c r="E27" i="86" s="1"/>
  <c r="W9" i="6"/>
  <c r="T10" i="6" s="1"/>
  <c r="I35" i="85" s="1"/>
  <c r="P35" i="85" s="1"/>
  <c r="J34" i="1"/>
  <c r="J35" i="1" s="1"/>
  <c r="C17" i="1"/>
  <c r="G17" i="1" s="1"/>
  <c r="C13" i="3"/>
  <c r="G13" i="3" s="1"/>
  <c r="C14" i="2"/>
  <c r="G14" i="2" s="1"/>
  <c r="CE8" i="6"/>
  <c r="AM31" i="12"/>
  <c r="M24" i="75"/>
  <c r="I38" i="84" l="1"/>
  <c r="I42" i="84" s="1"/>
  <c r="M52" i="77"/>
  <c r="E24" i="88"/>
  <c r="L24" i="88" s="1"/>
  <c r="E26" i="89"/>
  <c r="L26" i="89" s="1"/>
  <c r="O14" i="3"/>
  <c r="G37" i="71"/>
  <c r="H37" i="72"/>
  <c r="H37" i="73" s="1"/>
  <c r="P37" i="87"/>
  <c r="K37" i="92"/>
  <c r="K37" i="93" s="1"/>
  <c r="K37" i="94" s="1"/>
  <c r="K37" i="95" s="1"/>
  <c r="K37" i="96" s="1"/>
  <c r="K37" i="42" s="1"/>
  <c r="CH10" i="6"/>
  <c r="H11" i="6"/>
  <c r="I11" i="6" s="1"/>
  <c r="EI9" i="1"/>
  <c r="E17" i="84"/>
  <c r="L17" i="84" s="1"/>
  <c r="EF10" i="1"/>
  <c r="AB14" i="1"/>
  <c r="X15" i="1" s="1"/>
  <c r="E11" i="92"/>
  <c r="L11" i="92" s="1"/>
  <c r="C18" i="1"/>
  <c r="G18" i="1" s="1"/>
  <c r="E12" i="88"/>
  <c r="L12" i="88" s="1"/>
  <c r="Q14" i="2"/>
  <c r="U14" i="2" s="1"/>
  <c r="AG40" i="12"/>
  <c r="AF42" i="97" s="1"/>
  <c r="J16" i="77"/>
  <c r="CE9" i="6"/>
  <c r="P38" i="84"/>
  <c r="P42" i="84" s="1"/>
  <c r="AT31" i="12"/>
  <c r="AT40" i="12" s="1"/>
  <c r="AS42" i="97" s="1"/>
  <c r="I32" i="87"/>
  <c r="P32" i="87" s="1"/>
  <c r="H13" i="2"/>
  <c r="K13" i="2" s="1"/>
  <c r="I27" i="76"/>
  <c r="J20" i="87"/>
  <c r="J27" i="87" s="1"/>
  <c r="E15" i="86"/>
  <c r="L15" i="86" s="1"/>
  <c r="ER19" i="1"/>
  <c r="EO20" i="1" s="1"/>
  <c r="E21" i="94"/>
  <c r="L21" i="94" s="1"/>
  <c r="I37" i="88"/>
  <c r="BJ14" i="6"/>
  <c r="BM14" i="6" s="1"/>
  <c r="E16" i="85"/>
  <c r="L16" i="85" s="1"/>
  <c r="L20" i="87"/>
  <c r="AO10" i="1"/>
  <c r="AL11" i="1" s="1"/>
  <c r="G42" i="90"/>
  <c r="K38" i="91"/>
  <c r="K42" i="91" s="1"/>
  <c r="L27" i="86"/>
  <c r="Q13" i="1"/>
  <c r="L14" i="1" s="1"/>
  <c r="EB14" i="1" s="1"/>
  <c r="EE14" i="1" s="1"/>
  <c r="L37" i="67"/>
  <c r="H42" i="90"/>
  <c r="L38" i="91"/>
  <c r="L42" i="91" s="1"/>
  <c r="EM13" i="1"/>
  <c r="EJ14" i="1" s="1"/>
  <c r="I36" i="88"/>
  <c r="P36" i="88" s="1"/>
  <c r="E20" i="88"/>
  <c r="E9" i="90"/>
  <c r="L9" i="90" s="1"/>
  <c r="L15" i="2"/>
  <c r="P15" i="2" s="1"/>
  <c r="E10" i="89"/>
  <c r="L10" i="89" s="1"/>
  <c r="I33" i="85"/>
  <c r="P33" i="85" s="1"/>
  <c r="W14" i="1"/>
  <c r="R15" i="1" s="1"/>
  <c r="N36" i="67"/>
  <c r="N36" i="68" s="1"/>
  <c r="N36" i="69" s="1"/>
  <c r="H15" i="1"/>
  <c r="K15" i="1" s="1"/>
  <c r="K11" i="3"/>
  <c r="H12" i="3" s="1"/>
  <c r="E25" i="87" s="1"/>
  <c r="E27" i="87" s="1"/>
  <c r="W10" i="6"/>
  <c r="T11" i="6" s="1"/>
  <c r="I35" i="86" s="1"/>
  <c r="P35" i="86" s="1"/>
  <c r="E34" i="3"/>
  <c r="C14" i="3"/>
  <c r="G14" i="3" s="1"/>
  <c r="C15" i="2"/>
  <c r="G15" i="2" s="1"/>
  <c r="E24" i="89" l="1"/>
  <c r="L24" i="89" s="1"/>
  <c r="C15" i="3"/>
  <c r="G15" i="3" s="1"/>
  <c r="E26" i="90"/>
  <c r="L26" i="90" s="1"/>
  <c r="G37" i="72"/>
  <c r="G37" i="73" s="1"/>
  <c r="G37" i="74" s="1"/>
  <c r="H37" i="74"/>
  <c r="K37" i="67"/>
  <c r="CH11" i="6"/>
  <c r="H12" i="6"/>
  <c r="I12" i="6" s="1"/>
  <c r="EI10" i="1"/>
  <c r="E17" i="85"/>
  <c r="L17" i="85" s="1"/>
  <c r="EF11" i="1"/>
  <c r="AB15" i="1"/>
  <c r="X16" i="1" s="1"/>
  <c r="G54" i="76"/>
  <c r="F54" i="76"/>
  <c r="H54" i="76"/>
  <c r="E54" i="76"/>
  <c r="I54" i="76"/>
  <c r="E11" i="93"/>
  <c r="L11" i="93" s="1"/>
  <c r="E12" i="89"/>
  <c r="L12" i="89" s="1"/>
  <c r="Q15" i="2"/>
  <c r="U15" i="2" s="1"/>
  <c r="EL30" i="1"/>
  <c r="EU30" i="1" s="1"/>
  <c r="EW30" i="1" s="1"/>
  <c r="AM40" i="12"/>
  <c r="AL42" i="97" s="1"/>
  <c r="P37" i="88"/>
  <c r="AL31" i="12"/>
  <c r="AL40" i="12" s="1"/>
  <c r="AK42" i="97" s="1"/>
  <c r="I32" i="88"/>
  <c r="P32" i="88" s="1"/>
  <c r="H14" i="2"/>
  <c r="K14" i="2" s="1"/>
  <c r="E15" i="87"/>
  <c r="L15" i="87" s="1"/>
  <c r="J20" i="88"/>
  <c r="J27" i="88" s="1"/>
  <c r="ER20" i="1"/>
  <c r="EO21" i="1" s="1"/>
  <c r="E21" i="95"/>
  <c r="L21" i="95" s="1"/>
  <c r="EQ35" i="1"/>
  <c r="I21" i="75"/>
  <c r="I37" i="89"/>
  <c r="P37" i="89" s="1"/>
  <c r="BJ15" i="6"/>
  <c r="BM15" i="6" s="1"/>
  <c r="E16" i="86"/>
  <c r="L16" i="86" s="1"/>
  <c r="N36" i="70"/>
  <c r="N36" i="71" s="1"/>
  <c r="N36" i="72" s="1"/>
  <c r="N36" i="73" s="1"/>
  <c r="L20" i="88"/>
  <c r="AO11" i="1"/>
  <c r="AL12" i="1" s="1"/>
  <c r="E18" i="84"/>
  <c r="L18" i="84" s="1"/>
  <c r="G42" i="91"/>
  <c r="K38" i="92"/>
  <c r="K42" i="92" s="1"/>
  <c r="L25" i="87"/>
  <c r="L27" i="87" s="1"/>
  <c r="Q14" i="1"/>
  <c r="L15" i="1" s="1"/>
  <c r="EB15" i="1" s="1"/>
  <c r="EE15" i="1" s="1"/>
  <c r="E9" i="91"/>
  <c r="L9" i="91" s="1"/>
  <c r="E9" i="92" s="1"/>
  <c r="L9" i="92" s="1"/>
  <c r="H42" i="91"/>
  <c r="L38" i="92"/>
  <c r="L42" i="92" s="1"/>
  <c r="L37" i="68"/>
  <c r="I33" i="86"/>
  <c r="P33" i="86" s="1"/>
  <c r="EM14" i="1"/>
  <c r="EJ15" i="1" s="1"/>
  <c r="E20" i="89"/>
  <c r="L20" i="89" s="1"/>
  <c r="I36" i="89"/>
  <c r="P36" i="89" s="1"/>
  <c r="L16" i="2"/>
  <c r="P16" i="2" s="1"/>
  <c r="E10" i="90"/>
  <c r="L10" i="90" s="1"/>
  <c r="W15" i="1"/>
  <c r="R16" i="1" s="1"/>
  <c r="H16" i="1"/>
  <c r="K16" i="1" s="1"/>
  <c r="K12" i="3"/>
  <c r="H13" i="3" s="1"/>
  <c r="E25" i="88" s="1"/>
  <c r="E27" i="88" s="1"/>
  <c r="W11" i="6"/>
  <c r="BF10" i="6"/>
  <c r="BI10" i="6" s="1"/>
  <c r="C16" i="2"/>
  <c r="G16" i="2" s="1"/>
  <c r="E24" i="90" l="1"/>
  <c r="L24" i="90" s="1"/>
  <c r="E26" i="91"/>
  <c r="L26" i="91" s="1"/>
  <c r="G37" i="75"/>
  <c r="H37" i="75"/>
  <c r="N54" i="76"/>
  <c r="K37" i="68"/>
  <c r="CH12" i="6"/>
  <c r="H13" i="6"/>
  <c r="I13" i="6" s="1"/>
  <c r="EI11" i="1"/>
  <c r="E17" i="86"/>
  <c r="L17" i="86" s="1"/>
  <c r="EF12" i="1"/>
  <c r="I20" i="74"/>
  <c r="I27" i="74" s="1"/>
  <c r="M36" i="74"/>
  <c r="N36" i="74" s="1"/>
  <c r="EL34" i="1"/>
  <c r="E12" i="90"/>
  <c r="L12" i="90" s="1"/>
  <c r="Q16" i="2"/>
  <c r="U16" i="2" s="1"/>
  <c r="T12" i="6"/>
  <c r="I35" i="87" s="1"/>
  <c r="P35" i="87" s="1"/>
  <c r="CD10" i="6"/>
  <c r="CE10" i="6" s="1"/>
  <c r="I32" i="89"/>
  <c r="P32" i="89" s="1"/>
  <c r="H15" i="2"/>
  <c r="K15" i="2" s="1"/>
  <c r="J20" i="89"/>
  <c r="J27" i="89" s="1"/>
  <c r="E15" i="88"/>
  <c r="L15" i="88" s="1"/>
  <c r="ER21" i="1"/>
  <c r="EO22" i="1" s="1"/>
  <c r="E21" i="96"/>
  <c r="L21" i="96" s="1"/>
  <c r="J21" i="75"/>
  <c r="J21" i="76" s="1"/>
  <c r="J19" i="77" s="1"/>
  <c r="K21" i="75"/>
  <c r="K21" i="76" s="1"/>
  <c r="K19" i="77" s="1"/>
  <c r="I20" i="75"/>
  <c r="I27" i="75" s="1"/>
  <c r="M36" i="75"/>
  <c r="E16" i="87"/>
  <c r="L16" i="87" s="1"/>
  <c r="AO12" i="1"/>
  <c r="AL13" i="1" s="1"/>
  <c r="C19" i="1"/>
  <c r="G19" i="1" s="1"/>
  <c r="E18" i="85"/>
  <c r="L18" i="85" s="1"/>
  <c r="K38" i="93"/>
  <c r="K42" i="93" s="1"/>
  <c r="I37" i="90"/>
  <c r="BJ16" i="6"/>
  <c r="BM16" i="6" s="1"/>
  <c r="L25" i="88"/>
  <c r="L27" i="88" s="1"/>
  <c r="Q15" i="1"/>
  <c r="L16" i="1" s="1"/>
  <c r="EB16" i="1" s="1"/>
  <c r="EE16" i="1" s="1"/>
  <c r="L38" i="93"/>
  <c r="L42" i="93" s="1"/>
  <c r="L37" i="69"/>
  <c r="L37" i="70" s="1"/>
  <c r="H42" i="92"/>
  <c r="AB16" i="1"/>
  <c r="X17" i="1" s="1"/>
  <c r="I33" i="87"/>
  <c r="P33" i="87" s="1"/>
  <c r="L17" i="2"/>
  <c r="P17" i="2" s="1"/>
  <c r="E10" i="91"/>
  <c r="L10" i="91" s="1"/>
  <c r="EM15" i="1"/>
  <c r="EJ16" i="1" s="1"/>
  <c r="I36" i="90"/>
  <c r="P36" i="90" s="1"/>
  <c r="E20" i="90"/>
  <c r="L20" i="90" s="1"/>
  <c r="I38" i="85"/>
  <c r="W16" i="1"/>
  <c r="R17" i="1" s="1"/>
  <c r="AH31" i="3"/>
  <c r="K13" i="3"/>
  <c r="H14" i="3" s="1"/>
  <c r="E25" i="89" s="1"/>
  <c r="E27" i="89" s="1"/>
  <c r="C17" i="2"/>
  <c r="G17" i="2" s="1"/>
  <c r="C16" i="3"/>
  <c r="G16" i="3" s="1"/>
  <c r="G42" i="92" l="1"/>
  <c r="G38" i="93"/>
  <c r="E24" i="91"/>
  <c r="L24" i="91" s="1"/>
  <c r="E26" i="92"/>
  <c r="L26" i="92" s="1"/>
  <c r="G37" i="76"/>
  <c r="H37" i="76"/>
  <c r="K37" i="69"/>
  <c r="K37" i="70" s="1"/>
  <c r="P37" i="90"/>
  <c r="P38" i="85"/>
  <c r="P42" i="85" s="1"/>
  <c r="I42" i="85"/>
  <c r="H17" i="1"/>
  <c r="CH13" i="6"/>
  <c r="H14" i="6"/>
  <c r="I14" i="6" s="1"/>
  <c r="M20" i="74"/>
  <c r="F54" i="74" s="1"/>
  <c r="EF13" i="1"/>
  <c r="EI12" i="1"/>
  <c r="E17" i="87"/>
  <c r="L17" i="87" s="1"/>
  <c r="AB17" i="1"/>
  <c r="X18" i="1" s="1"/>
  <c r="C20" i="1"/>
  <c r="G20" i="1" s="1"/>
  <c r="E12" i="91"/>
  <c r="L12" i="91" s="1"/>
  <c r="W12" i="6"/>
  <c r="T13" i="6" s="1"/>
  <c r="I35" i="88" s="1"/>
  <c r="P35" i="88" s="1"/>
  <c r="BF11" i="6"/>
  <c r="I32" i="90"/>
  <c r="P32" i="90" s="1"/>
  <c r="H16" i="2"/>
  <c r="K16" i="2" s="1"/>
  <c r="M20" i="75"/>
  <c r="K20" i="78"/>
  <c r="K20" i="79" s="1"/>
  <c r="K20" i="80" s="1"/>
  <c r="O36" i="78"/>
  <c r="O36" i="79" s="1"/>
  <c r="O36" i="80" s="1"/>
  <c r="O36" i="81" s="1"/>
  <c r="O36" i="82" s="1"/>
  <c r="O36" i="83" s="1"/>
  <c r="O36" i="84" s="1"/>
  <c r="O36" i="85" s="1"/>
  <c r="O36" i="86" s="1"/>
  <c r="O36" i="87" s="1"/>
  <c r="O36" i="88" s="1"/>
  <c r="O36" i="89" s="1"/>
  <c r="O36" i="90" s="1"/>
  <c r="O36" i="91" s="1"/>
  <c r="O36" i="92" s="1"/>
  <c r="O36" i="93" s="1"/>
  <c r="O36" i="94" s="1"/>
  <c r="O36" i="95" s="1"/>
  <c r="O36" i="96" s="1"/>
  <c r="O36" i="42" s="1"/>
  <c r="O36" i="67" s="1"/>
  <c r="O36" i="68" s="1"/>
  <c r="O36" i="69" s="1"/>
  <c r="O36" i="70" s="1"/>
  <c r="O36" i="71" s="1"/>
  <c r="O36" i="72" s="1"/>
  <c r="O36" i="73" s="1"/>
  <c r="O36" i="74" s="1"/>
  <c r="O36" i="75" s="1"/>
  <c r="O36" i="76" s="1"/>
  <c r="O34" i="77" s="1"/>
  <c r="EL35" i="1"/>
  <c r="E15" i="89"/>
  <c r="L15" i="89" s="1"/>
  <c r="J20" i="90"/>
  <c r="J27" i="90" s="1"/>
  <c r="ER22" i="1"/>
  <c r="EO23" i="1" s="1"/>
  <c r="E21" i="42"/>
  <c r="L21" i="42" s="1"/>
  <c r="N36" i="75"/>
  <c r="N36" i="76" s="1"/>
  <c r="N34" i="77" s="1"/>
  <c r="I37" i="91"/>
  <c r="BJ17" i="6"/>
  <c r="BM17" i="6" s="1"/>
  <c r="E16" i="88"/>
  <c r="L16" i="88" s="1"/>
  <c r="Q17" i="2"/>
  <c r="U17" i="2" s="1"/>
  <c r="AO13" i="1"/>
  <c r="AL14" i="1" s="1"/>
  <c r="E11" i="94"/>
  <c r="L11" i="94" s="1"/>
  <c r="E18" i="86"/>
  <c r="L18" i="86" s="1"/>
  <c r="G42" i="93"/>
  <c r="K38" i="94"/>
  <c r="K42" i="94" s="1"/>
  <c r="L25" i="89"/>
  <c r="L27" i="89" s="1"/>
  <c r="Q16" i="1"/>
  <c r="L17" i="1" s="1"/>
  <c r="EB17" i="1" s="1"/>
  <c r="EE17" i="1" s="1"/>
  <c r="H38" i="93"/>
  <c r="H42" i="93" s="1"/>
  <c r="L38" i="94"/>
  <c r="L42" i="94" s="1"/>
  <c r="I33" i="88"/>
  <c r="P33" i="88" s="1"/>
  <c r="E9" i="93"/>
  <c r="L9" i="93" s="1"/>
  <c r="L18" i="2"/>
  <c r="P18" i="2" s="1"/>
  <c r="E10" i="92"/>
  <c r="L10" i="92" s="1"/>
  <c r="EM16" i="1"/>
  <c r="EJ17" i="1" s="1"/>
  <c r="I36" i="91"/>
  <c r="P36" i="91" s="1"/>
  <c r="E20" i="91"/>
  <c r="L20" i="91" s="1"/>
  <c r="W17" i="1"/>
  <c r="R18" i="1" s="1"/>
  <c r="K14" i="3"/>
  <c r="H15" i="3" s="1"/>
  <c r="E25" i="90" s="1"/>
  <c r="E27" i="90" s="1"/>
  <c r="C17" i="3"/>
  <c r="G17" i="3" s="1"/>
  <c r="C18" i="2"/>
  <c r="G18" i="2" s="1"/>
  <c r="K37" i="71" l="1"/>
  <c r="K37" i="72" s="1"/>
  <c r="K37" i="73" s="1"/>
  <c r="K37" i="74" s="1"/>
  <c r="K37" i="75" s="1"/>
  <c r="K37" i="76" s="1"/>
  <c r="K35" i="77" s="1"/>
  <c r="E24" i="92"/>
  <c r="E26" i="93"/>
  <c r="L26" i="93" s="1"/>
  <c r="G35" i="77"/>
  <c r="H35" i="77"/>
  <c r="P37" i="91"/>
  <c r="K17" i="1"/>
  <c r="H18" i="1" s="1"/>
  <c r="K18" i="1" s="1"/>
  <c r="CH14" i="6"/>
  <c r="H15" i="6"/>
  <c r="I15" i="6" s="1"/>
  <c r="BI11" i="6"/>
  <c r="CD11" i="6" s="1"/>
  <c r="CE11" i="6" s="1"/>
  <c r="G54" i="74"/>
  <c r="I54" i="74"/>
  <c r="E54" i="74"/>
  <c r="H54" i="74"/>
  <c r="EI13" i="1"/>
  <c r="E17" i="88"/>
  <c r="L17" i="88" s="1"/>
  <c r="EF14" i="1"/>
  <c r="AB18" i="1"/>
  <c r="X19" i="1" s="1"/>
  <c r="G54" i="75"/>
  <c r="H54" i="75"/>
  <c r="F54" i="75"/>
  <c r="E54" i="75"/>
  <c r="I54" i="75"/>
  <c r="C21" i="1"/>
  <c r="G21" i="1" s="1"/>
  <c r="E11" i="95"/>
  <c r="L11" i="95" s="1"/>
  <c r="E12" i="92"/>
  <c r="L12" i="92" s="1"/>
  <c r="Q18" i="2"/>
  <c r="U18" i="2" s="1"/>
  <c r="W13" i="6"/>
  <c r="T14" i="6" s="1"/>
  <c r="I35" i="89" s="1"/>
  <c r="P35" i="89" s="1"/>
  <c r="E26" i="94"/>
  <c r="L26" i="94" s="1"/>
  <c r="I38" i="86"/>
  <c r="I42" i="86" s="1"/>
  <c r="K20" i="81"/>
  <c r="K20" i="82" s="1"/>
  <c r="K20" i="83" s="1"/>
  <c r="K20" i="84" s="1"/>
  <c r="I32" i="91"/>
  <c r="P32" i="91" s="1"/>
  <c r="H17" i="2"/>
  <c r="K17" i="2" s="1"/>
  <c r="E15" i="90"/>
  <c r="L15" i="90" s="1"/>
  <c r="J20" i="91"/>
  <c r="J27" i="91" s="1"/>
  <c r="ER23" i="1"/>
  <c r="EO24" i="1" s="1"/>
  <c r="E21" i="67"/>
  <c r="L21" i="67" s="1"/>
  <c r="I37" i="92"/>
  <c r="BJ18" i="6"/>
  <c r="BM18" i="6" s="1"/>
  <c r="E16" i="89"/>
  <c r="L16" i="89" s="1"/>
  <c r="L24" i="92"/>
  <c r="AO14" i="1"/>
  <c r="AL15" i="1" s="1"/>
  <c r="E18" i="87"/>
  <c r="L18" i="87" s="1"/>
  <c r="G38" i="94"/>
  <c r="G42" i="94" s="1"/>
  <c r="K38" i="95"/>
  <c r="K42" i="95" s="1"/>
  <c r="T41" i="95" s="1"/>
  <c r="L25" i="90"/>
  <c r="L27" i="90" s="1"/>
  <c r="Q17" i="1"/>
  <c r="L18" i="1" s="1"/>
  <c r="EB18" i="1" s="1"/>
  <c r="EE18" i="1" s="1"/>
  <c r="H38" i="94"/>
  <c r="H42" i="94" s="1"/>
  <c r="L37" i="71"/>
  <c r="L38" i="95"/>
  <c r="L42" i="95" s="1"/>
  <c r="U41" i="95" s="1"/>
  <c r="I33" i="89"/>
  <c r="P33" i="89" s="1"/>
  <c r="EM17" i="1"/>
  <c r="EJ18" i="1" s="1"/>
  <c r="I36" i="92"/>
  <c r="P36" i="92" s="1"/>
  <c r="E20" i="92"/>
  <c r="L20" i="92" s="1"/>
  <c r="E9" i="94"/>
  <c r="L9" i="94" s="1"/>
  <c r="E9" i="95" s="1"/>
  <c r="L9" i="95" s="1"/>
  <c r="E9" i="96" s="1"/>
  <c r="L9" i="96" s="1"/>
  <c r="E9" i="42" s="1"/>
  <c r="L9" i="42" s="1"/>
  <c r="L19" i="2"/>
  <c r="P19" i="2" s="1"/>
  <c r="E10" i="93"/>
  <c r="L10" i="93" s="1"/>
  <c r="W18" i="1"/>
  <c r="R19" i="1" s="1"/>
  <c r="G16" i="67"/>
  <c r="K15" i="3"/>
  <c r="H16" i="3" s="1"/>
  <c r="E25" i="91" s="1"/>
  <c r="E27" i="91" s="1"/>
  <c r="C18" i="3"/>
  <c r="G18" i="3" s="1"/>
  <c r="C19" i="2"/>
  <c r="G19" i="2" s="1"/>
  <c r="K20" i="85" l="1"/>
  <c r="K20" i="86" s="1"/>
  <c r="K20" i="87" s="1"/>
  <c r="K20" i="88" s="1"/>
  <c r="K20" i="89" s="1"/>
  <c r="K20" i="90" s="1"/>
  <c r="K20" i="91" s="1"/>
  <c r="K20" i="92" s="1"/>
  <c r="K20" i="93" s="1"/>
  <c r="E24" i="93"/>
  <c r="L24" i="93" s="1"/>
  <c r="C19" i="3"/>
  <c r="G19" i="3" s="1"/>
  <c r="L37" i="72"/>
  <c r="H19" i="1"/>
  <c r="K19" i="1" s="1"/>
  <c r="BF12" i="6"/>
  <c r="BI12" i="6" s="1"/>
  <c r="CD12" i="6" s="1"/>
  <c r="CE12" i="6" s="1"/>
  <c r="CH15" i="6"/>
  <c r="H16" i="6"/>
  <c r="I16" i="6" s="1"/>
  <c r="N54" i="74"/>
  <c r="N54" i="75"/>
  <c r="EF15" i="1"/>
  <c r="EI14" i="1"/>
  <c r="E17" i="89"/>
  <c r="L17" i="89" s="1"/>
  <c r="AB19" i="1"/>
  <c r="X20" i="1" s="1"/>
  <c r="P38" i="86"/>
  <c r="P42" i="86" s="1"/>
  <c r="C22" i="1"/>
  <c r="G22" i="1" s="1"/>
  <c r="E11" i="96"/>
  <c r="L11" i="96" s="1"/>
  <c r="E12" i="93"/>
  <c r="L12" i="93" s="1"/>
  <c r="Q19" i="2"/>
  <c r="U19" i="2" s="1"/>
  <c r="W14" i="6"/>
  <c r="E26" i="95"/>
  <c r="L26" i="95" s="1"/>
  <c r="P37" i="92"/>
  <c r="J20" i="92"/>
  <c r="J27" i="92" s="1"/>
  <c r="I32" i="92"/>
  <c r="P32" i="92" s="1"/>
  <c r="H18" i="2"/>
  <c r="K18" i="2" s="1"/>
  <c r="E15" i="91"/>
  <c r="L15" i="91" s="1"/>
  <c r="ER24" i="1"/>
  <c r="EO25" i="1" s="1"/>
  <c r="E21" i="68"/>
  <c r="L21" i="68" s="1"/>
  <c r="I37" i="93"/>
  <c r="BJ19" i="6"/>
  <c r="BM19" i="6" s="1"/>
  <c r="E16" i="90"/>
  <c r="L16" i="90" s="1"/>
  <c r="AO15" i="1"/>
  <c r="AL16" i="1" s="1"/>
  <c r="W19" i="1"/>
  <c r="R20" i="1" s="1"/>
  <c r="E18" i="88"/>
  <c r="L18" i="88" s="1"/>
  <c r="G38" i="95"/>
  <c r="G42" i="95" s="1"/>
  <c r="K38" i="96"/>
  <c r="K42" i="96" s="1"/>
  <c r="Q18" i="1"/>
  <c r="L19" i="1" s="1"/>
  <c r="EB19" i="1" s="1"/>
  <c r="EE19" i="1" s="1"/>
  <c r="L38" i="96"/>
  <c r="L42" i="96" s="1"/>
  <c r="H38" i="95"/>
  <c r="H42" i="95" s="1"/>
  <c r="L25" i="91"/>
  <c r="L27" i="91" s="1"/>
  <c r="L20" i="2"/>
  <c r="P20" i="2" s="1"/>
  <c r="E10" i="94"/>
  <c r="L10" i="94" s="1"/>
  <c r="EM18" i="1"/>
  <c r="EJ19" i="1" s="1"/>
  <c r="EM19" i="1" s="1"/>
  <c r="EJ20" i="1" s="1"/>
  <c r="EM20" i="1" s="1"/>
  <c r="EJ21" i="1" s="1"/>
  <c r="I36" i="93"/>
  <c r="P36" i="93" s="1"/>
  <c r="E20" i="93"/>
  <c r="L20" i="93" s="1"/>
  <c r="I33" i="90"/>
  <c r="P33" i="90" s="1"/>
  <c r="G16" i="68"/>
  <c r="K16" i="3"/>
  <c r="H17" i="3" s="1"/>
  <c r="E25" i="92" s="1"/>
  <c r="E27" i="92" s="1"/>
  <c r="C20" i="2"/>
  <c r="G20" i="2" s="1"/>
  <c r="F28" i="6"/>
  <c r="F29" i="6"/>
  <c r="F30" i="6"/>
  <c r="F31" i="6"/>
  <c r="F32" i="6"/>
  <c r="F27" i="6"/>
  <c r="AG32" i="6"/>
  <c r="AG31" i="6"/>
  <c r="AG30" i="6"/>
  <c r="AG29" i="6"/>
  <c r="AG28" i="6"/>
  <c r="AG27" i="6"/>
  <c r="AD28" i="6"/>
  <c r="AD27" i="6"/>
  <c r="AA32" i="6"/>
  <c r="AA31" i="6"/>
  <c r="AA30" i="6"/>
  <c r="AA29" i="6"/>
  <c r="AA28" i="6"/>
  <c r="AA27" i="6"/>
  <c r="X32" i="6"/>
  <c r="X31" i="6"/>
  <c r="X30" i="6"/>
  <c r="X29" i="6"/>
  <c r="X28" i="6"/>
  <c r="X27" i="6"/>
  <c r="R34" i="3"/>
  <c r="N34" i="3"/>
  <c r="M34" i="3"/>
  <c r="J34" i="3"/>
  <c r="I34" i="3"/>
  <c r="I38" i="87" l="1"/>
  <c r="I42" i="87" s="1"/>
  <c r="E24" i="94"/>
  <c r="L24" i="94" s="1"/>
  <c r="H20" i="1"/>
  <c r="K20" i="1" s="1"/>
  <c r="CH16" i="6"/>
  <c r="H17" i="6"/>
  <c r="I17" i="6" s="1"/>
  <c r="T15" i="6"/>
  <c r="I35" i="90" s="1"/>
  <c r="P35" i="90" s="1"/>
  <c r="EF16" i="1"/>
  <c r="EI15" i="1"/>
  <c r="E17" i="90"/>
  <c r="L17" i="90" s="1"/>
  <c r="AB20" i="1"/>
  <c r="X21" i="1" s="1"/>
  <c r="C23" i="1"/>
  <c r="G23" i="1" s="1"/>
  <c r="E11" i="42"/>
  <c r="L11" i="42" s="1"/>
  <c r="E12" i="94"/>
  <c r="L12" i="94" s="1"/>
  <c r="Q20" i="2"/>
  <c r="U20" i="2" s="1"/>
  <c r="EM21" i="1"/>
  <c r="EJ22" i="1" s="1"/>
  <c r="EM22" i="1" s="1"/>
  <c r="EJ23" i="1" s="1"/>
  <c r="EM23" i="1" s="1"/>
  <c r="E26" i="96"/>
  <c r="L26" i="96" s="1"/>
  <c r="P37" i="93"/>
  <c r="J20" i="93"/>
  <c r="J27" i="93" s="1"/>
  <c r="I32" i="93"/>
  <c r="P32" i="93" s="1"/>
  <c r="H19" i="2"/>
  <c r="K19" i="2" s="1"/>
  <c r="E15" i="92"/>
  <c r="L15" i="92" s="1"/>
  <c r="BF13" i="6"/>
  <c r="BI13" i="6" s="1"/>
  <c r="CD13" i="6" s="1"/>
  <c r="CE13" i="6" s="1"/>
  <c r="ER25" i="1"/>
  <c r="EO26" i="1" s="1"/>
  <c r="E21" i="69"/>
  <c r="L21" i="69" s="1"/>
  <c r="I37" i="94"/>
  <c r="BJ20" i="6"/>
  <c r="BM20" i="6" s="1"/>
  <c r="E16" i="91"/>
  <c r="L16" i="91" s="1"/>
  <c r="E23" i="95"/>
  <c r="L18" i="89"/>
  <c r="E18" i="89"/>
  <c r="AO16" i="1"/>
  <c r="AL17" i="1" s="1"/>
  <c r="W20" i="1"/>
  <c r="R21" i="1" s="1"/>
  <c r="Q19" i="1"/>
  <c r="L20" i="1" s="1"/>
  <c r="EB20" i="1" s="1"/>
  <c r="EE20" i="1" s="1"/>
  <c r="G38" i="96"/>
  <c r="G42" i="96" s="1"/>
  <c r="K38" i="42"/>
  <c r="K42" i="42" s="1"/>
  <c r="L21" i="2"/>
  <c r="P21" i="2" s="1"/>
  <c r="E10" i="95"/>
  <c r="L10" i="95" s="1"/>
  <c r="L38" i="42"/>
  <c r="L42" i="42" s="1"/>
  <c r="H38" i="96"/>
  <c r="H42" i="96" s="1"/>
  <c r="L37" i="73"/>
  <c r="L25" i="92"/>
  <c r="L27" i="92" s="1"/>
  <c r="K20" i="94"/>
  <c r="I36" i="94"/>
  <c r="P36" i="94" s="1"/>
  <c r="E20" i="94"/>
  <c r="I33" i="91"/>
  <c r="P33" i="91" s="1"/>
  <c r="G25" i="67"/>
  <c r="G16" i="69"/>
  <c r="G16" i="70" s="1"/>
  <c r="H16" i="67"/>
  <c r="J25" i="67"/>
  <c r="CI30" i="6"/>
  <c r="CI31" i="6"/>
  <c r="K17" i="3"/>
  <c r="H18" i="3" s="1"/>
  <c r="E25" i="93" s="1"/>
  <c r="E27" i="93" s="1"/>
  <c r="CF34" i="6"/>
  <c r="I38" i="55" s="1"/>
  <c r="C20" i="3"/>
  <c r="G20" i="3" s="1"/>
  <c r="C21" i="2"/>
  <c r="G21" i="2" s="1"/>
  <c r="P38" i="87" l="1"/>
  <c r="P42" i="87" s="1"/>
  <c r="E24" i="95"/>
  <c r="L24" i="95" s="1"/>
  <c r="P37" i="94"/>
  <c r="H21" i="1"/>
  <c r="K21" i="1" s="1"/>
  <c r="W15" i="6"/>
  <c r="T16" i="6" s="1"/>
  <c r="I35" i="91" s="1"/>
  <c r="P35" i="91" s="1"/>
  <c r="I35" i="92" s="1"/>
  <c r="P35" i="92" s="1"/>
  <c r="CH17" i="6"/>
  <c r="H18" i="6"/>
  <c r="I18" i="6" s="1"/>
  <c r="EF17" i="1"/>
  <c r="EI16" i="1"/>
  <c r="E17" i="91"/>
  <c r="L17" i="91" s="1"/>
  <c r="AB21" i="1"/>
  <c r="X22" i="1" s="1"/>
  <c r="C24" i="1"/>
  <c r="G24" i="1" s="1"/>
  <c r="E11" i="67"/>
  <c r="E12" i="95"/>
  <c r="L12" i="95" s="1"/>
  <c r="Q21" i="2"/>
  <c r="U21" i="2" s="1"/>
  <c r="I38" i="88"/>
  <c r="I42" i="88" s="1"/>
  <c r="J20" i="94"/>
  <c r="J27" i="94" s="1"/>
  <c r="I32" i="94"/>
  <c r="P32" i="94" s="1"/>
  <c r="H20" i="2"/>
  <c r="K20" i="2" s="1"/>
  <c r="G25" i="68"/>
  <c r="G27" i="67"/>
  <c r="E15" i="93"/>
  <c r="L15" i="93" s="1"/>
  <c r="ER26" i="1"/>
  <c r="EO27" i="1" s="1"/>
  <c r="E21" i="70"/>
  <c r="L21" i="70" s="1"/>
  <c r="I37" i="95"/>
  <c r="BJ21" i="6"/>
  <c r="BM21" i="6" s="1"/>
  <c r="E16" i="92"/>
  <c r="L16" i="92" s="1"/>
  <c r="AO17" i="1"/>
  <c r="AL18" i="1" s="1"/>
  <c r="W21" i="1"/>
  <c r="R22" i="1" s="1"/>
  <c r="Q20" i="1"/>
  <c r="L21" i="1" s="1"/>
  <c r="EB21" i="1" s="1"/>
  <c r="EE21" i="1" s="1"/>
  <c r="E18" i="90"/>
  <c r="L18" i="90" s="1"/>
  <c r="G38" i="42"/>
  <c r="I36" i="95"/>
  <c r="P36" i="95" s="1"/>
  <c r="E20" i="95"/>
  <c r="K38" i="67"/>
  <c r="K42" i="67" s="1"/>
  <c r="L37" i="74"/>
  <c r="H38" i="42"/>
  <c r="L38" i="67"/>
  <c r="L42" i="67" s="1"/>
  <c r="K20" i="95"/>
  <c r="L25" i="93"/>
  <c r="L27" i="93" s="1"/>
  <c r="L22" i="2"/>
  <c r="P22" i="2" s="1"/>
  <c r="E10" i="96"/>
  <c r="L10" i="96" s="1"/>
  <c r="E23" i="96"/>
  <c r="L20" i="94"/>
  <c r="I33" i="92"/>
  <c r="P33" i="92" s="1"/>
  <c r="H16" i="68"/>
  <c r="J25" i="68"/>
  <c r="J25" i="69" s="1"/>
  <c r="J15" i="42"/>
  <c r="G15" i="42"/>
  <c r="K18" i="3"/>
  <c r="H19" i="3" s="1"/>
  <c r="E25" i="94" s="1"/>
  <c r="E27" i="94" s="1"/>
  <c r="C21" i="3"/>
  <c r="G21" i="3" s="1"/>
  <c r="C22" i="2"/>
  <c r="G22" i="2" s="1"/>
  <c r="CI32" i="6"/>
  <c r="L11" i="67" l="1"/>
  <c r="H42" i="42"/>
  <c r="H38" i="67"/>
  <c r="H38" i="68" s="1"/>
  <c r="H38" i="69" s="1"/>
  <c r="H38" i="70" s="1"/>
  <c r="H38" i="71" s="1"/>
  <c r="H38" i="72" s="1"/>
  <c r="G42" i="42"/>
  <c r="G38" i="67"/>
  <c r="G38" i="68" s="1"/>
  <c r="G38" i="69" s="1"/>
  <c r="G38" i="70" s="1"/>
  <c r="E24" i="96"/>
  <c r="L24" i="96" s="1"/>
  <c r="C22" i="3"/>
  <c r="G22" i="3" s="1"/>
  <c r="H22" i="1"/>
  <c r="K22" i="1" s="1"/>
  <c r="W16" i="6"/>
  <c r="T17" i="6" s="1"/>
  <c r="W17" i="6" s="1"/>
  <c r="T18" i="6" s="1"/>
  <c r="I35" i="93" s="1"/>
  <c r="P35" i="93" s="1"/>
  <c r="CH18" i="6"/>
  <c r="H19" i="6"/>
  <c r="I19" i="6" s="1"/>
  <c r="EF18" i="1"/>
  <c r="EI17" i="1"/>
  <c r="E17" i="92"/>
  <c r="L17" i="92" s="1"/>
  <c r="AB22" i="1"/>
  <c r="X23" i="1" s="1"/>
  <c r="E11" i="68"/>
  <c r="C25" i="1"/>
  <c r="G25" i="1" s="1"/>
  <c r="E12" i="96"/>
  <c r="L12" i="96" s="1"/>
  <c r="Q22" i="2"/>
  <c r="U22" i="2" s="1"/>
  <c r="P37" i="95"/>
  <c r="P38" i="88"/>
  <c r="P42" i="88" s="1"/>
  <c r="BF14" i="6"/>
  <c r="BI14" i="6" s="1"/>
  <c r="J20" i="95"/>
  <c r="J27" i="95" s="1"/>
  <c r="I32" i="95"/>
  <c r="P32" i="95" s="1"/>
  <c r="H21" i="2"/>
  <c r="K21" i="2" s="1"/>
  <c r="G25" i="69"/>
  <c r="G27" i="68"/>
  <c r="E15" i="94"/>
  <c r="L15" i="94" s="1"/>
  <c r="ER27" i="1"/>
  <c r="EO28" i="1" s="1"/>
  <c r="ER28" i="1" s="1"/>
  <c r="E21" i="71"/>
  <c r="L21" i="71" s="1"/>
  <c r="I37" i="96"/>
  <c r="BJ22" i="6"/>
  <c r="BM22" i="6" s="1"/>
  <c r="E16" i="93"/>
  <c r="L16" i="93" s="1"/>
  <c r="L20" i="95"/>
  <c r="AO18" i="1"/>
  <c r="AL19" i="1" s="1"/>
  <c r="EF19" i="1" s="1"/>
  <c r="W22" i="1"/>
  <c r="R23" i="1" s="1"/>
  <c r="Q21" i="1"/>
  <c r="L22" i="1" s="1"/>
  <c r="EB22" i="1" s="1"/>
  <c r="EE22" i="1" s="1"/>
  <c r="E18" i="91"/>
  <c r="L18" i="91" s="1"/>
  <c r="K38" i="68"/>
  <c r="K42" i="68" s="1"/>
  <c r="E9" i="67"/>
  <c r="L9" i="67" s="1"/>
  <c r="L38" i="68"/>
  <c r="L42" i="68" s="1"/>
  <c r="L37" i="75"/>
  <c r="K20" i="96"/>
  <c r="L25" i="94"/>
  <c r="L27" i="94" s="1"/>
  <c r="J25" i="70"/>
  <c r="I36" i="96"/>
  <c r="P36" i="96" s="1"/>
  <c r="E20" i="96"/>
  <c r="I33" i="93"/>
  <c r="P33" i="93" s="1"/>
  <c r="E23" i="42"/>
  <c r="G16" i="71"/>
  <c r="G16" i="72" s="1"/>
  <c r="H16" i="69"/>
  <c r="H16" i="70" s="1"/>
  <c r="L23" i="2"/>
  <c r="P23" i="2" s="1"/>
  <c r="E10" i="42"/>
  <c r="L10" i="42" s="1"/>
  <c r="K19" i="3"/>
  <c r="H20" i="3" s="1"/>
  <c r="E25" i="95" s="1"/>
  <c r="E27" i="95" s="1"/>
  <c r="C23" i="2"/>
  <c r="G23" i="2" s="1"/>
  <c r="G38" i="71" l="1"/>
  <c r="G38" i="72" s="1"/>
  <c r="G42" i="70"/>
  <c r="L11" i="68"/>
  <c r="E24" i="42"/>
  <c r="L24" i="42" s="1"/>
  <c r="H42" i="68"/>
  <c r="H42" i="67"/>
  <c r="P37" i="96"/>
  <c r="G42" i="68"/>
  <c r="G42" i="67"/>
  <c r="H23" i="1"/>
  <c r="W18" i="6"/>
  <c r="T19" i="6" s="1"/>
  <c r="I35" i="94" s="1"/>
  <c r="P35" i="94" s="1"/>
  <c r="CH19" i="6"/>
  <c r="H20" i="6"/>
  <c r="I20" i="6" s="1"/>
  <c r="EI19" i="1"/>
  <c r="E17" i="94"/>
  <c r="L17" i="94" s="1"/>
  <c r="EI18" i="1"/>
  <c r="E17" i="93"/>
  <c r="L17" i="93" s="1"/>
  <c r="AB23" i="1"/>
  <c r="X24" i="1" s="1"/>
  <c r="E16" i="94"/>
  <c r="L16" i="94" s="1"/>
  <c r="E11" i="69"/>
  <c r="C26" i="1"/>
  <c r="G26" i="1" s="1"/>
  <c r="E12" i="42"/>
  <c r="L12" i="42" s="1"/>
  <c r="Q23" i="2"/>
  <c r="U23" i="2" s="1"/>
  <c r="E26" i="68"/>
  <c r="L26" i="68" s="1"/>
  <c r="I38" i="89"/>
  <c r="I42" i="89" s="1"/>
  <c r="CD14" i="6"/>
  <c r="J20" i="96"/>
  <c r="J27" i="96" s="1"/>
  <c r="I32" i="96"/>
  <c r="P32" i="96" s="1"/>
  <c r="H22" i="2"/>
  <c r="K22" i="2" s="1"/>
  <c r="G25" i="70"/>
  <c r="G27" i="70" s="1"/>
  <c r="G27" i="69"/>
  <c r="E15" i="95"/>
  <c r="L15" i="95" s="1"/>
  <c r="EO29" i="1"/>
  <c r="E21" i="72"/>
  <c r="L21" i="72" s="1"/>
  <c r="I37" i="42"/>
  <c r="BJ23" i="6"/>
  <c r="BM23" i="6" s="1"/>
  <c r="L20" i="96"/>
  <c r="W23" i="1"/>
  <c r="R24" i="1" s="1"/>
  <c r="AO19" i="1"/>
  <c r="AL20" i="1" s="1"/>
  <c r="Q22" i="1"/>
  <c r="L23" i="1" s="1"/>
  <c r="EB23" i="1" s="1"/>
  <c r="EE23" i="1" s="1"/>
  <c r="E18" i="92"/>
  <c r="L18" i="92" s="1"/>
  <c r="K38" i="69"/>
  <c r="K42" i="69" s="1"/>
  <c r="L38" i="69"/>
  <c r="L42" i="69" s="1"/>
  <c r="L37" i="76"/>
  <c r="K20" i="42"/>
  <c r="L25" i="95"/>
  <c r="L27" i="95" s="1"/>
  <c r="I33" i="94"/>
  <c r="P33" i="94" s="1"/>
  <c r="I36" i="42"/>
  <c r="P36" i="42" s="1"/>
  <c r="E20" i="42"/>
  <c r="J11" i="69"/>
  <c r="J15" i="69" s="1"/>
  <c r="K11" i="69"/>
  <c r="H11" i="69"/>
  <c r="G11" i="69"/>
  <c r="L24" i="2"/>
  <c r="P24" i="2" s="1"/>
  <c r="E10" i="67"/>
  <c r="L10" i="67" s="1"/>
  <c r="E23" i="67"/>
  <c r="K20" i="3"/>
  <c r="H21" i="3" s="1"/>
  <c r="E25" i="96" s="1"/>
  <c r="E27" i="96" s="1"/>
  <c r="C23" i="3"/>
  <c r="G23" i="3" s="1"/>
  <c r="C24" i="2"/>
  <c r="G24" i="2" s="1"/>
  <c r="H11" i="70" l="1"/>
  <c r="H15" i="69"/>
  <c r="G11" i="70"/>
  <c r="G15" i="70" s="1"/>
  <c r="G15" i="69"/>
  <c r="K11" i="70"/>
  <c r="K15" i="70" s="1"/>
  <c r="K15" i="69"/>
  <c r="L11" i="69"/>
  <c r="E24" i="67"/>
  <c r="L24" i="67" s="1"/>
  <c r="P37" i="42"/>
  <c r="K23" i="1"/>
  <c r="H24" i="1" s="1"/>
  <c r="K24" i="1" s="1"/>
  <c r="W19" i="6"/>
  <c r="T20" i="6" s="1"/>
  <c r="I35" i="95" s="1"/>
  <c r="P35" i="95" s="1"/>
  <c r="CH20" i="6"/>
  <c r="H21" i="6"/>
  <c r="I21" i="6" s="1"/>
  <c r="CE14" i="6"/>
  <c r="E18" i="94"/>
  <c r="E15" i="42"/>
  <c r="E18" i="93"/>
  <c r="L18" i="93" s="1"/>
  <c r="EF20" i="1"/>
  <c r="E11" i="70"/>
  <c r="L11" i="70" s="1"/>
  <c r="C27" i="1"/>
  <c r="G27" i="1" s="1"/>
  <c r="J11" i="70"/>
  <c r="J15" i="70" s="1"/>
  <c r="E26" i="69"/>
  <c r="Q24" i="2"/>
  <c r="U24" i="2" s="1"/>
  <c r="K38" i="70"/>
  <c r="K42" i="70" s="1"/>
  <c r="L38" i="70"/>
  <c r="L42" i="70" s="1"/>
  <c r="P38" i="89"/>
  <c r="P42" i="89" s="1"/>
  <c r="BF15" i="6"/>
  <c r="BI15" i="6" s="1"/>
  <c r="J20" i="42"/>
  <c r="J27" i="42" s="1"/>
  <c r="G25" i="71"/>
  <c r="H23" i="2"/>
  <c r="K23" i="2" s="1"/>
  <c r="I32" i="42"/>
  <c r="P32" i="42" s="1"/>
  <c r="E15" i="96"/>
  <c r="L15" i="96" s="1"/>
  <c r="E21" i="73"/>
  <c r="L21" i="73" s="1"/>
  <c r="ER29" i="1"/>
  <c r="EO30" i="1" s="1"/>
  <c r="I37" i="67"/>
  <c r="BJ24" i="6"/>
  <c r="BM24" i="6" s="1"/>
  <c r="E12" i="67"/>
  <c r="L12" i="67" s="1"/>
  <c r="L15" i="67" s="1"/>
  <c r="E16" i="95"/>
  <c r="L16" i="95" s="1"/>
  <c r="AB24" i="1"/>
  <c r="X25" i="1" s="1"/>
  <c r="W24" i="1"/>
  <c r="R25" i="1" s="1"/>
  <c r="AO20" i="1"/>
  <c r="AL21" i="1" s="1"/>
  <c r="Q23" i="1"/>
  <c r="L24" i="1" s="1"/>
  <c r="EB24" i="1" s="1"/>
  <c r="EE24" i="1" s="1"/>
  <c r="I33" i="95"/>
  <c r="P33" i="95" s="1"/>
  <c r="L35" i="77"/>
  <c r="K20" i="67"/>
  <c r="J25" i="71"/>
  <c r="J25" i="72" s="1"/>
  <c r="L25" i="96"/>
  <c r="L27" i="96" s="1"/>
  <c r="L20" i="42"/>
  <c r="G16" i="73"/>
  <c r="H16" i="71"/>
  <c r="H16" i="72" s="1"/>
  <c r="EJ24" i="1"/>
  <c r="E20" i="67"/>
  <c r="I36" i="67"/>
  <c r="P36" i="67" s="1"/>
  <c r="L25" i="2"/>
  <c r="P25" i="2" s="1"/>
  <c r="E10" i="68"/>
  <c r="L10" i="68" s="1"/>
  <c r="E23" i="68"/>
  <c r="E9" i="68"/>
  <c r="K21" i="3"/>
  <c r="H22" i="3" s="1"/>
  <c r="E25" i="42" s="1"/>
  <c r="L25" i="42" s="1"/>
  <c r="C24" i="3"/>
  <c r="G24" i="3" s="1"/>
  <c r="C25" i="2"/>
  <c r="G25" i="2" s="1"/>
  <c r="H11" i="71" l="1"/>
  <c r="H15" i="71" s="1"/>
  <c r="H15" i="70"/>
  <c r="E15" i="67"/>
  <c r="L9" i="68"/>
  <c r="E9" i="69" s="1"/>
  <c r="E24" i="68"/>
  <c r="L24" i="68" s="1"/>
  <c r="G42" i="69"/>
  <c r="H42" i="70"/>
  <c r="H42" i="69"/>
  <c r="P37" i="67"/>
  <c r="W20" i="6"/>
  <c r="T21" i="6" s="1"/>
  <c r="I35" i="96" s="1"/>
  <c r="P35" i="96" s="1"/>
  <c r="CH21" i="6"/>
  <c r="H22" i="6"/>
  <c r="I22" i="6" s="1"/>
  <c r="EI20" i="1"/>
  <c r="E17" i="95"/>
  <c r="L17" i="95" s="1"/>
  <c r="EF21" i="1"/>
  <c r="E11" i="71"/>
  <c r="C28" i="1"/>
  <c r="G28" i="1" s="1"/>
  <c r="E26" i="70"/>
  <c r="L26" i="70" s="1"/>
  <c r="Q25" i="2"/>
  <c r="U25" i="2" s="1"/>
  <c r="E12" i="68"/>
  <c r="L12" i="68" s="1"/>
  <c r="I38" i="90"/>
  <c r="I42" i="90" s="1"/>
  <c r="CD15" i="6"/>
  <c r="J20" i="67"/>
  <c r="J27" i="67" s="1"/>
  <c r="G25" i="72"/>
  <c r="G27" i="71"/>
  <c r="H24" i="2"/>
  <c r="K24" i="2" s="1"/>
  <c r="I32" i="67"/>
  <c r="P32" i="67" s="1"/>
  <c r="E27" i="42"/>
  <c r="L27" i="42"/>
  <c r="E21" i="74"/>
  <c r="L21" i="74" s="1"/>
  <c r="ER30" i="1"/>
  <c r="EO31" i="1" s="1"/>
  <c r="BJ25" i="6"/>
  <c r="BM25" i="6" s="1"/>
  <c r="E16" i="96"/>
  <c r="L16" i="96" s="1"/>
  <c r="L20" i="67"/>
  <c r="W25" i="1"/>
  <c r="R26" i="1" s="1"/>
  <c r="AO21" i="1"/>
  <c r="AL22" i="1" s="1"/>
  <c r="EF22" i="1" s="1"/>
  <c r="L18" i="94"/>
  <c r="K38" i="71"/>
  <c r="Q24" i="1"/>
  <c r="L25" i="1" s="1"/>
  <c r="EB25" i="1" s="1"/>
  <c r="EE25" i="1" s="1"/>
  <c r="L38" i="71"/>
  <c r="K20" i="68"/>
  <c r="AB25" i="1"/>
  <c r="X26" i="1" s="1"/>
  <c r="I33" i="96"/>
  <c r="P33" i="96" s="1"/>
  <c r="L26" i="2"/>
  <c r="P26" i="2" s="1"/>
  <c r="E10" i="69"/>
  <c r="L10" i="69" s="1"/>
  <c r="G16" i="74"/>
  <c r="G16" i="75" s="1"/>
  <c r="EM24" i="1"/>
  <c r="EJ25" i="1" s="1"/>
  <c r="I36" i="69" s="1"/>
  <c r="P36" i="69" s="1"/>
  <c r="I36" i="68"/>
  <c r="P36" i="68" s="1"/>
  <c r="E20" i="68"/>
  <c r="H11" i="72"/>
  <c r="J11" i="71"/>
  <c r="J15" i="71" s="1"/>
  <c r="G11" i="71"/>
  <c r="K11" i="71"/>
  <c r="I37" i="68"/>
  <c r="L15" i="42"/>
  <c r="H25" i="1"/>
  <c r="K25" i="1" s="1"/>
  <c r="K22" i="3"/>
  <c r="H23" i="3" s="1"/>
  <c r="E25" i="67" s="1"/>
  <c r="E27" i="67" s="1"/>
  <c r="C25" i="3"/>
  <c r="G25" i="3" s="1"/>
  <c r="C26" i="2"/>
  <c r="G26" i="2" s="1"/>
  <c r="L15" i="68" l="1"/>
  <c r="E15" i="68"/>
  <c r="H11" i="73"/>
  <c r="H15" i="73" s="1"/>
  <c r="H15" i="72"/>
  <c r="G11" i="72"/>
  <c r="G15" i="71"/>
  <c r="L9" i="69"/>
  <c r="K11" i="72"/>
  <c r="K15" i="71"/>
  <c r="L11" i="71"/>
  <c r="L42" i="71"/>
  <c r="L38" i="72"/>
  <c r="L38" i="73" s="1"/>
  <c r="K42" i="71"/>
  <c r="K38" i="72"/>
  <c r="K38" i="73" s="1"/>
  <c r="K42" i="73" s="1"/>
  <c r="E24" i="69"/>
  <c r="L24" i="69" s="1"/>
  <c r="P37" i="68"/>
  <c r="W21" i="6"/>
  <c r="T22" i="6" s="1"/>
  <c r="I35" i="42" s="1"/>
  <c r="P35" i="42" s="1"/>
  <c r="CH22" i="6"/>
  <c r="H23" i="6"/>
  <c r="I23" i="6" s="1"/>
  <c r="CE15" i="6"/>
  <c r="EI21" i="1"/>
  <c r="E17" i="96"/>
  <c r="L17" i="96" s="1"/>
  <c r="E17" i="42"/>
  <c r="L17" i="42" s="1"/>
  <c r="EI22" i="1"/>
  <c r="E11" i="72"/>
  <c r="L11" i="72" s="1"/>
  <c r="C29" i="1"/>
  <c r="G29" i="1" s="1"/>
  <c r="C30" i="1" s="1"/>
  <c r="G30" i="1" s="1"/>
  <c r="Q26" i="2"/>
  <c r="E10" i="70"/>
  <c r="L10" i="70" s="1"/>
  <c r="L27" i="2"/>
  <c r="P27" i="2" s="1"/>
  <c r="E12" i="69"/>
  <c r="L12" i="69" s="1"/>
  <c r="E26" i="71"/>
  <c r="L26" i="71" s="1"/>
  <c r="P38" i="90"/>
  <c r="P42" i="90" s="1"/>
  <c r="BF16" i="6"/>
  <c r="J20" i="68"/>
  <c r="J27" i="68" s="1"/>
  <c r="E16" i="42"/>
  <c r="L16" i="42" s="1"/>
  <c r="G25" i="73"/>
  <c r="G27" i="72"/>
  <c r="I32" i="68"/>
  <c r="P32" i="68" s="1"/>
  <c r="E9" i="70"/>
  <c r="E21" i="75"/>
  <c r="L21" i="75" s="1"/>
  <c r="ER31" i="1"/>
  <c r="EO32" i="1" s="1"/>
  <c r="ER32" i="1" s="1"/>
  <c r="BJ26" i="6"/>
  <c r="BM26" i="6" s="1"/>
  <c r="I37" i="69"/>
  <c r="P37" i="69" s="1"/>
  <c r="J11" i="72"/>
  <c r="J15" i="72" s="1"/>
  <c r="J24" i="71"/>
  <c r="J24" i="72" s="1"/>
  <c r="J24" i="73" s="1"/>
  <c r="J24" i="74" s="1"/>
  <c r="J24" i="75" s="1"/>
  <c r="J24" i="76" s="1"/>
  <c r="J22" i="77" s="1"/>
  <c r="L20" i="68"/>
  <c r="W26" i="1"/>
  <c r="R27" i="1" s="1"/>
  <c r="AO22" i="1"/>
  <c r="AL23" i="1" s="1"/>
  <c r="EF23" i="1" s="1"/>
  <c r="E18" i="95"/>
  <c r="L18" i="95" s="1"/>
  <c r="Q25" i="1"/>
  <c r="L26" i="1" s="1"/>
  <c r="EB26" i="1" s="1"/>
  <c r="EE26" i="1" s="1"/>
  <c r="K20" i="69"/>
  <c r="L25" i="67"/>
  <c r="L27" i="67" s="1"/>
  <c r="J25" i="73"/>
  <c r="AB26" i="1"/>
  <c r="X27" i="1" s="1"/>
  <c r="I33" i="42"/>
  <c r="P33" i="42" s="1"/>
  <c r="G16" i="76"/>
  <c r="H16" i="73"/>
  <c r="EM25" i="1"/>
  <c r="EJ26" i="1" s="1"/>
  <c r="E20" i="69"/>
  <c r="K23" i="3"/>
  <c r="H24" i="3" s="1"/>
  <c r="E25" i="68" s="1"/>
  <c r="E27" i="68" s="1"/>
  <c r="H25" i="2"/>
  <c r="K25" i="2" s="1"/>
  <c r="C26" i="3"/>
  <c r="G26" i="3" s="1"/>
  <c r="C27" i="2"/>
  <c r="G27" i="2" s="1"/>
  <c r="G11" i="73" l="1"/>
  <c r="G15" i="73" s="1"/>
  <c r="G15" i="72"/>
  <c r="L42" i="72"/>
  <c r="K11" i="73"/>
  <c r="K15" i="72"/>
  <c r="E15" i="69"/>
  <c r="L15" i="69"/>
  <c r="L9" i="70"/>
  <c r="E9" i="71" s="1"/>
  <c r="K42" i="72"/>
  <c r="H42" i="71"/>
  <c r="G42" i="71"/>
  <c r="G42" i="72"/>
  <c r="E24" i="70"/>
  <c r="L24" i="70" s="1"/>
  <c r="W22" i="6"/>
  <c r="T23" i="6" s="1"/>
  <c r="I35" i="67" s="1"/>
  <c r="P35" i="67" s="1"/>
  <c r="CH23" i="6"/>
  <c r="H24" i="6"/>
  <c r="I24" i="6" s="1"/>
  <c r="E18" i="42"/>
  <c r="L18" i="42" s="1"/>
  <c r="BI16" i="6"/>
  <c r="CD16" i="6" s="1"/>
  <c r="CE16" i="6" s="1"/>
  <c r="E11" i="73"/>
  <c r="L11" i="73" s="1"/>
  <c r="EI23" i="1"/>
  <c r="E17" i="67"/>
  <c r="L17" i="67" s="1"/>
  <c r="U26" i="2"/>
  <c r="Q27" i="2" s="1"/>
  <c r="E11" i="74"/>
  <c r="L11" i="74" s="1"/>
  <c r="E12" i="70"/>
  <c r="L12" i="70" s="1"/>
  <c r="H42" i="72"/>
  <c r="E26" i="72"/>
  <c r="L26" i="72" s="1"/>
  <c r="I38" i="91"/>
  <c r="J20" i="69"/>
  <c r="J27" i="69" s="1"/>
  <c r="G27" i="73"/>
  <c r="G25" i="74"/>
  <c r="I32" i="69"/>
  <c r="P32" i="69" s="1"/>
  <c r="H26" i="2"/>
  <c r="K26" i="2" s="1"/>
  <c r="EO33" i="1"/>
  <c r="E21" i="76"/>
  <c r="L21" i="76" s="1"/>
  <c r="E16" i="67"/>
  <c r="L16" i="67" s="1"/>
  <c r="BJ27" i="6"/>
  <c r="BM27" i="6" s="1"/>
  <c r="K20" i="70"/>
  <c r="I36" i="70"/>
  <c r="P36" i="70" s="1"/>
  <c r="E20" i="70"/>
  <c r="W27" i="1"/>
  <c r="R28" i="1" s="1"/>
  <c r="AO23" i="1"/>
  <c r="AL24" i="1" s="1"/>
  <c r="E18" i="96"/>
  <c r="Q26" i="1"/>
  <c r="L27" i="1" s="1"/>
  <c r="EB27" i="1" s="1"/>
  <c r="EE27" i="1" s="1"/>
  <c r="L42" i="73"/>
  <c r="J25" i="74"/>
  <c r="J25" i="75" s="1"/>
  <c r="J25" i="76" s="1"/>
  <c r="J23" i="77" s="1"/>
  <c r="AB27" i="1"/>
  <c r="X28" i="1" s="1"/>
  <c r="L25" i="68"/>
  <c r="L27" i="68" s="1"/>
  <c r="I33" i="67"/>
  <c r="P33" i="67" s="1"/>
  <c r="H16" i="74"/>
  <c r="G14" i="77"/>
  <c r="J11" i="73"/>
  <c r="J11" i="74" s="1"/>
  <c r="L28" i="2"/>
  <c r="P28" i="2" s="1"/>
  <c r="E10" i="71"/>
  <c r="E23" i="71"/>
  <c r="L20" i="69"/>
  <c r="EM26" i="1"/>
  <c r="EJ27" i="1" s="1"/>
  <c r="I36" i="71" s="1"/>
  <c r="P36" i="71" s="1"/>
  <c r="H26" i="1"/>
  <c r="K26" i="1" s="1"/>
  <c r="K24" i="3"/>
  <c r="H25" i="3" s="1"/>
  <c r="E25" i="69" s="1"/>
  <c r="E27" i="69" s="1"/>
  <c r="C27" i="3"/>
  <c r="G27" i="3" s="1"/>
  <c r="C28" i="2"/>
  <c r="G28" i="2" s="1"/>
  <c r="C31" i="1"/>
  <c r="G31" i="1" s="1"/>
  <c r="E15" i="70" l="1"/>
  <c r="J11" i="75"/>
  <c r="J15" i="75" s="1"/>
  <c r="J15" i="74"/>
  <c r="L15" i="70"/>
  <c r="J15" i="73"/>
  <c r="K11" i="74"/>
  <c r="K15" i="73"/>
  <c r="L9" i="71"/>
  <c r="E9" i="72" s="1"/>
  <c r="E24" i="71"/>
  <c r="L24" i="71" s="1"/>
  <c r="W23" i="6"/>
  <c r="T24" i="6" s="1"/>
  <c r="W24" i="6" s="1"/>
  <c r="T25" i="6" s="1"/>
  <c r="W25" i="6" s="1"/>
  <c r="T26" i="6" s="1"/>
  <c r="W26" i="6" s="1"/>
  <c r="P38" i="91"/>
  <c r="P42" i="91" s="1"/>
  <c r="I42" i="91"/>
  <c r="CH24" i="6"/>
  <c r="H25" i="6"/>
  <c r="I25" i="6" s="1"/>
  <c r="BF17" i="6"/>
  <c r="BI17" i="6" s="1"/>
  <c r="CD17" i="6" s="1"/>
  <c r="CE17" i="6" s="1"/>
  <c r="EF24" i="1"/>
  <c r="U27" i="2"/>
  <c r="Q28" i="2" s="1"/>
  <c r="U28" i="2" s="1"/>
  <c r="Q29" i="2" s="1"/>
  <c r="U29" i="2" s="1"/>
  <c r="E12" i="71"/>
  <c r="L12" i="71" s="1"/>
  <c r="E11" i="75"/>
  <c r="L11" i="75" s="1"/>
  <c r="E10" i="72"/>
  <c r="L10" i="72" s="1"/>
  <c r="E26" i="73"/>
  <c r="L26" i="73" s="1"/>
  <c r="J20" i="70"/>
  <c r="J27" i="70" s="1"/>
  <c r="G27" i="74"/>
  <c r="G25" i="75"/>
  <c r="I32" i="70"/>
  <c r="P32" i="70" s="1"/>
  <c r="H27" i="2"/>
  <c r="K27" i="2" s="1"/>
  <c r="ER33" i="1"/>
  <c r="E19" i="77"/>
  <c r="L19" i="77" s="1"/>
  <c r="I37" i="71"/>
  <c r="BJ28" i="6"/>
  <c r="BM28" i="6" s="1"/>
  <c r="L18" i="96"/>
  <c r="E16" i="68"/>
  <c r="L16" i="68" s="1"/>
  <c r="I37" i="70"/>
  <c r="P37" i="70" s="1"/>
  <c r="L20" i="70"/>
  <c r="W28" i="1"/>
  <c r="R29" i="1" s="1"/>
  <c r="E23" i="72"/>
  <c r="AO24" i="1"/>
  <c r="AL25" i="1" s="1"/>
  <c r="Q27" i="1"/>
  <c r="L28" i="1" s="1"/>
  <c r="EB28" i="1" s="1"/>
  <c r="EE28" i="1" s="1"/>
  <c r="G38" i="73"/>
  <c r="K38" i="74"/>
  <c r="K42" i="74" s="1"/>
  <c r="L38" i="74"/>
  <c r="L42" i="74" s="1"/>
  <c r="H38" i="73"/>
  <c r="K20" i="71"/>
  <c r="L27" i="69"/>
  <c r="AB28" i="1"/>
  <c r="X29" i="1" s="1"/>
  <c r="I33" i="68"/>
  <c r="P33" i="68" s="1"/>
  <c r="H16" i="75"/>
  <c r="H11" i="74"/>
  <c r="H15" i="74" s="1"/>
  <c r="G11" i="74"/>
  <c r="G15" i="74" s="1"/>
  <c r="L10" i="71"/>
  <c r="L29" i="2"/>
  <c r="P29" i="2" s="1"/>
  <c r="EM27" i="1"/>
  <c r="EJ28" i="1" s="1"/>
  <c r="E20" i="71"/>
  <c r="K25" i="3"/>
  <c r="H26" i="3" s="1"/>
  <c r="E25" i="70" s="1"/>
  <c r="L25" i="70" s="1"/>
  <c r="C28" i="3"/>
  <c r="G28" i="3" s="1"/>
  <c r="C29" i="2"/>
  <c r="G29" i="2" s="1"/>
  <c r="C32" i="1"/>
  <c r="G32" i="1" s="1"/>
  <c r="L27" i="70" l="1"/>
  <c r="K11" i="75"/>
  <c r="K15" i="74"/>
  <c r="E27" i="70"/>
  <c r="L9" i="72"/>
  <c r="E9" i="73"/>
  <c r="L15" i="71"/>
  <c r="E15" i="71"/>
  <c r="H42" i="73"/>
  <c r="H38" i="74"/>
  <c r="H42" i="74" s="1"/>
  <c r="G42" i="73"/>
  <c r="G38" i="74"/>
  <c r="E24" i="72"/>
  <c r="L24" i="72" s="1"/>
  <c r="P37" i="71"/>
  <c r="H27" i="1"/>
  <c r="K27" i="1" s="1"/>
  <c r="E12" i="72"/>
  <c r="L12" i="72" s="1"/>
  <c r="I38" i="92"/>
  <c r="I42" i="92" s="1"/>
  <c r="CH25" i="6"/>
  <c r="H26" i="6"/>
  <c r="I26" i="6" s="1"/>
  <c r="EI24" i="1"/>
  <c r="E17" i="68"/>
  <c r="L17" i="68" s="1"/>
  <c r="EF25" i="1"/>
  <c r="AB29" i="1"/>
  <c r="X30" i="1" s="1"/>
  <c r="E11" i="76"/>
  <c r="L11" i="76" s="1"/>
  <c r="I33" i="69"/>
  <c r="P33" i="69" s="1"/>
  <c r="E26" i="74"/>
  <c r="L26" i="74" s="1"/>
  <c r="J20" i="71"/>
  <c r="J27" i="71" s="1"/>
  <c r="G25" i="76"/>
  <c r="G27" i="75"/>
  <c r="I32" i="71"/>
  <c r="P32" i="71" s="1"/>
  <c r="H28" i="2"/>
  <c r="K28" i="2" s="1"/>
  <c r="BF18" i="6"/>
  <c r="I37" i="72"/>
  <c r="BJ29" i="6"/>
  <c r="BM29" i="6" s="1"/>
  <c r="E16" i="69"/>
  <c r="L16" i="69" s="1"/>
  <c r="I35" i="69"/>
  <c r="P35" i="69" s="1"/>
  <c r="I35" i="68"/>
  <c r="P35" i="68" s="1"/>
  <c r="W29" i="1"/>
  <c r="R30" i="1" s="1"/>
  <c r="E20" i="72"/>
  <c r="I36" i="72"/>
  <c r="P36" i="72" s="1"/>
  <c r="K20" i="72"/>
  <c r="Q28" i="1"/>
  <c r="L29" i="1" s="1"/>
  <c r="EB29" i="1" s="1"/>
  <c r="EE29" i="1" s="1"/>
  <c r="AO25" i="1"/>
  <c r="AL26" i="1" s="1"/>
  <c r="E18" i="67"/>
  <c r="L18" i="67" s="1"/>
  <c r="K38" i="75"/>
  <c r="K42" i="75" s="1"/>
  <c r="L38" i="75"/>
  <c r="Q30" i="2"/>
  <c r="U30" i="2" s="1"/>
  <c r="E12" i="73"/>
  <c r="L12" i="73" s="1"/>
  <c r="G11" i="75"/>
  <c r="G15" i="75" s="1"/>
  <c r="H16" i="76"/>
  <c r="H11" i="75"/>
  <c r="L30" i="2"/>
  <c r="P30" i="2" s="1"/>
  <c r="E10" i="73"/>
  <c r="L10" i="73" s="1"/>
  <c r="L20" i="71"/>
  <c r="EM28" i="1"/>
  <c r="EJ29" i="1" s="1"/>
  <c r="K26" i="3"/>
  <c r="H27" i="3" s="1"/>
  <c r="E25" i="71" s="1"/>
  <c r="E27" i="71" s="1"/>
  <c r="C29" i="3"/>
  <c r="G29" i="3" s="1"/>
  <c r="C30" i="2"/>
  <c r="G30" i="2" s="1"/>
  <c r="L15" i="72" l="1"/>
  <c r="K15" i="75"/>
  <c r="K11" i="76"/>
  <c r="E15" i="72"/>
  <c r="H11" i="76"/>
  <c r="H15" i="75"/>
  <c r="G38" i="75"/>
  <c r="G42" i="74"/>
  <c r="L9" i="73"/>
  <c r="E15" i="73"/>
  <c r="E24" i="73"/>
  <c r="L24" i="73" s="1"/>
  <c r="L38" i="76"/>
  <c r="L42" i="76" s="1"/>
  <c r="L42" i="75"/>
  <c r="H28" i="1"/>
  <c r="P38" i="92"/>
  <c r="P42" i="92" s="1"/>
  <c r="CH26" i="6"/>
  <c r="H27" i="6"/>
  <c r="I27" i="6" s="1"/>
  <c r="BI18" i="6"/>
  <c r="CD18" i="6" s="1"/>
  <c r="CE18" i="6" s="1"/>
  <c r="P37" i="72"/>
  <c r="EI25" i="1"/>
  <c r="E17" i="69"/>
  <c r="L17" i="69" s="1"/>
  <c r="EF26" i="1"/>
  <c r="AB30" i="1"/>
  <c r="X31" i="1" s="1"/>
  <c r="E26" i="75"/>
  <c r="L26" i="75" s="1"/>
  <c r="J20" i="72"/>
  <c r="J27" i="72" s="1"/>
  <c r="G23" i="77"/>
  <c r="G25" i="77" s="1"/>
  <c r="G27" i="76"/>
  <c r="I32" i="72"/>
  <c r="P32" i="72" s="1"/>
  <c r="H29" i="2"/>
  <c r="K29" i="2" s="1"/>
  <c r="I38" i="93"/>
  <c r="I42" i="93" s="1"/>
  <c r="I37" i="73"/>
  <c r="BJ30" i="6"/>
  <c r="BM30" i="6" s="1"/>
  <c r="E16" i="70"/>
  <c r="L16" i="70" s="1"/>
  <c r="W30" i="1"/>
  <c r="R31" i="1" s="1"/>
  <c r="L20" i="72"/>
  <c r="Q29" i="1"/>
  <c r="L30" i="1" s="1"/>
  <c r="EB30" i="1" s="1"/>
  <c r="EE30" i="1" s="1"/>
  <c r="AO26" i="1"/>
  <c r="AL27" i="1" s="1"/>
  <c r="E18" i="68"/>
  <c r="L18" i="68" s="1"/>
  <c r="K38" i="76"/>
  <c r="K42" i="76" s="1"/>
  <c r="H38" i="75"/>
  <c r="H38" i="76" s="1"/>
  <c r="K20" i="73"/>
  <c r="L25" i="71"/>
  <c r="L27" i="71" s="1"/>
  <c r="J11" i="76"/>
  <c r="J15" i="76" s="1"/>
  <c r="G11" i="76"/>
  <c r="Q31" i="2"/>
  <c r="U31" i="2" s="1"/>
  <c r="E12" i="74"/>
  <c r="L12" i="74" s="1"/>
  <c r="H14" i="77"/>
  <c r="L31" i="2"/>
  <c r="P31" i="2" s="1"/>
  <c r="E10" i="74"/>
  <c r="L10" i="74" s="1"/>
  <c r="I36" i="73"/>
  <c r="P36" i="73" s="1"/>
  <c r="E20" i="73"/>
  <c r="EM29" i="1"/>
  <c r="K27" i="3"/>
  <c r="H28" i="3" s="1"/>
  <c r="E25" i="72" s="1"/>
  <c r="L25" i="72" s="1"/>
  <c r="C33" i="1"/>
  <c r="G33" i="1" s="1"/>
  <c r="T27" i="6"/>
  <c r="I35" i="71" s="1"/>
  <c r="P35" i="71" s="1"/>
  <c r="C31" i="2"/>
  <c r="G31" i="2" s="1"/>
  <c r="H11" i="77" l="1"/>
  <c r="H15" i="76"/>
  <c r="K15" i="76"/>
  <c r="K11" i="77"/>
  <c r="G11" i="77"/>
  <c r="G13" i="77" s="1"/>
  <c r="G15" i="76"/>
  <c r="E9" i="74"/>
  <c r="E15" i="74" s="1"/>
  <c r="L15" i="73"/>
  <c r="G38" i="76"/>
  <c r="G42" i="76" s="1"/>
  <c r="G42" i="75"/>
  <c r="H42" i="76"/>
  <c r="H42" i="75"/>
  <c r="K28" i="1"/>
  <c r="H29" i="1" s="1"/>
  <c r="CH27" i="6"/>
  <c r="H28" i="6"/>
  <c r="I28" i="6" s="1"/>
  <c r="P37" i="73"/>
  <c r="EF27" i="1"/>
  <c r="EI26" i="1"/>
  <c r="E17" i="70"/>
  <c r="L17" i="70" s="1"/>
  <c r="AB31" i="1"/>
  <c r="X32" i="1" s="1"/>
  <c r="E11" i="77"/>
  <c r="L11" i="77" s="1"/>
  <c r="J11" i="77"/>
  <c r="E26" i="76"/>
  <c r="L26" i="76" s="1"/>
  <c r="L27" i="72"/>
  <c r="P38" i="93"/>
  <c r="P42" i="93" s="1"/>
  <c r="J20" i="73"/>
  <c r="J27" i="73" s="1"/>
  <c r="E27" i="72"/>
  <c r="I32" i="73"/>
  <c r="P32" i="73" s="1"/>
  <c r="H30" i="2"/>
  <c r="K30" i="2" s="1"/>
  <c r="BF19" i="6"/>
  <c r="I37" i="74"/>
  <c r="BJ31" i="6"/>
  <c r="BM31" i="6" s="1"/>
  <c r="E16" i="71"/>
  <c r="L16" i="71" s="1"/>
  <c r="W31" i="1"/>
  <c r="R32" i="1" s="1"/>
  <c r="I35" i="70"/>
  <c r="P35" i="70" s="1"/>
  <c r="I33" i="70"/>
  <c r="P33" i="70" s="1"/>
  <c r="Q30" i="1"/>
  <c r="L31" i="1" s="1"/>
  <c r="EB31" i="1" s="1"/>
  <c r="EE31" i="1" s="1"/>
  <c r="AO27" i="1"/>
  <c r="AL28" i="1" s="1"/>
  <c r="E18" i="69"/>
  <c r="L18" i="69" s="1"/>
  <c r="K36" i="77"/>
  <c r="K40" i="77" s="1"/>
  <c r="L36" i="77"/>
  <c r="L40" i="77" s="1"/>
  <c r="K20" i="74"/>
  <c r="I33" i="71"/>
  <c r="P33" i="71" s="1"/>
  <c r="Q32" i="2"/>
  <c r="U32" i="2" s="1"/>
  <c r="E12" i="75"/>
  <c r="L12" i="75" s="1"/>
  <c r="L32" i="2"/>
  <c r="P32" i="2" s="1"/>
  <c r="E10" i="75"/>
  <c r="L10" i="75" s="1"/>
  <c r="L20" i="73"/>
  <c r="K28" i="3"/>
  <c r="H29" i="3" s="1"/>
  <c r="E25" i="73" s="1"/>
  <c r="E27" i="73" s="1"/>
  <c r="W27" i="6"/>
  <c r="T28" i="6" s="1"/>
  <c r="I35" i="72" s="1"/>
  <c r="P35" i="72" s="1"/>
  <c r="C32" i="2"/>
  <c r="G32" i="2" s="1"/>
  <c r="L9" i="74" l="1"/>
  <c r="L15" i="74" s="1"/>
  <c r="P37" i="74"/>
  <c r="K29" i="1"/>
  <c r="H30" i="1" s="1"/>
  <c r="CH28" i="6"/>
  <c r="H29" i="6"/>
  <c r="I29" i="6" s="1"/>
  <c r="BI19" i="6"/>
  <c r="E18" i="70"/>
  <c r="L18" i="70" s="1"/>
  <c r="EI27" i="1"/>
  <c r="E17" i="71"/>
  <c r="L17" i="71" s="1"/>
  <c r="EF28" i="1"/>
  <c r="AB32" i="1"/>
  <c r="X33" i="1" s="1"/>
  <c r="X34" i="1" s="1"/>
  <c r="I33" i="72"/>
  <c r="P33" i="72" s="1"/>
  <c r="J13" i="77"/>
  <c r="E24" i="77"/>
  <c r="L24" i="77" s="1"/>
  <c r="J20" i="74"/>
  <c r="J27" i="74" s="1"/>
  <c r="H31" i="2"/>
  <c r="K31" i="2" s="1"/>
  <c r="I32" i="74"/>
  <c r="P32" i="74" s="1"/>
  <c r="I38" i="94"/>
  <c r="I42" i="94" s="1"/>
  <c r="I37" i="75"/>
  <c r="P37" i="75" s="1"/>
  <c r="BJ32" i="6"/>
  <c r="BM32" i="6" s="1"/>
  <c r="E16" i="72"/>
  <c r="L16" i="72" s="1"/>
  <c r="W32" i="1"/>
  <c r="R33" i="1" s="1"/>
  <c r="K20" i="75"/>
  <c r="Q31" i="1"/>
  <c r="L32" i="1" s="1"/>
  <c r="EB32" i="1" s="1"/>
  <c r="EE32" i="1" s="1"/>
  <c r="AO28" i="1"/>
  <c r="AL29" i="1" s="1"/>
  <c r="G36" i="77"/>
  <c r="G40" i="77" s="1"/>
  <c r="H36" i="77"/>
  <c r="H40" i="77" s="1"/>
  <c r="L25" i="73"/>
  <c r="L27" i="73" s="1"/>
  <c r="Q33" i="2"/>
  <c r="U33" i="2" s="1"/>
  <c r="E12" i="76"/>
  <c r="L12" i="76" s="1"/>
  <c r="L33" i="2"/>
  <c r="P33" i="2" s="1"/>
  <c r="E10" i="76"/>
  <c r="L10" i="76" s="1"/>
  <c r="K29" i="3"/>
  <c r="H30" i="3" s="1"/>
  <c r="C46" i="97" s="1"/>
  <c r="W28" i="6"/>
  <c r="T29" i="6" s="1"/>
  <c r="I35" i="73" s="1"/>
  <c r="P35" i="73" s="1"/>
  <c r="C33" i="2"/>
  <c r="G33" i="2" s="1"/>
  <c r="E9" i="75" l="1"/>
  <c r="CD19" i="6"/>
  <c r="CE19" i="6" s="1"/>
  <c r="K30" i="1"/>
  <c r="H31" i="1" s="1"/>
  <c r="CH29" i="6"/>
  <c r="H30" i="6"/>
  <c r="I30" i="6" s="1"/>
  <c r="EI28" i="1"/>
  <c r="E17" i="72"/>
  <c r="L17" i="72" s="1"/>
  <c r="EF29" i="1"/>
  <c r="AB33" i="1"/>
  <c r="AB34" i="1" s="1"/>
  <c r="P38" i="94"/>
  <c r="P42" i="94" s="1"/>
  <c r="J20" i="75"/>
  <c r="J27" i="75" s="1"/>
  <c r="H32" i="2"/>
  <c r="K32" i="2" s="1"/>
  <c r="I32" i="75"/>
  <c r="P32" i="75" s="1"/>
  <c r="BF20" i="6"/>
  <c r="I37" i="76"/>
  <c r="P37" i="76" s="1"/>
  <c r="BJ33" i="6"/>
  <c r="BM33" i="6" s="1"/>
  <c r="W33" i="1"/>
  <c r="W34" i="1" s="1"/>
  <c r="R34" i="1"/>
  <c r="E16" i="73"/>
  <c r="L16" i="73" s="1"/>
  <c r="L34" i="1"/>
  <c r="K20" i="76"/>
  <c r="Q32" i="1"/>
  <c r="L33" i="1" s="1"/>
  <c r="EB33" i="1" s="1"/>
  <c r="EE33" i="1" s="1"/>
  <c r="AO29" i="1"/>
  <c r="AL30" i="1" s="1"/>
  <c r="EF30" i="1" s="1"/>
  <c r="L18" i="71"/>
  <c r="E18" i="71"/>
  <c r="E25" i="74"/>
  <c r="L25" i="74" s="1"/>
  <c r="I33" i="73"/>
  <c r="P33" i="73" s="1"/>
  <c r="U34" i="2"/>
  <c r="E12" i="77"/>
  <c r="L12" i="77" s="1"/>
  <c r="E10" i="77"/>
  <c r="L10" i="77" s="1"/>
  <c r="K30" i="3"/>
  <c r="H31" i="3" s="1"/>
  <c r="E25" i="75" s="1"/>
  <c r="L25" i="75" s="1"/>
  <c r="C45" i="12"/>
  <c r="O34" i="3"/>
  <c r="W29" i="6"/>
  <c r="T30" i="6" s="1"/>
  <c r="I35" i="74" s="1"/>
  <c r="P35" i="74" s="1"/>
  <c r="L34" i="3"/>
  <c r="AD29" i="6"/>
  <c r="L9" i="75" l="1"/>
  <c r="E15" i="75"/>
  <c r="E9" i="76"/>
  <c r="L15" i="75"/>
  <c r="K31" i="1"/>
  <c r="CH30" i="6"/>
  <c r="H31" i="6"/>
  <c r="I31" i="6" s="1"/>
  <c r="H32" i="6" s="1"/>
  <c r="I32" i="6" s="1"/>
  <c r="BI20" i="6"/>
  <c r="CD20" i="6" s="1"/>
  <c r="CE20" i="6" s="1"/>
  <c r="E18" i="72"/>
  <c r="L18" i="72" s="1"/>
  <c r="EI29" i="1"/>
  <c r="E17" i="73"/>
  <c r="L17" i="73" s="1"/>
  <c r="EI30" i="1"/>
  <c r="E17" i="74"/>
  <c r="L17" i="74" s="1"/>
  <c r="I33" i="74"/>
  <c r="P33" i="74" s="1"/>
  <c r="J20" i="76"/>
  <c r="J27" i="76" s="1"/>
  <c r="E16" i="74"/>
  <c r="L16" i="74" s="1"/>
  <c r="I32" i="76"/>
  <c r="P32" i="76" s="1"/>
  <c r="H33" i="2"/>
  <c r="K33" i="2" s="1"/>
  <c r="I38" i="95"/>
  <c r="I42" i="95" s="1"/>
  <c r="I35" i="77"/>
  <c r="P35" i="77" s="1"/>
  <c r="BG35" i="6"/>
  <c r="K18" i="77"/>
  <c r="Q33" i="1"/>
  <c r="Q34" i="1" s="1"/>
  <c r="AO30" i="1"/>
  <c r="AL31" i="1" s="1"/>
  <c r="EF31" i="1" s="1"/>
  <c r="E23" i="76"/>
  <c r="K31" i="3"/>
  <c r="H32" i="3" s="1"/>
  <c r="E25" i="76" s="1"/>
  <c r="L25" i="76" s="1"/>
  <c r="BG34" i="6"/>
  <c r="W30" i="6"/>
  <c r="T31" i="6" s="1"/>
  <c r="L9" i="76" l="1"/>
  <c r="L15" i="76" s="1"/>
  <c r="E15" i="76"/>
  <c r="E9" i="77"/>
  <c r="L9" i="77" s="1"/>
  <c r="H32" i="1"/>
  <c r="CH31" i="6"/>
  <c r="EI31" i="1"/>
  <c r="E17" i="75"/>
  <c r="L17" i="75" s="1"/>
  <c r="I33" i="75"/>
  <c r="P33" i="75" s="1"/>
  <c r="I33" i="76"/>
  <c r="P33" i="76" s="1"/>
  <c r="P38" i="95"/>
  <c r="P42" i="95" s="1"/>
  <c r="J18" i="77"/>
  <c r="J25" i="77" s="1"/>
  <c r="I30" i="77"/>
  <c r="P30" i="77" s="1"/>
  <c r="BF21" i="6"/>
  <c r="E16" i="75"/>
  <c r="L16" i="75" s="1"/>
  <c r="I35" i="75"/>
  <c r="P35" i="75" s="1"/>
  <c r="AO31" i="1"/>
  <c r="AL32" i="1" s="1"/>
  <c r="L18" i="73"/>
  <c r="E18" i="73"/>
  <c r="K32" i="3"/>
  <c r="H33" i="3" s="1"/>
  <c r="W31" i="6"/>
  <c r="T32" i="6" s="1"/>
  <c r="I35" i="76" s="1"/>
  <c r="P35" i="76" s="1"/>
  <c r="CI29" i="6"/>
  <c r="K32" i="1" l="1"/>
  <c r="H34" i="1"/>
  <c r="CH32" i="6"/>
  <c r="H33" i="6"/>
  <c r="BI21" i="6"/>
  <c r="CD21" i="6" s="1"/>
  <c r="CE21" i="6" s="1"/>
  <c r="EF32" i="1"/>
  <c r="E13" i="77"/>
  <c r="L13" i="77" s="1"/>
  <c r="I38" i="96"/>
  <c r="I42" i="96" s="1"/>
  <c r="E16" i="76"/>
  <c r="L16" i="76" s="1"/>
  <c r="E21" i="77"/>
  <c r="AO32" i="1"/>
  <c r="AL33" i="1" s="1"/>
  <c r="L18" i="74"/>
  <c r="E18" i="74"/>
  <c r="H34" i="3"/>
  <c r="E23" i="77"/>
  <c r="L23" i="77" s="1"/>
  <c r="K33" i="3"/>
  <c r="K34" i="3" s="1"/>
  <c r="W32" i="6"/>
  <c r="T33" i="6" s="1"/>
  <c r="I33" i="77" s="1"/>
  <c r="P33" i="77" s="1"/>
  <c r="EJ30" i="1"/>
  <c r="H33" i="1" l="1"/>
  <c r="K33" i="1" s="1"/>
  <c r="K34" i="1"/>
  <c r="I33" i="6"/>
  <c r="CH33" i="6" s="1"/>
  <c r="I31" i="77"/>
  <c r="P31" i="77" s="1"/>
  <c r="EF33" i="1"/>
  <c r="EF34" i="1" s="1"/>
  <c r="EI32" i="1"/>
  <c r="E17" i="76"/>
  <c r="L17" i="76" s="1"/>
  <c r="P38" i="96"/>
  <c r="P42" i="96" s="1"/>
  <c r="BF22" i="6"/>
  <c r="AL34" i="1"/>
  <c r="AO33" i="1"/>
  <c r="AO34" i="1" s="1"/>
  <c r="AL35" i="1"/>
  <c r="L18" i="75"/>
  <c r="E18" i="75"/>
  <c r="I36" i="74"/>
  <c r="P36" i="74" s="1"/>
  <c r="E20" i="74"/>
  <c r="T34" i="6"/>
  <c r="W33" i="6"/>
  <c r="W34" i="6" s="1"/>
  <c r="P34" i="3"/>
  <c r="Q34" i="3" s="1"/>
  <c r="T34" i="3"/>
  <c r="BI22" i="6" l="1"/>
  <c r="CD22" i="6" s="1"/>
  <c r="CE22" i="6" s="1"/>
  <c r="EI33" i="1"/>
  <c r="EI34" i="1" s="1"/>
  <c r="E15" i="77"/>
  <c r="L15" i="77" s="1"/>
  <c r="I38" i="42"/>
  <c r="I42" i="42" s="1"/>
  <c r="E14" i="77"/>
  <c r="L14" i="77" s="1"/>
  <c r="EE34" i="1"/>
  <c r="E18" i="76"/>
  <c r="L18" i="76" s="1"/>
  <c r="AO35" i="1"/>
  <c r="L20" i="74"/>
  <c r="C30" i="3"/>
  <c r="G30" i="3" s="1"/>
  <c r="E24" i="74" l="1"/>
  <c r="E27" i="74" s="1"/>
  <c r="C31" i="3"/>
  <c r="G31" i="3" s="1"/>
  <c r="P38" i="42"/>
  <c r="P42" i="42" s="1"/>
  <c r="BF23" i="6"/>
  <c r="E16" i="77"/>
  <c r="L16" i="77" s="1"/>
  <c r="L24" i="74" l="1"/>
  <c r="L27" i="74" s="1"/>
  <c r="E24" i="75"/>
  <c r="L24" i="75" s="1"/>
  <c r="BI23" i="6"/>
  <c r="CD23" i="6" s="1"/>
  <c r="CE23" i="6" s="1"/>
  <c r="I38" i="67"/>
  <c r="I42" i="67" s="1"/>
  <c r="C32" i="3"/>
  <c r="G32" i="3" s="1"/>
  <c r="E24" i="76" l="1"/>
  <c r="L24" i="76" s="1"/>
  <c r="P38" i="67"/>
  <c r="P42" i="67" s="1"/>
  <c r="BF24" i="6"/>
  <c r="C33" i="3"/>
  <c r="G33" i="3" s="1"/>
  <c r="E22" i="77" l="1"/>
  <c r="L22" i="77" s="1"/>
  <c r="BI24" i="6"/>
  <c r="CD24" i="6" s="1"/>
  <c r="CE24" i="6" s="1"/>
  <c r="I38" i="68"/>
  <c r="I42" i="68" s="1"/>
  <c r="C34" i="3"/>
  <c r="P38" i="68" l="1"/>
  <c r="P42" i="68" s="1"/>
  <c r="BF25" i="6"/>
  <c r="BI25" i="6" l="1"/>
  <c r="CD25" i="6" s="1"/>
  <c r="CE25" i="6" s="1"/>
  <c r="I38" i="69"/>
  <c r="P38" i="69" l="1"/>
  <c r="P42" i="69" s="1"/>
  <c r="I42" i="69"/>
  <c r="BF26" i="6"/>
  <c r="BI26" i="6" s="1"/>
  <c r="CD26" i="6" l="1"/>
  <c r="CE26" i="6" s="1"/>
  <c r="I38" i="70"/>
  <c r="I42" i="70" l="1"/>
  <c r="P38" i="70"/>
  <c r="P42" i="70" s="1"/>
  <c r="BF27" i="6"/>
  <c r="BI27" i="6" s="1"/>
  <c r="I38" i="71" l="1"/>
  <c r="I42" i="71" s="1"/>
  <c r="CD27" i="6"/>
  <c r="CE27" i="6" s="1"/>
  <c r="P38" i="71" l="1"/>
  <c r="P42" i="71" s="1"/>
  <c r="BF28" i="6"/>
  <c r="BI28" i="6" s="1"/>
  <c r="I38" i="72" l="1"/>
  <c r="I42" i="72" s="1"/>
  <c r="CD28" i="6"/>
  <c r="CD34" i="6"/>
  <c r="CE34" i="6" s="1"/>
  <c r="EM30" i="1"/>
  <c r="EJ31" i="1" s="1"/>
  <c r="AH30" i="3"/>
  <c r="CE28" i="6" l="1"/>
  <c r="P38" i="72"/>
  <c r="P42" i="72" s="1"/>
  <c r="BF29" i="6"/>
  <c r="BI29" i="6" s="1"/>
  <c r="I36" i="75"/>
  <c r="P36" i="75" s="1"/>
  <c r="E20" i="75"/>
  <c r="E27" i="75" s="1"/>
  <c r="EM31" i="1"/>
  <c r="EJ32" i="1" s="1"/>
  <c r="AH34" i="3"/>
  <c r="CD29" i="6" l="1"/>
  <c r="CE29" i="6" s="1"/>
  <c r="I38" i="73"/>
  <c r="I42" i="73" s="1"/>
  <c r="I36" i="76"/>
  <c r="P36" i="76" s="1"/>
  <c r="E20" i="76"/>
  <c r="L20" i="75"/>
  <c r="EM32" i="1"/>
  <c r="EJ33" i="1" s="1"/>
  <c r="EM33" i="1" s="1"/>
  <c r="P38" i="73" l="1"/>
  <c r="P42" i="73" s="1"/>
  <c r="L27" i="75"/>
  <c r="E27" i="76"/>
  <c r="L20" i="76"/>
  <c r="BF30" i="6"/>
  <c r="EJ34" i="1"/>
  <c r="EM34" i="1"/>
  <c r="I34" i="77"/>
  <c r="P34" i="77" s="1"/>
  <c r="E18" i="77"/>
  <c r="E25" i="77" s="1"/>
  <c r="BI30" i="6" l="1"/>
  <c r="CD30" i="6" s="1"/>
  <c r="CE30" i="6" s="1"/>
  <c r="I38" i="74"/>
  <c r="L27" i="76"/>
  <c r="L18" i="77"/>
  <c r="P38" i="74" l="1"/>
  <c r="P42" i="74" s="1"/>
  <c r="I42" i="74"/>
  <c r="BF31" i="6"/>
  <c r="BI31" i="6" s="1"/>
  <c r="CD31" i="6" s="1"/>
  <c r="L25" i="77"/>
  <c r="H17" i="67"/>
  <c r="G17" i="67"/>
  <c r="I38" i="75" l="1"/>
  <c r="I42" i="75" s="1"/>
  <c r="BF32" i="6"/>
  <c r="BI32" i="6" s="1"/>
  <c r="CE31" i="6"/>
  <c r="G17" i="68"/>
  <c r="G18" i="67"/>
  <c r="H17" i="68"/>
  <c r="H18" i="67"/>
  <c r="P38" i="75" l="1"/>
  <c r="P42" i="75" s="1"/>
  <c r="CD32" i="6"/>
  <c r="I38" i="76"/>
  <c r="H17" i="69"/>
  <c r="H17" i="70" s="1"/>
  <c r="H18" i="70" s="1"/>
  <c r="H18" i="68"/>
  <c r="G17" i="69"/>
  <c r="G17" i="70" s="1"/>
  <c r="G18" i="70" s="1"/>
  <c r="G18" i="68"/>
  <c r="P38" i="76" l="1"/>
  <c r="P42" i="76" s="1"/>
  <c r="I42" i="76"/>
  <c r="BF33" i="6"/>
  <c r="CE32" i="6"/>
  <c r="G18" i="69"/>
  <c r="H18" i="69"/>
  <c r="BI33" i="6" l="1"/>
  <c r="CD33" i="6" s="1"/>
  <c r="CE33" i="6" s="1"/>
  <c r="I36" i="77"/>
  <c r="P36" i="77" s="1"/>
  <c r="P40" i="77" s="1"/>
  <c r="H17" i="71"/>
  <c r="H17" i="72" s="1"/>
  <c r="H18" i="72" s="1"/>
  <c r="G17" i="71"/>
  <c r="G17" i="72" s="1"/>
  <c r="G18" i="72" s="1"/>
  <c r="I40" i="77" l="1"/>
  <c r="G18" i="71"/>
  <c r="H18" i="71"/>
  <c r="H17" i="73" l="1"/>
  <c r="G17" i="73"/>
  <c r="G17" i="74" l="1"/>
  <c r="G18" i="73"/>
  <c r="H17" i="74"/>
  <c r="H18" i="73"/>
  <c r="H17" i="75" l="1"/>
  <c r="H18" i="74"/>
  <c r="G18" i="74"/>
  <c r="G17" i="75"/>
  <c r="G17" i="76" l="1"/>
  <c r="G18" i="75"/>
  <c r="H17" i="76"/>
  <c r="H18" i="75"/>
  <c r="H15" i="77" l="1"/>
  <c r="H16" i="77" s="1"/>
  <c r="H18" i="76"/>
  <c r="G15" i="77"/>
  <c r="G16" i="77" s="1"/>
  <c r="G18" i="76"/>
  <c r="K15" i="78" l="1"/>
  <c r="K15" i="79" l="1"/>
  <c r="K15" i="80" l="1"/>
  <c r="K15" i="81" l="1"/>
  <c r="K15" i="82" l="1"/>
  <c r="K15" i="83" l="1"/>
  <c r="K15" i="84" l="1"/>
  <c r="K15" i="85" l="1"/>
  <c r="K15" i="86" l="1"/>
  <c r="K15" i="87" l="1"/>
  <c r="K15" i="88" l="1"/>
  <c r="K15" i="89" l="1"/>
  <c r="K15" i="90" l="1"/>
  <c r="K15" i="91" l="1"/>
  <c r="K15" i="92" l="1"/>
  <c r="K15" i="93" l="1"/>
  <c r="K15" i="94" l="1"/>
  <c r="K15" i="95" l="1"/>
  <c r="K15" i="96" l="1"/>
  <c r="K15" i="42" l="1"/>
  <c r="H15" i="78"/>
  <c r="H15" i="80" l="1"/>
  <c r="H15" i="79"/>
  <c r="H15" i="81" l="1"/>
  <c r="H15" i="82" l="1"/>
  <c r="H15" i="83" l="1"/>
  <c r="H15" i="84" l="1"/>
  <c r="H15" i="85" l="1"/>
  <c r="H15" i="86" l="1"/>
  <c r="H15" i="87" l="1"/>
  <c r="H15" i="88" l="1"/>
  <c r="K13" i="77" l="1"/>
  <c r="H15" i="89"/>
  <c r="H15" i="90" l="1"/>
  <c r="H15" i="91" l="1"/>
  <c r="H15" i="92" l="1"/>
  <c r="H15" i="93" l="1"/>
  <c r="H15" i="94" l="1"/>
  <c r="H15" i="95" l="1"/>
  <c r="H15" i="96" l="1"/>
  <c r="H15" i="42" l="1"/>
  <c r="H13" i="77" l="1"/>
  <c r="P35" i="1"/>
  <c r="L35" i="3"/>
  <c r="AD35" i="3"/>
  <c r="I35" i="3"/>
  <c r="H25" i="78"/>
  <c r="H25" i="79" s="1"/>
  <c r="H25" i="80" s="1"/>
  <c r="H25" i="81" s="1"/>
  <c r="H25" i="82" s="1"/>
  <c r="H25" i="83" s="1"/>
  <c r="H25" i="84" s="1"/>
  <c r="H25" i="85" s="1"/>
  <c r="H25" i="86" s="1"/>
  <c r="H25" i="87" s="1"/>
  <c r="H25" i="88" s="1"/>
  <c r="H25" i="89" s="1"/>
  <c r="H25" i="90" s="1"/>
  <c r="H25" i="91" s="1"/>
  <c r="H25" i="92" s="1"/>
  <c r="H25" i="93" s="1"/>
  <c r="H25" i="94" s="1"/>
  <c r="H25" i="95" s="1"/>
  <c r="H25" i="96" s="1"/>
  <c r="H25" i="42" s="1"/>
  <c r="H25" i="67" s="1"/>
  <c r="H25" i="68" s="1"/>
  <c r="H25" i="69" s="1"/>
  <c r="H25" i="70" s="1"/>
  <c r="H25" i="71" s="1"/>
  <c r="H25" i="72" s="1"/>
  <c r="H25" i="73" s="1"/>
  <c r="H25" i="74" s="1"/>
  <c r="H25" i="75" s="1"/>
  <c r="H25" i="76" s="1"/>
  <c r="H23" i="77" s="1"/>
  <c r="J35" i="3"/>
  <c r="K25" i="78"/>
  <c r="K25" i="79" s="1"/>
  <c r="K25" i="80" s="1"/>
  <c r="K25" i="81" s="1"/>
  <c r="K25" i="82" s="1"/>
  <c r="K25" i="83" s="1"/>
  <c r="K25" i="84" s="1"/>
  <c r="K25" i="85" s="1"/>
  <c r="K25" i="86" s="1"/>
  <c r="K25" i="87" s="1"/>
  <c r="K25" i="88" s="1"/>
  <c r="K25" i="89" s="1"/>
  <c r="K25" i="90" s="1"/>
  <c r="K25" i="91" s="1"/>
  <c r="K25" i="92" s="1"/>
  <c r="K25" i="93" s="1"/>
  <c r="K25" i="94" s="1"/>
  <c r="K25" i="95" s="1"/>
  <c r="K25" i="96" s="1"/>
  <c r="K25" i="42" s="1"/>
  <c r="K25" i="67" s="1"/>
  <c r="K25" i="68" s="1"/>
  <c r="K25" i="69" s="1"/>
  <c r="K25" i="70" s="1"/>
  <c r="K25" i="71" s="1"/>
  <c r="K25" i="72" s="1"/>
  <c r="K25" i="73" s="1"/>
  <c r="K25" i="74" s="1"/>
  <c r="K25" i="75" s="1"/>
  <c r="K25" i="76" s="1"/>
  <c r="K23" i="77" s="1"/>
  <c r="N35" i="3"/>
  <c r="K26" i="78"/>
  <c r="K26" i="79" s="1"/>
  <c r="K26" i="80" s="1"/>
  <c r="K26" i="81" s="1"/>
  <c r="K26" i="82" s="1"/>
  <c r="K26" i="83" s="1"/>
  <c r="K26" i="84" s="1"/>
  <c r="K26" i="85" s="1"/>
  <c r="K26" i="86" s="1"/>
  <c r="K26" i="87" s="1"/>
  <c r="K26" i="88" s="1"/>
  <c r="K26" i="89" s="1"/>
  <c r="K26" i="90" s="1"/>
  <c r="K26" i="91" s="1"/>
  <c r="K26" i="92" s="1"/>
  <c r="K26" i="93" s="1"/>
  <c r="K26" i="94" s="1"/>
  <c r="K26" i="95" s="1"/>
  <c r="K26" i="96" s="1"/>
  <c r="K26" i="42" s="1"/>
  <c r="K26" i="67" s="1"/>
  <c r="K26" i="68" s="1"/>
  <c r="K26" i="69" s="1"/>
  <c r="K26" i="70" s="1"/>
  <c r="K26" i="71" s="1"/>
  <c r="K26" i="72" s="1"/>
  <c r="K26" i="73" s="1"/>
  <c r="K26" i="74" s="1"/>
  <c r="K26" i="75" s="1"/>
  <c r="K26" i="76" s="1"/>
  <c r="K24" i="77" s="1"/>
  <c r="M35" i="3"/>
  <c r="H26" i="78"/>
  <c r="H26" i="79" s="1"/>
  <c r="H26" i="80" s="1"/>
  <c r="H26" i="81" s="1"/>
  <c r="H26" i="82" s="1"/>
  <c r="H26" i="83" s="1"/>
  <c r="H26" i="84" s="1"/>
  <c r="H26" i="85" s="1"/>
  <c r="H26" i="86" s="1"/>
  <c r="H26" i="87" s="1"/>
  <c r="H26" i="88" s="1"/>
  <c r="H26" i="89" s="1"/>
  <c r="H26" i="90" s="1"/>
  <c r="H26" i="91" s="1"/>
  <c r="H26" i="92" s="1"/>
  <c r="H26" i="93" s="1"/>
  <c r="H26" i="94" s="1"/>
  <c r="H26" i="95" s="1"/>
  <c r="H26" i="96" s="1"/>
  <c r="H26" i="42" s="1"/>
  <c r="H26" i="67" s="1"/>
  <c r="H26" i="68" s="1"/>
  <c r="H26" i="69" s="1"/>
  <c r="H26" i="70" s="1"/>
  <c r="H26" i="71" s="1"/>
  <c r="H26" i="72" s="1"/>
  <c r="H26" i="73" s="1"/>
  <c r="H26" i="74" s="1"/>
  <c r="H26" i="75" s="1"/>
  <c r="H26" i="76" s="1"/>
  <c r="H24" i="77" s="1"/>
  <c r="E35" i="3"/>
  <c r="K24" i="79"/>
  <c r="K24" i="80" s="1"/>
  <c r="K24" i="81" s="1"/>
  <c r="AE35" i="3"/>
  <c r="O32" i="80"/>
  <c r="AA35" i="3"/>
  <c r="D35" i="3"/>
  <c r="H24" i="78"/>
  <c r="H24" i="79" s="1"/>
  <c r="H23" i="78"/>
  <c r="W35" i="3"/>
  <c r="V35" i="3"/>
  <c r="Q35" i="3"/>
  <c r="I39" i="2"/>
  <c r="R35" i="3"/>
  <c r="J39" i="2"/>
  <c r="Z35" i="3"/>
  <c r="K27" i="78" l="1"/>
  <c r="H27" i="78"/>
  <c r="O32" i="81"/>
  <c r="O32" i="82" s="1"/>
  <c r="O32" i="83" s="1"/>
  <c r="O32" i="84" s="1"/>
  <c r="O32" i="85" s="1"/>
  <c r="O32" i="86" s="1"/>
  <c r="O32" i="87" s="1"/>
  <c r="O32" i="88" s="1"/>
  <c r="O32" i="89" s="1"/>
  <c r="K24" i="82"/>
  <c r="K24" i="83" s="1"/>
  <c r="K24" i="84" s="1"/>
  <c r="H24" i="80"/>
  <c r="H27" i="80" s="1"/>
  <c r="H27" i="79"/>
  <c r="K23" i="79"/>
  <c r="H23" i="95"/>
  <c r="O32" i="90" l="1"/>
  <c r="O32" i="91" s="1"/>
  <c r="O32" i="92" s="1"/>
  <c r="O32" i="93" s="1"/>
  <c r="O32" i="94" s="1"/>
  <c r="O32" i="95" s="1"/>
  <c r="O32" i="96" s="1"/>
  <c r="O32" i="42" s="1"/>
  <c r="O32" i="67" s="1"/>
  <c r="O32" i="68" s="1"/>
  <c r="O32" i="69" s="1"/>
  <c r="O32" i="70" s="1"/>
  <c r="O32" i="71" s="1"/>
  <c r="O32" i="72" s="1"/>
  <c r="O32" i="73" s="1"/>
  <c r="O32" i="74" s="1"/>
  <c r="K24" i="85"/>
  <c r="K24" i="86" s="1"/>
  <c r="K24" i="87" s="1"/>
  <c r="K24" i="88" s="1"/>
  <c r="K24" i="89" s="1"/>
  <c r="K24" i="90" s="1"/>
  <c r="K24" i="91" s="1"/>
  <c r="K24" i="92" s="1"/>
  <c r="K24" i="93" s="1"/>
  <c r="K24" i="94" s="1"/>
  <c r="K24" i="95" s="1"/>
  <c r="H24" i="81"/>
  <c r="K23" i="80"/>
  <c r="K27" i="80" s="1"/>
  <c r="K27" i="79"/>
  <c r="H23" i="96"/>
  <c r="O32" i="75" l="1"/>
  <c r="O32" i="76" s="1"/>
  <c r="O30" i="77" s="1"/>
  <c r="K24" i="96"/>
  <c r="K24" i="42" s="1"/>
  <c r="K24" i="67" s="1"/>
  <c r="K24" i="68" s="1"/>
  <c r="K24" i="69" s="1"/>
  <c r="K24" i="70" s="1"/>
  <c r="K24" i="71" s="1"/>
  <c r="K24" i="72" s="1"/>
  <c r="K24" i="73" s="1"/>
  <c r="K24" i="74" s="1"/>
  <c r="K24" i="75" s="1"/>
  <c r="K24" i="76" s="1"/>
  <c r="K22" i="77" s="1"/>
  <c r="K23" i="81"/>
  <c r="K27" i="81" s="1"/>
  <c r="H24" i="82"/>
  <c r="H27" i="82" s="1"/>
  <c r="H27" i="81"/>
  <c r="H23" i="42"/>
  <c r="K23" i="82" l="1"/>
  <c r="K23" i="83" s="1"/>
  <c r="H24" i="83"/>
  <c r="H27" i="83" s="1"/>
  <c r="H23" i="67"/>
  <c r="H23" i="68" s="1"/>
  <c r="K27" i="82" l="1"/>
  <c r="H24" i="84"/>
  <c r="H24" i="85" s="1"/>
  <c r="H23" i="71"/>
  <c r="H23" i="72" s="1"/>
  <c r="H23" i="76" s="1"/>
  <c r="H21" i="77" s="1"/>
  <c r="K27" i="83"/>
  <c r="K23" i="84"/>
  <c r="K27" i="84" s="1"/>
  <c r="H27" i="84" l="1"/>
  <c r="H24" i="86"/>
  <c r="H27" i="85"/>
  <c r="K23" i="85"/>
  <c r="H24" i="87" l="1"/>
  <c r="H27" i="86"/>
  <c r="K23" i="86"/>
  <c r="K27" i="85"/>
  <c r="K23" i="87" l="1"/>
  <c r="K27" i="86"/>
  <c r="H24" i="88"/>
  <c r="H27" i="87"/>
  <c r="H24" i="89" l="1"/>
  <c r="H27" i="88"/>
  <c r="K23" i="88"/>
  <c r="K27" i="87"/>
  <c r="H24" i="90" l="1"/>
  <c r="H27" i="89"/>
  <c r="K23" i="89"/>
  <c r="K27" i="88"/>
  <c r="K23" i="90" l="1"/>
  <c r="K27" i="89"/>
  <c r="H24" i="91"/>
  <c r="H27" i="90"/>
  <c r="H24" i="92" l="1"/>
  <c r="H27" i="91"/>
  <c r="K23" i="91"/>
  <c r="K27" i="90"/>
  <c r="K23" i="92" l="1"/>
  <c r="K27" i="91"/>
  <c r="H24" i="93"/>
  <c r="H27" i="92"/>
  <c r="H24" i="94" l="1"/>
  <c r="H27" i="93"/>
  <c r="K23" i="93"/>
  <c r="K27" i="92"/>
  <c r="K23" i="94" l="1"/>
  <c r="K27" i="93"/>
  <c r="H24" i="95"/>
  <c r="H27" i="95" s="1"/>
  <c r="H27" i="94"/>
  <c r="H24" i="96" l="1"/>
  <c r="K23" i="95"/>
  <c r="K27" i="95" s="1"/>
  <c r="K27" i="94"/>
  <c r="K23" i="96" l="1"/>
  <c r="H24" i="42"/>
  <c r="H27" i="96"/>
  <c r="K23" i="42" l="1"/>
  <c r="K27" i="96"/>
  <c r="H24" i="67"/>
  <c r="H27" i="42"/>
  <c r="K23" i="67" l="1"/>
  <c r="K27" i="42"/>
  <c r="H24" i="68"/>
  <c r="H27" i="67"/>
  <c r="K23" i="68" l="1"/>
  <c r="K27" i="67"/>
  <c r="H24" i="69"/>
  <c r="H27" i="68"/>
  <c r="K23" i="69" l="1"/>
  <c r="K27" i="68"/>
  <c r="H24" i="70"/>
  <c r="H27" i="70" s="1"/>
  <c r="H27" i="69"/>
  <c r="N35" i="64"/>
  <c r="H60" i="78"/>
  <c r="H60" i="79" s="1"/>
  <c r="H60" i="80" s="1"/>
  <c r="H60" i="81" s="1"/>
  <c r="H60" i="82" s="1"/>
  <c r="H60" i="83" s="1"/>
  <c r="H60" i="84" s="1"/>
  <c r="H60" i="85" s="1"/>
  <c r="H60" i="86" s="1"/>
  <c r="H60" i="87" s="1"/>
  <c r="H60" i="88" s="1"/>
  <c r="H60" i="89" s="1"/>
  <c r="H60" i="90" s="1"/>
  <c r="H60" i="91" s="1"/>
  <c r="H60" i="92" s="1"/>
  <c r="H60" i="93" s="1"/>
  <c r="H60" i="94" s="1"/>
  <c r="C35" i="64"/>
  <c r="Y35" i="64"/>
  <c r="K23" i="70" l="1"/>
  <c r="K27" i="70" s="1"/>
  <c r="K27" i="69"/>
  <c r="H24" i="71"/>
  <c r="H27" i="71" s="1"/>
  <c r="H60" i="95"/>
  <c r="H60" i="96" s="1"/>
  <c r="H60" i="42" l="1"/>
  <c r="H60" i="67" s="1"/>
  <c r="H60" i="68" s="1"/>
  <c r="H60" i="69" s="1"/>
  <c r="H60" i="70" s="1"/>
  <c r="H60" i="71" s="1"/>
  <c r="H60" i="72" s="1"/>
  <c r="H60" i="73" s="1"/>
  <c r="H60" i="74" s="1"/>
  <c r="H24" i="72"/>
  <c r="H27" i="72" s="1"/>
  <c r="K23" i="71"/>
  <c r="K27" i="71" s="1"/>
  <c r="H60" i="75" l="1"/>
  <c r="H60" i="76" s="1"/>
  <c r="H58" i="77" s="1"/>
  <c r="K23" i="72"/>
  <c r="K27" i="72" s="1"/>
  <c r="H24" i="73"/>
  <c r="H27" i="73" s="1"/>
  <c r="H24" i="74" l="1"/>
  <c r="H27" i="74" s="1"/>
  <c r="K23" i="73"/>
  <c r="K27" i="73" s="1"/>
  <c r="K23" i="74" l="1"/>
  <c r="K27" i="74" s="1"/>
  <c r="H24" i="75"/>
  <c r="H27" i="75" s="1"/>
  <c r="H24" i="76" l="1"/>
  <c r="H27" i="76" s="1"/>
  <c r="K23" i="75"/>
  <c r="K27" i="75" s="1"/>
  <c r="K23" i="76" l="1"/>
  <c r="K27" i="76" s="1"/>
  <c r="H22" i="77"/>
  <c r="H25" i="77" s="1"/>
  <c r="K21" i="77" l="1"/>
  <c r="K25" i="77" s="1"/>
  <c r="N55" i="80"/>
  <c r="CI28" i="6" l="1"/>
  <c r="CG34" i="6"/>
  <c r="E38" i="55" l="1"/>
  <c r="H38" i="55"/>
  <c r="C38" i="55"/>
  <c r="F38" i="55"/>
  <c r="J38" i="55"/>
  <c r="B38" i="55"/>
  <c r="G38" i="55"/>
  <c r="K38" i="55" l="1"/>
  <c r="L48" i="73"/>
  <c r="K48" i="73"/>
  <c r="H48" i="73"/>
  <c r="L48" i="74"/>
  <c r="G46" i="77" l="1"/>
  <c r="K45" i="77"/>
  <c r="K46" i="77" s="1"/>
  <c r="L45" i="77" l="1"/>
  <c r="L46" i="77" s="1"/>
  <c r="H46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H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COAL RECEIPT FROM STORE</t>
        </r>
      </text>
    </comment>
    <comment ref="BA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</t>
        </r>
      </text>
    </comment>
    <comment ref="CO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COAL RECEIPT FROM STORE</t>
        </r>
      </text>
    </comment>
    <comment ref="EP2" authorId="0" shapeId="0" xr:uid="{79D7550C-3762-454D-B06B-B8A1CF69F5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RECEIPTS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BOOKED QTY FROM STORES</t>
        </r>
      </text>
    </comment>
  </commentList>
</comments>
</file>

<file path=xl/sharedStrings.xml><?xml version="1.0" encoding="utf-8"?>
<sst xmlns="http://schemas.openxmlformats.org/spreadsheetml/2006/main" count="4352" uniqueCount="353">
  <si>
    <t>MARCH</t>
  </si>
  <si>
    <t>HG LS</t>
  </si>
  <si>
    <t>LG LS</t>
  </si>
  <si>
    <t>Clay</t>
  </si>
  <si>
    <t>Sand</t>
  </si>
  <si>
    <t>TG</t>
  </si>
  <si>
    <t>HGHMGO</t>
  </si>
  <si>
    <t>PURCHASED LIMESTONE</t>
  </si>
  <si>
    <t>BAUXITE</t>
  </si>
  <si>
    <t>Total</t>
  </si>
  <si>
    <t>Date</t>
  </si>
  <si>
    <t>Opening Stock</t>
  </si>
  <si>
    <t>Production</t>
  </si>
  <si>
    <t>Total Consumption</t>
  </si>
  <si>
    <t>CONS R/M1</t>
  </si>
  <si>
    <t>Closing Stock</t>
  </si>
  <si>
    <t>Consumption</t>
  </si>
  <si>
    <t>TOTAL Consumption</t>
  </si>
  <si>
    <t>Cons R/M1</t>
  </si>
  <si>
    <t>TOTALConsumption</t>
  </si>
  <si>
    <t>P</t>
  </si>
  <si>
    <t>C</t>
  </si>
  <si>
    <t>Raw meal</t>
  </si>
  <si>
    <t>diff</t>
  </si>
  <si>
    <t>LG</t>
  </si>
  <si>
    <t>MINES CONS</t>
  </si>
  <si>
    <t>MINES RECEIPT</t>
  </si>
  <si>
    <t>MTD</t>
  </si>
  <si>
    <t>YTD</t>
  </si>
  <si>
    <t>DEC</t>
  </si>
  <si>
    <t>Iron Ore</t>
  </si>
  <si>
    <t>Raw Meal</t>
  </si>
  <si>
    <t>Tan Coal</t>
  </si>
  <si>
    <t>EDENVILLEY coal</t>
  </si>
  <si>
    <t>RUVUMA coal</t>
  </si>
  <si>
    <t>GODMWANGA coal</t>
  </si>
  <si>
    <t>STAMICO coal</t>
  </si>
  <si>
    <t>Ash Coal</t>
  </si>
  <si>
    <t>Ariim Coal</t>
  </si>
  <si>
    <t>Lik &amp; Lambert coal</t>
  </si>
  <si>
    <t>JITEGEMEE</t>
  </si>
  <si>
    <t>MAX COAL</t>
  </si>
  <si>
    <t>SINO COAL</t>
  </si>
  <si>
    <t>Ibrico</t>
  </si>
  <si>
    <t>MEGA CJ</t>
  </si>
  <si>
    <t>MABENGA COAL</t>
  </si>
  <si>
    <t>TENCO</t>
  </si>
  <si>
    <t>Scolastica</t>
  </si>
  <si>
    <t>Connect</t>
  </si>
  <si>
    <t>Yongda</t>
  </si>
  <si>
    <t>Kindaini</t>
  </si>
  <si>
    <t>MONTREAL</t>
  </si>
  <si>
    <t>ludewa</t>
  </si>
  <si>
    <t>MCHEKANE</t>
  </si>
  <si>
    <t>MARKET</t>
  </si>
  <si>
    <t>SIAAS</t>
  </si>
  <si>
    <t>KILN COAL</t>
  </si>
  <si>
    <t>cpp coal</t>
  </si>
  <si>
    <t>Clinker</t>
  </si>
  <si>
    <t>Spg TRACKING</t>
  </si>
  <si>
    <t>Consumption/RM1</t>
  </si>
  <si>
    <t xml:space="preserve">total Consumption </t>
  </si>
  <si>
    <t>CPP</t>
  </si>
  <si>
    <t>KILN</t>
  </si>
  <si>
    <t>Consumption CPP</t>
  </si>
  <si>
    <t>Consump Kiln</t>
  </si>
  <si>
    <t>Kiln cons</t>
  </si>
  <si>
    <t>CONS CPP</t>
  </si>
  <si>
    <t>clinker despatch</t>
  </si>
  <si>
    <t>OP</t>
  </si>
  <si>
    <t>CLINKER PURCHASED</t>
  </si>
  <si>
    <t>CLINKER CONS</t>
  </si>
  <si>
    <t>CLOSING</t>
  </si>
  <si>
    <t>APRIL</t>
  </si>
  <si>
    <t>HG</t>
  </si>
  <si>
    <t>CLAY</t>
  </si>
  <si>
    <t>SAND</t>
  </si>
  <si>
    <t>IRON ORE</t>
  </si>
  <si>
    <t>TOTAL WET</t>
  </si>
  <si>
    <t>CONSUMPTION</t>
  </si>
  <si>
    <t>PRODUCTION</t>
  </si>
  <si>
    <t>Gypsum</t>
  </si>
  <si>
    <t>STAREX</t>
  </si>
  <si>
    <t>MAPEI</t>
  </si>
  <si>
    <t>LG1</t>
  </si>
  <si>
    <t>SPG</t>
  </si>
  <si>
    <t>LS-2</t>
  </si>
  <si>
    <t>Cons dry</t>
  </si>
  <si>
    <t>Cons wet</t>
  </si>
  <si>
    <t>Cons DRY</t>
  </si>
  <si>
    <t>CONS WET</t>
  </si>
  <si>
    <t>JAN</t>
  </si>
  <si>
    <t>Crushed limestone</t>
  </si>
  <si>
    <t>Raw Mill-1</t>
  </si>
  <si>
    <t>RAW MILL 2</t>
  </si>
  <si>
    <t>Coal Mill</t>
  </si>
  <si>
    <t>Kiln</t>
  </si>
  <si>
    <t>Cement Mill (42.5)</t>
  </si>
  <si>
    <t>Cement Mill (32.5</t>
  </si>
  <si>
    <t>Cement Mill (42.5N)</t>
  </si>
  <si>
    <t>Cement Mill (OPC)</t>
  </si>
  <si>
    <t>Cement Mill (42.5N BM)</t>
  </si>
  <si>
    <t>Cement Mill- 2 (42.5)</t>
  </si>
  <si>
    <t>Cement Mill -2 (32.5</t>
  </si>
  <si>
    <t>Cement Mill -2(42.5N)</t>
  </si>
  <si>
    <t>Cement Mill -2(OPC)</t>
  </si>
  <si>
    <t>Cement Mill -2(42.5 N BM)</t>
  </si>
  <si>
    <t>Dipatch 42.5</t>
  </si>
  <si>
    <t>Dispatch32.5</t>
  </si>
  <si>
    <t>Dispatch 42.5N</t>
  </si>
  <si>
    <t xml:space="preserve">Dispatch OPC </t>
  </si>
  <si>
    <t>Dispatch 42.5N BM</t>
  </si>
  <si>
    <t>Rng Hrs</t>
  </si>
  <si>
    <t>TPH</t>
  </si>
  <si>
    <t>Opening</t>
  </si>
  <si>
    <t>Closing</t>
  </si>
  <si>
    <t>Act Silo level</t>
  </si>
  <si>
    <t>total consumption</t>
  </si>
  <si>
    <t>Clin. Con</t>
  </si>
  <si>
    <t>Cement con</t>
  </si>
  <si>
    <t>consumption</t>
  </si>
  <si>
    <t xml:space="preserve">Opning </t>
  </si>
  <si>
    <t>Dispatch</t>
  </si>
  <si>
    <t>Silo Closing</t>
  </si>
  <si>
    <t>Actual Silo 1</t>
  </si>
  <si>
    <t>Actual Silo 2</t>
  </si>
  <si>
    <t>Actual silo 3</t>
  </si>
  <si>
    <t>Total Book</t>
  </si>
  <si>
    <t>Diff</t>
  </si>
  <si>
    <t>Total dispatch</t>
  </si>
  <si>
    <t>Total Grinding</t>
  </si>
  <si>
    <t>R/MILL DIFF</t>
  </si>
  <si>
    <t>RAW MILL</t>
  </si>
  <si>
    <t>COAL</t>
  </si>
  <si>
    <t>CEM- 1</t>
  </si>
  <si>
    <t>CEM-2</t>
  </si>
  <si>
    <t>CEM-1</t>
  </si>
  <si>
    <t>.</t>
  </si>
  <si>
    <t>Rng hrs</t>
  </si>
  <si>
    <t>tan Coal Consumption</t>
  </si>
  <si>
    <t>Edenville Ash coal cons</t>
  </si>
  <si>
    <t>Godmwanga coal cons</t>
  </si>
  <si>
    <t>stamico</t>
  </si>
  <si>
    <t>Ruvuma</t>
  </si>
  <si>
    <t>ARIIM</t>
  </si>
  <si>
    <t>LIK</t>
  </si>
  <si>
    <t>MAX</t>
  </si>
  <si>
    <t>SINO</t>
  </si>
  <si>
    <t>IBRICO</t>
  </si>
  <si>
    <t>MEGA</t>
  </si>
  <si>
    <t>KINDAINI</t>
  </si>
  <si>
    <t>Montreal</t>
  </si>
  <si>
    <t>LUDEWA</t>
  </si>
  <si>
    <t>CRUSHER</t>
  </si>
  <si>
    <t>RAW MILL-1</t>
  </si>
  <si>
    <t>RAW MILL-2</t>
  </si>
  <si>
    <t>PYRO -KILN</t>
  </si>
  <si>
    <t>COAL MILL</t>
  </si>
  <si>
    <t>CEMENT MILL</t>
  </si>
  <si>
    <t>LOSSES</t>
  </si>
  <si>
    <t>P.Plant</t>
  </si>
  <si>
    <t>Water pump, Utility, Factory &amp; Colony lighting.</t>
  </si>
  <si>
    <t>TOTAL</t>
  </si>
  <si>
    <t>compressor</t>
  </si>
  <si>
    <t>R/M1 POWER</t>
  </si>
  <si>
    <t>R/M2 POWER</t>
  </si>
  <si>
    <t>PER TONE R/M1</t>
  </si>
  <si>
    <t>PER TON R/M2</t>
  </si>
  <si>
    <t>CEM1 POWER</t>
  </si>
  <si>
    <t>CEM2 POWER</t>
  </si>
  <si>
    <t>PER TONE CM1</t>
  </si>
  <si>
    <t>PER TONE CM2</t>
  </si>
  <si>
    <t>PER TONE Coal</t>
  </si>
  <si>
    <t>PER TONE kiln</t>
  </si>
  <si>
    <t>CLINKER</t>
  </si>
  <si>
    <t>FINE COAL CONS</t>
  </si>
  <si>
    <t>NCV</t>
  </si>
  <si>
    <t>HEAT</t>
  </si>
  <si>
    <t>% COAL</t>
  </si>
  <si>
    <t>total</t>
  </si>
  <si>
    <t>/ TON MAT</t>
  </si>
  <si>
    <t>/ TON CLINK</t>
  </si>
  <si>
    <t>/ TON CEM</t>
  </si>
  <si>
    <t>Cement Production</t>
  </si>
  <si>
    <t>TPH42.5</t>
  </si>
  <si>
    <t>TPH32.5</t>
  </si>
  <si>
    <t>TPH42.5N</t>
  </si>
  <si>
    <t>OPC</t>
  </si>
  <si>
    <t>42.5N BM</t>
  </si>
  <si>
    <t>Lime Stone in 42.5</t>
  </si>
  <si>
    <t>Gypsum In 42.5</t>
  </si>
  <si>
    <t>Lime Stone in 32.5</t>
  </si>
  <si>
    <t>Gypsum In 32.5</t>
  </si>
  <si>
    <t>Lime Stone in 42.5N</t>
  </si>
  <si>
    <t>Gypsum In 42.5N</t>
  </si>
  <si>
    <t>Lime Stone in OPC</t>
  </si>
  <si>
    <t>Gypsum In OPC</t>
  </si>
  <si>
    <t>Lime Stone in 42.5N BM</t>
  </si>
  <si>
    <t>Gypsum In 42.5N BM</t>
  </si>
  <si>
    <t>Clinker In 42.5</t>
  </si>
  <si>
    <t>Clinker in 32.5</t>
  </si>
  <si>
    <t>Clinker in 42.5N</t>
  </si>
  <si>
    <t>CLINKER IN OPC</t>
  </si>
  <si>
    <t>CLINKER IN 42.5N BM</t>
  </si>
  <si>
    <t>Total clinker</t>
  </si>
  <si>
    <t>Total LS 1</t>
  </si>
  <si>
    <t>Total GY</t>
  </si>
  <si>
    <t>Mapi (lit)</t>
  </si>
  <si>
    <t>Strex (Lit)</t>
  </si>
  <si>
    <t>%cli</t>
  </si>
  <si>
    <t>total cement</t>
  </si>
  <si>
    <t>42.5N</t>
  </si>
  <si>
    <t>CM PRODN</t>
  </si>
  <si>
    <t>date</t>
  </si>
  <si>
    <t>strex</t>
  </si>
  <si>
    <t>kg</t>
  </si>
  <si>
    <t>lit</t>
  </si>
  <si>
    <t xml:space="preserve">kg </t>
  </si>
  <si>
    <t>TPH42.5N BM</t>
  </si>
  <si>
    <t>TPH OPC</t>
  </si>
  <si>
    <t>Clinker in OPC</t>
  </si>
  <si>
    <t>Clinker in 42.5N BM</t>
  </si>
  <si>
    <t>42.5N bm</t>
  </si>
  <si>
    <t>LS2 42.5</t>
  </si>
  <si>
    <t>LS2 32.5</t>
  </si>
  <si>
    <t>opc</t>
  </si>
  <si>
    <t>Receiving</t>
  </si>
  <si>
    <t>OB</t>
  </si>
  <si>
    <t>Received Cement 42.5R</t>
  </si>
  <si>
    <t>Cement consumption 42.5R</t>
  </si>
  <si>
    <t>CB</t>
  </si>
  <si>
    <t>Received Cement 42.5 N</t>
  </si>
  <si>
    <t>Cement consumption 42.5 N</t>
  </si>
  <si>
    <t>Received Cement 32.5 N</t>
  </si>
  <si>
    <t>Cement consumption 32.5 N</t>
  </si>
  <si>
    <t>Received Cement OPC</t>
  </si>
  <si>
    <t>Cement consumption OPC</t>
  </si>
  <si>
    <t>Cement consumption 42.5 N BM</t>
  </si>
  <si>
    <t xml:space="preserve">limestone </t>
  </si>
  <si>
    <t>clay</t>
  </si>
  <si>
    <t>Iron ore</t>
  </si>
  <si>
    <t>% moisture (LS,OB,ID)</t>
  </si>
  <si>
    <t>% moisture (IO)</t>
  </si>
  <si>
    <t>coal</t>
  </si>
  <si>
    <t>% moisture</t>
  </si>
  <si>
    <t>LAKE CEMENT LIMITED</t>
  </si>
  <si>
    <t xml:space="preserve">                                                          PRODUCTION REPORT</t>
  </si>
  <si>
    <t>DATE</t>
  </si>
  <si>
    <t>01.06.2026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</si>
  <si>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</si>
  <si>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</si>
  <si>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</si>
  <si>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</si>
  <si>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</si>
  <si>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</si>
  <si>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</si>
  <si>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</si>
  <si>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MATL CONSUMPTION</t>
  </si>
  <si>
    <t>% MATL CONSUMPTION</t>
  </si>
  <si>
    <t>MOISTURE %</t>
  </si>
  <si>
    <t>ON DATE</t>
  </si>
  <si>
    <t xml:space="preserve">PYRO PROCESSING </t>
  </si>
  <si>
    <t xml:space="preserve"> </t>
  </si>
  <si>
    <t>LIMESTONE</t>
  </si>
  <si>
    <t>INDUSTRIAL CLAY</t>
  </si>
  <si>
    <t>TOTAL MATL - RAW MILL</t>
  </si>
  <si>
    <t xml:space="preserve">COAL </t>
  </si>
  <si>
    <t xml:space="preserve">CEMENT GRINDING </t>
  </si>
  <si>
    <t xml:space="preserve">CLINKER </t>
  </si>
  <si>
    <t>OWN</t>
  </si>
  <si>
    <t>CLINKER DESPATCH</t>
  </si>
  <si>
    <t>GYPSUM</t>
  </si>
  <si>
    <t>GRINDING AID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</si>
  <si>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</si>
  <si>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</si>
  <si>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</si>
  <si>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</si>
  <si>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</si>
  <si>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</si>
  <si>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</si>
  <si>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MT / HR</t>
  </si>
  <si>
    <t>LS CRUSHER</t>
  </si>
  <si>
    <t>RAW MILL -1</t>
  </si>
  <si>
    <t>RAW MILL -2</t>
  </si>
  <si>
    <t>CEMENT MILL -1</t>
  </si>
  <si>
    <t>32.5 N</t>
  </si>
  <si>
    <t>42.5 R</t>
  </si>
  <si>
    <t>42.5 N</t>
  </si>
  <si>
    <t>42.5 N BM</t>
  </si>
  <si>
    <t>CEMENT MILL -2</t>
  </si>
  <si>
    <t>SPECIFIC POWER</t>
  </si>
  <si>
    <t>SPECIFIC HEAT CONSUMPTION (KILN)</t>
  </si>
  <si>
    <t>CEM MILL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</si>
  <si>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</si>
  <si>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</si>
  <si>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</si>
  <si>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</si>
  <si>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</si>
  <si>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</si>
  <si>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</si>
  <si>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</si>
  <si>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</si>
  <si>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</si>
  <si>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PRODUCTION HEAD</t>
  </si>
  <si>
    <t>MATERIAL</t>
  </si>
  <si>
    <t>DAY</t>
  </si>
  <si>
    <t>INTERNAL USE CEMENT</t>
  </si>
  <si>
    <t>42.5NBM</t>
  </si>
  <si>
    <t>02.06.2026</t>
  </si>
  <si>
    <t>CALCULATED MOISTURE %</t>
  </si>
  <si>
    <t>03.06.2026</t>
  </si>
  <si>
    <t xml:space="preserve"> MATL CONSUMPTION</t>
  </si>
  <si>
    <t>04.06.2026</t>
  </si>
  <si>
    <t xml:space="preserve">MTD CALCULATED MOISTURE % </t>
  </si>
  <si>
    <t xml:space="preserve">  </t>
  </si>
  <si>
    <t xml:space="preserve">RAW MILL </t>
  </si>
  <si>
    <t>05.05.2026</t>
  </si>
  <si>
    <t>06.05.2026</t>
  </si>
  <si>
    <t>07.06.2026</t>
  </si>
  <si>
    <t>08.06.2026</t>
  </si>
  <si>
    <t>09.06.2026</t>
  </si>
  <si>
    <t>MTD MOISTURE %</t>
  </si>
  <si>
    <t>RAW MILL- 1</t>
  </si>
  <si>
    <t>10.06.2026</t>
  </si>
  <si>
    <t>11.06.2026</t>
  </si>
  <si>
    <t>12.06.2026</t>
  </si>
  <si>
    <t>DRY BASIS</t>
  </si>
  <si>
    <t>WET BASIS</t>
  </si>
  <si>
    <t xml:space="preserve">RAW MILL- 1 </t>
  </si>
  <si>
    <t>13.06.2026</t>
  </si>
  <si>
    <t>14.06.2026</t>
  </si>
  <si>
    <t>15.06.2026</t>
  </si>
  <si>
    <t>16.06.2026</t>
  </si>
  <si>
    <t>17.06.2026</t>
  </si>
  <si>
    <t>19.05.2026</t>
  </si>
  <si>
    <t>20.06.2026</t>
  </si>
  <si>
    <t>42.5R</t>
  </si>
  <si>
    <t>21.06.2026</t>
  </si>
  <si>
    <t>MILL DUST IRON ORE</t>
  </si>
  <si>
    <t>22.06.2026</t>
  </si>
  <si>
    <t>23.06.2026</t>
  </si>
  <si>
    <t>lIMESTONE</t>
  </si>
  <si>
    <t>24.06.2026</t>
  </si>
  <si>
    <t>MTD MOSITURE %</t>
  </si>
  <si>
    <t>25.06.2026</t>
  </si>
  <si>
    <t>26.06.2026</t>
  </si>
  <si>
    <t>27.06.2026</t>
  </si>
  <si>
    <t>28.06.2026</t>
  </si>
  <si>
    <t>29.06.2026</t>
  </si>
  <si>
    <t>Production Head</t>
  </si>
  <si>
    <t>30.06.2026</t>
  </si>
  <si>
    <t>31.05.2026</t>
  </si>
  <si>
    <t xml:space="preserve">RAW MILL - 1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</si>
</sst>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"/>
    <numFmt numFmtId="167" formatCode="0.0000000000"/>
    <numFmt numFmtId="168" formatCode="0.00000000000"/>
    <numFmt numFmtId="169" formatCode="0.000000"/>
    <numFmt numFmtId="170" formatCode="0.00000"/>
    <numFmt numFmtId="171" formatCode="0.0000000"/>
    <numFmt numFmtId="172" formatCode="0.0000"/>
  </numFmts>
  <fonts count="26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"/>
      <family val="2"/>
      <scheme val="minor"/>
    </font>
    <font>
      <sz val="11"/>
      <color rgb="FF000000"/>
      <name val="等线"/>
    </font>
    <font>
      <b/>
      <sz val="10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0000CC"/>
      <name val="等线"/>
    </font>
    <font>
      <sz val="11"/>
      <color rgb="FF0000FF"/>
      <name val="Calibri"/>
      <family val="2"/>
      <scheme val="minor"/>
    </font>
    <font>
      <sz val="11"/>
      <color rgb="FF0000FF"/>
      <name val="等线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77">
    <xf numFmtId="0" fontId="0" fillId="0" borderId="0"/>
    <xf numFmtId="0" fontId="6" fillId="0" borderId="0"/>
    <xf numFmtId="0" fontId="7" fillId="0" borderId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/>
    <xf numFmtId="43" fontId="8" fillId="0" borderId="0" applyFont="0" applyFill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1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1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21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1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21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21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3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7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2" borderId="11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1" xfId="0" applyNumberFormat="1" applyBorder="1"/>
    <xf numFmtId="2" fontId="0" fillId="0" borderId="1" xfId="0" applyNumberFormat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13" xfId="0" applyBorder="1"/>
    <xf numFmtId="0" fontId="2" fillId="0" borderId="0" xfId="0" applyFont="1" applyAlignment="1">
      <alignment vertical="center" wrapText="1"/>
    </xf>
    <xf numFmtId="0" fontId="0" fillId="0" borderId="5" xfId="0" applyBorder="1" applyAlignment="1">
      <alignment horizontal="right"/>
    </xf>
    <xf numFmtId="0" fontId="0" fillId="0" borderId="36" xfId="0" applyBorder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18" xfId="0" applyBorder="1" applyAlignment="1">
      <alignment horizontal="center"/>
    </xf>
    <xf numFmtId="0" fontId="0" fillId="0" borderId="14" xfId="0" applyBorder="1"/>
    <xf numFmtId="0" fontId="0" fillId="2" borderId="14" xfId="0" applyFill="1" applyBorder="1"/>
    <xf numFmtId="0" fontId="0" fillId="2" borderId="16" xfId="0" applyFill="1" applyBorder="1"/>
    <xf numFmtId="2" fontId="0" fillId="2" borderId="0" xfId="0" applyNumberFormat="1" applyFill="1"/>
    <xf numFmtId="0" fontId="0" fillId="0" borderId="22" xfId="0" applyBorder="1"/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165" fontId="0" fillId="3" borderId="1" xfId="0" applyNumberFormat="1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14" xfId="0" applyFill="1" applyBorder="1"/>
    <xf numFmtId="0" fontId="0" fillId="2" borderId="9" xfId="0" applyFill="1" applyBorder="1"/>
    <xf numFmtId="165" fontId="0" fillId="2" borderId="10" xfId="0" applyNumberFormat="1" applyFill="1" applyBorder="1"/>
    <xf numFmtId="165" fontId="0" fillId="0" borderId="11" xfId="0" applyNumberFormat="1" applyBorder="1"/>
    <xf numFmtId="0" fontId="0" fillId="4" borderId="1" xfId="0" applyFill="1" applyBorder="1"/>
    <xf numFmtId="165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left"/>
    </xf>
    <xf numFmtId="2" fontId="0" fillId="2" borderId="10" xfId="0" applyNumberFormat="1" applyFill="1" applyBorder="1"/>
    <xf numFmtId="165" fontId="0" fillId="2" borderId="9" xfId="0" applyNumberFormat="1" applyFill="1" applyBorder="1"/>
    <xf numFmtId="0" fontId="0" fillId="5" borderId="9" xfId="0" applyFill="1" applyBorder="1"/>
    <xf numFmtId="2" fontId="0" fillId="2" borderId="9" xfId="0" applyNumberFormat="1" applyFill="1" applyBorder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2" borderId="38" xfId="0" applyFill="1" applyBorder="1"/>
    <xf numFmtId="0" fontId="0" fillId="2" borderId="40" xfId="0" applyFill="1" applyBorder="1"/>
    <xf numFmtId="0" fontId="3" fillId="2" borderId="41" xfId="0" applyFont="1" applyFill="1" applyBorder="1"/>
    <xf numFmtId="0" fontId="0" fillId="0" borderId="42" xfId="0" applyBorder="1"/>
    <xf numFmtId="0" fontId="3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2" fontId="0" fillId="0" borderId="2" xfId="0" applyNumberFormat="1" applyBorder="1"/>
    <xf numFmtId="2" fontId="0" fillId="3" borderId="2" xfId="0" applyNumberFormat="1" applyFill="1" applyBorder="1"/>
    <xf numFmtId="2" fontId="0" fillId="3" borderId="16" xfId="0" applyNumberFormat="1" applyFill="1" applyBorder="1"/>
    <xf numFmtId="2" fontId="0" fillId="6" borderId="1" xfId="0" applyNumberFormat="1" applyFill="1" applyBorder="1"/>
    <xf numFmtId="0" fontId="0" fillId="7" borderId="10" xfId="0" applyFill="1" applyBorder="1"/>
    <xf numFmtId="2" fontId="0" fillId="3" borderId="1" xfId="0" applyNumberFormat="1" applyFill="1" applyBorder="1" applyAlignment="1">
      <alignment horizontal="right"/>
    </xf>
    <xf numFmtId="2" fontId="0" fillId="2" borderId="1" xfId="0" applyNumberFormat="1" applyFill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8" borderId="27" xfId="0" applyFont="1" applyFill="1" applyBorder="1"/>
    <xf numFmtId="0" fontId="1" fillId="0" borderId="9" xfId="0" applyFont="1" applyBorder="1" applyAlignment="1">
      <alignment vertical="center" wrapText="1"/>
    </xf>
    <xf numFmtId="0" fontId="2" fillId="0" borderId="24" xfId="0" applyFont="1" applyBorder="1" applyAlignment="1">
      <alignment horizontal="left" vertical="top" wrapText="1"/>
    </xf>
    <xf numFmtId="1" fontId="2" fillId="0" borderId="24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2" fillId="0" borderId="11" xfId="0" applyFont="1" applyBorder="1"/>
    <xf numFmtId="1" fontId="2" fillId="0" borderId="56" xfId="0" applyNumberFormat="1" applyFont="1" applyBorder="1" applyAlignment="1">
      <alignment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0" fontId="2" fillId="0" borderId="63" xfId="0" applyFont="1" applyBorder="1"/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 wrapText="1"/>
    </xf>
    <xf numFmtId="1" fontId="2" fillId="0" borderId="6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10" borderId="56" xfId="3" applyNumberFormat="1" applyFont="1" applyFill="1" applyBorder="1" applyAlignment="1">
      <alignment horizontal="center" vertical="center" wrapText="1"/>
    </xf>
    <xf numFmtId="0" fontId="2" fillId="10" borderId="63" xfId="3" applyNumberFormat="1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left" vertical="center" wrapText="1"/>
    </xf>
    <xf numFmtId="0" fontId="2" fillId="10" borderId="61" xfId="0" applyFont="1" applyFill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65" fontId="2" fillId="10" borderId="63" xfId="0" applyNumberFormat="1" applyFont="1" applyFill="1" applyBorder="1" applyAlignment="1">
      <alignment horizontal="center" vertical="center" wrapText="1"/>
    </xf>
    <xf numFmtId="1" fontId="2" fillId="10" borderId="22" xfId="0" applyNumberFormat="1" applyFont="1" applyFill="1" applyBorder="1" applyAlignment="1">
      <alignment horizontal="left" vertical="center" wrapText="1"/>
    </xf>
    <xf numFmtId="1" fontId="2" fillId="10" borderId="22" xfId="0" applyNumberFormat="1" applyFont="1" applyFill="1" applyBorder="1" applyAlignment="1">
      <alignment horizontal="center" vertical="center" wrapText="1"/>
    </xf>
    <xf numFmtId="0" fontId="2" fillId="10" borderId="22" xfId="0" applyFont="1" applyFill="1" applyBorder="1"/>
    <xf numFmtId="1" fontId="2" fillId="10" borderId="1" xfId="0" applyNumberFormat="1" applyFont="1" applyFill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0" fillId="2" borderId="23" xfId="0" applyFill="1" applyBorder="1"/>
    <xf numFmtId="0" fontId="0" fillId="5" borderId="2" xfId="0" applyFill="1" applyBorder="1"/>
    <xf numFmtId="0" fontId="2" fillId="0" borderId="50" xfId="0" applyFont="1" applyBorder="1" applyAlignment="1">
      <alignment horizontal="center" vertical="center" wrapText="1"/>
    </xf>
    <xf numFmtId="2" fontId="2" fillId="10" borderId="56" xfId="0" applyNumberFormat="1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1" fillId="13" borderId="30" xfId="0" applyFont="1" applyFill="1" applyBorder="1" applyAlignment="1">
      <alignment horizontal="center" vertical="center" wrapText="1"/>
    </xf>
    <xf numFmtId="14" fontId="1" fillId="13" borderId="49" xfId="0" applyNumberFormat="1" applyFont="1" applyFill="1" applyBorder="1" applyAlignment="1">
      <alignment horizontal="center" vertical="center" wrapText="1"/>
    </xf>
    <xf numFmtId="0" fontId="1" fillId="12" borderId="27" xfId="0" applyFont="1" applyFill="1" applyBorder="1"/>
    <xf numFmtId="0" fontId="1" fillId="12" borderId="43" xfId="0" applyFont="1" applyFill="1" applyBorder="1"/>
    <xf numFmtId="0" fontId="1" fillId="12" borderId="7" xfId="0" applyFont="1" applyFill="1" applyBorder="1" applyAlignment="1">
      <alignment horizontal="center" vertical="center" wrapText="1"/>
    </xf>
    <xf numFmtId="0" fontId="1" fillId="12" borderId="33" xfId="0" applyFont="1" applyFill="1" applyBorder="1"/>
    <xf numFmtId="0" fontId="1" fillId="12" borderId="22" xfId="0" applyFont="1" applyFill="1" applyBorder="1" applyAlignment="1">
      <alignment horizontal="center" vertical="center" wrapText="1"/>
    </xf>
    <xf numFmtId="0" fontId="1" fillId="12" borderId="61" xfId="0" applyFont="1" applyFill="1" applyBorder="1" applyAlignment="1">
      <alignment horizontal="center" vertical="center" wrapText="1"/>
    </xf>
    <xf numFmtId="2" fontId="1" fillId="12" borderId="56" xfId="0" applyNumberFormat="1" applyFont="1" applyFill="1" applyBorder="1" applyAlignment="1">
      <alignment horizontal="center" vertical="center" wrapText="1"/>
    </xf>
    <xf numFmtId="166" fontId="1" fillId="12" borderId="46" xfId="0" applyNumberFormat="1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top" wrapText="1"/>
    </xf>
    <xf numFmtId="166" fontId="1" fillId="12" borderId="46" xfId="0" applyNumberFormat="1" applyFont="1" applyFill="1" applyBorder="1" applyAlignment="1">
      <alignment horizontal="right" vertical="center" wrapText="1"/>
    </xf>
    <xf numFmtId="0" fontId="1" fillId="12" borderId="57" xfId="0" applyFont="1" applyFill="1" applyBorder="1"/>
    <xf numFmtId="166" fontId="1" fillId="12" borderId="6" xfId="0" applyNumberFormat="1" applyFont="1" applyFill="1" applyBorder="1" applyAlignment="1">
      <alignment horizontal="left" vertical="center" wrapText="1"/>
    </xf>
    <xf numFmtId="166" fontId="1" fillId="12" borderId="7" xfId="0" applyNumberFormat="1" applyFont="1" applyFill="1" applyBorder="1" applyAlignment="1">
      <alignment horizontal="center" vertical="center" wrapText="1"/>
    </xf>
    <xf numFmtId="166" fontId="1" fillId="12" borderId="8" xfId="0" applyNumberFormat="1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14" fontId="1" fillId="11" borderId="49" xfId="0" applyNumberFormat="1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0" fillId="14" borderId="39" xfId="0" applyFill="1" applyBorder="1"/>
    <xf numFmtId="0" fontId="0" fillId="14" borderId="9" xfId="0" applyFill="1" applyBorder="1"/>
    <xf numFmtId="0" fontId="0" fillId="14" borderId="1" xfId="0" applyFill="1" applyBorder="1"/>
    <xf numFmtId="0" fontId="0" fillId="14" borderId="10" xfId="0" applyFill="1" applyBorder="1"/>
    <xf numFmtId="0" fontId="0" fillId="14" borderId="14" xfId="0" applyFill="1" applyBorder="1"/>
    <xf numFmtId="0" fontId="0" fillId="14" borderId="0" xfId="0" applyFill="1"/>
    <xf numFmtId="2" fontId="0" fillId="14" borderId="9" xfId="0" applyNumberFormat="1" applyFill="1" applyBorder="1"/>
    <xf numFmtId="0" fontId="0" fillId="14" borderId="4" xfId="0" applyFill="1" applyBorder="1"/>
    <xf numFmtId="2" fontId="0" fillId="14" borderId="1" xfId="0" applyNumberFormat="1" applyFill="1" applyBorder="1"/>
    <xf numFmtId="165" fontId="0" fillId="14" borderId="9" xfId="0" applyNumberFormat="1" applyFill="1" applyBorder="1"/>
    <xf numFmtId="165" fontId="0" fillId="14" borderId="1" xfId="0" applyNumberFormat="1" applyFill="1" applyBorder="1"/>
    <xf numFmtId="0" fontId="0" fillId="14" borderId="2" xfId="0" applyFill="1" applyBorder="1"/>
    <xf numFmtId="2" fontId="0" fillId="14" borderId="2" xfId="0" applyNumberFormat="1" applyFill="1" applyBorder="1"/>
    <xf numFmtId="2" fontId="0" fillId="14" borderId="1" xfId="0" applyNumberFormat="1" applyFill="1" applyBorder="1" applyAlignment="1">
      <alignment horizontal="left"/>
    </xf>
    <xf numFmtId="1" fontId="0" fillId="3" borderId="1" xfId="0" applyNumberFormat="1" applyFill="1" applyBorder="1"/>
    <xf numFmtId="0" fontId="0" fillId="12" borderId="1" xfId="0" applyFill="1" applyBorder="1"/>
    <xf numFmtId="0" fontId="0" fillId="12" borderId="23" xfId="0" applyFill="1" applyBorder="1"/>
    <xf numFmtId="1" fontId="0" fillId="2" borderId="0" xfId="0" applyNumberFormat="1" applyFill="1"/>
    <xf numFmtId="0" fontId="0" fillId="0" borderId="27" xfId="0" applyBorder="1"/>
    <xf numFmtId="0" fontId="0" fillId="0" borderId="23" xfId="0" applyBorder="1"/>
    <xf numFmtId="1" fontId="0" fillId="0" borderId="0" xfId="0" applyNumberFormat="1"/>
    <xf numFmtId="1" fontId="2" fillId="0" borderId="0" xfId="0" applyNumberFormat="1" applyFont="1"/>
    <xf numFmtId="2" fontId="2" fillId="0" borderId="0" xfId="0" applyNumberFormat="1" applyFont="1"/>
    <xf numFmtId="0" fontId="0" fillId="0" borderId="53" xfId="0" applyBorder="1"/>
    <xf numFmtId="165" fontId="0" fillId="0" borderId="67" xfId="0" applyNumberFormat="1" applyBorder="1"/>
    <xf numFmtId="165" fontId="0" fillId="0" borderId="28" xfId="0" applyNumberFormat="1" applyBorder="1"/>
    <xf numFmtId="165" fontId="0" fillId="0" borderId="16" xfId="0" applyNumberFormat="1" applyBorder="1"/>
    <xf numFmtId="1" fontId="2" fillId="0" borderId="14" xfId="0" applyNumberFormat="1" applyFont="1" applyBorder="1" applyAlignment="1">
      <alignment horizontal="center" vertical="center" wrapText="1"/>
    </xf>
    <xf numFmtId="166" fontId="1" fillId="12" borderId="31" xfId="0" applyNumberFormat="1" applyFont="1" applyFill="1" applyBorder="1" applyAlignment="1">
      <alignment horizontal="center" vertical="center" wrapText="1"/>
    </xf>
    <xf numFmtId="1" fontId="0" fillId="2" borderId="10" xfId="0" applyNumberFormat="1" applyFill="1" applyBorder="1"/>
    <xf numFmtId="2" fontId="0" fillId="0" borderId="11" xfId="0" applyNumberFormat="1" applyBorder="1"/>
    <xf numFmtId="0" fontId="0" fillId="15" borderId="1" xfId="0" applyFill="1" applyBorder="1"/>
    <xf numFmtId="166" fontId="1" fillId="12" borderId="1" xfId="0" applyNumberFormat="1" applyFont="1" applyFill="1" applyBorder="1" applyAlignment="1">
      <alignment horizontal="center" vertical="center" wrapText="1"/>
    </xf>
    <xf numFmtId="0" fontId="3" fillId="0" borderId="36" xfId="0" applyFont="1" applyBorder="1"/>
    <xf numFmtId="2" fontId="0" fillId="2" borderId="1" xfId="0" applyNumberFormat="1" applyFill="1" applyBorder="1" applyAlignment="1">
      <alignment horizontal="left"/>
    </xf>
    <xf numFmtId="1" fontId="2" fillId="0" borderId="0" xfId="0" applyNumberFormat="1" applyFont="1" applyAlignment="1">
      <alignment vertical="center" wrapText="1"/>
    </xf>
    <xf numFmtId="166" fontId="2" fillId="0" borderId="0" xfId="0" applyNumberFormat="1" applyFont="1"/>
    <xf numFmtId="0" fontId="0" fillId="16" borderId="1" xfId="0" applyFill="1" applyBorder="1"/>
    <xf numFmtId="0" fontId="0" fillId="0" borderId="23" xfId="0" applyBorder="1" applyAlignment="1">
      <alignment horizontal="center"/>
    </xf>
    <xf numFmtId="0" fontId="2" fillId="0" borderId="22" xfId="0" applyFont="1" applyBorder="1" applyAlignment="1">
      <alignment horizontal="left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0" fillId="15" borderId="16" xfId="0" applyFill="1" applyBorder="1" applyAlignment="1">
      <alignment horizontal="center" wrapText="1"/>
    </xf>
    <xf numFmtId="2" fontId="0" fillId="12" borderId="2" xfId="0" applyNumberFormat="1" applyFill="1" applyBorder="1"/>
    <xf numFmtId="1" fontId="2" fillId="0" borderId="61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17" borderId="9" xfId="0" applyFill="1" applyBorder="1"/>
    <xf numFmtId="165" fontId="0" fillId="17" borderId="9" xfId="0" applyNumberFormat="1" applyFill="1" applyBorder="1"/>
    <xf numFmtId="165" fontId="0" fillId="17" borderId="10" xfId="0" applyNumberFormat="1" applyFill="1" applyBorder="1"/>
    <xf numFmtId="0" fontId="2" fillId="10" borderId="22" xfId="3" applyNumberFormat="1" applyFont="1" applyFill="1" applyBorder="1" applyAlignment="1">
      <alignment horizontal="center" vertical="center" wrapText="1"/>
    </xf>
    <xf numFmtId="0" fontId="2" fillId="10" borderId="50" xfId="3" applyNumberFormat="1" applyFont="1" applyFill="1" applyBorder="1" applyAlignment="1">
      <alignment horizontal="center" vertical="center" wrapText="1"/>
    </xf>
    <xf numFmtId="0" fontId="2" fillId="0" borderId="29" xfId="0" applyFont="1" applyBorder="1"/>
    <xf numFmtId="1" fontId="2" fillId="0" borderId="22" xfId="0" applyNumberFormat="1" applyFont="1" applyBorder="1" applyAlignment="1">
      <alignment vertical="center" wrapText="1"/>
    </xf>
    <xf numFmtId="0" fontId="2" fillId="0" borderId="50" xfId="0" applyFont="1" applyBorder="1"/>
    <xf numFmtId="166" fontId="1" fillId="12" borderId="9" xfId="0" applyNumberFormat="1" applyFont="1" applyFill="1" applyBorder="1" applyAlignment="1">
      <alignment horizontal="left" vertical="center" wrapText="1"/>
    </xf>
    <xf numFmtId="165" fontId="2" fillId="0" borderId="56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1" fontId="2" fillId="0" borderId="56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166" fontId="1" fillId="12" borderId="38" xfId="0" applyNumberFormat="1" applyFont="1" applyFill="1" applyBorder="1" applyAlignment="1">
      <alignment horizontal="left" vertical="center" wrapText="1"/>
    </xf>
    <xf numFmtId="166" fontId="1" fillId="12" borderId="41" xfId="0" applyNumberFormat="1" applyFont="1" applyFill="1" applyBorder="1" applyAlignment="1">
      <alignment horizontal="center" vertical="center" wrapText="1"/>
    </xf>
    <xf numFmtId="166" fontId="1" fillId="12" borderId="37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1" fillId="12" borderId="10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6" fontId="1" fillId="12" borderId="64" xfId="0" applyNumberFormat="1" applyFont="1" applyFill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left" vertical="center" wrapText="1"/>
    </xf>
    <xf numFmtId="166" fontId="1" fillId="12" borderId="68" xfId="0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top" wrapText="1"/>
    </xf>
    <xf numFmtId="0" fontId="0" fillId="0" borderId="25" xfId="0" applyBorder="1"/>
    <xf numFmtId="1" fontId="2" fillId="0" borderId="0" xfId="0" applyNumberFormat="1" applyFont="1" applyAlignment="1">
      <alignment horizontal="left" vertical="center" wrapText="1"/>
    </xf>
    <xf numFmtId="167" fontId="2" fillId="0" borderId="0" xfId="0" applyNumberFormat="1" applyFont="1" applyAlignment="1">
      <alignment vertical="center" wrapText="1"/>
    </xf>
    <xf numFmtId="168" fontId="2" fillId="0" borderId="0" xfId="0" applyNumberFormat="1" applyFont="1"/>
    <xf numFmtId="2" fontId="2" fillId="0" borderId="0" xfId="0" applyNumberFormat="1" applyFont="1" applyAlignment="1">
      <alignment vertical="center" wrapText="1"/>
    </xf>
    <xf numFmtId="0" fontId="0" fillId="18" borderId="0" xfId="0" applyFill="1"/>
    <xf numFmtId="10" fontId="0" fillId="0" borderId="0" xfId="5" applyNumberFormat="1" applyFont="1"/>
    <xf numFmtId="2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vertical="center" wrapText="1"/>
    </xf>
    <xf numFmtId="166" fontId="0" fillId="0" borderId="11" xfId="0" applyNumberFormat="1" applyBorder="1"/>
    <xf numFmtId="165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horizontal="left" vertical="center" wrapText="1"/>
    </xf>
    <xf numFmtId="169" fontId="0" fillId="0" borderId="1" xfId="0" applyNumberFormat="1" applyBorder="1"/>
    <xf numFmtId="1" fontId="0" fillId="4" borderId="1" xfId="0" applyNumberFormat="1" applyFill="1" applyBorder="1"/>
    <xf numFmtId="165" fontId="5" fillId="3" borderId="1" xfId="0" applyNumberFormat="1" applyFont="1" applyFill="1" applyBorder="1"/>
    <xf numFmtId="0" fontId="2" fillId="14" borderId="0" xfId="0" applyFont="1" applyFill="1"/>
    <xf numFmtId="0" fontId="2" fillId="14" borderId="1" xfId="0" applyFont="1" applyFill="1" applyBorder="1"/>
    <xf numFmtId="0" fontId="2" fillId="0" borderId="9" xfId="0" applyFont="1" applyBorder="1"/>
    <xf numFmtId="2" fontId="2" fillId="14" borderId="1" xfId="0" applyNumberFormat="1" applyFont="1" applyFill="1" applyBorder="1" applyAlignment="1">
      <alignment horizontal="left"/>
    </xf>
    <xf numFmtId="10" fontId="2" fillId="0" borderId="0" xfId="5" applyNumberFormat="1" applyFont="1"/>
    <xf numFmtId="2" fontId="5" fillId="3" borderId="1" xfId="0" applyNumberFormat="1" applyFont="1" applyFill="1" applyBorder="1"/>
    <xf numFmtId="0" fontId="0" fillId="22" borderId="1" xfId="0" applyFill="1" applyBorder="1"/>
    <xf numFmtId="1" fontId="0" fillId="0" borderId="11" xfId="0" applyNumberFormat="1" applyBorder="1"/>
    <xf numFmtId="164" fontId="2" fillId="0" borderId="0" xfId="3" applyFont="1" applyAlignment="1">
      <alignment horizontal="left" vertical="center" wrapText="1"/>
    </xf>
    <xf numFmtId="43" fontId="2" fillId="0" borderId="0" xfId="0" applyNumberFormat="1" applyFont="1" applyAlignment="1">
      <alignment horizontal="left" vertical="center" wrapText="1"/>
    </xf>
    <xf numFmtId="0" fontId="0" fillId="24" borderId="0" xfId="0" applyFill="1"/>
    <xf numFmtId="0" fontId="0" fillId="25" borderId="0" xfId="0" applyFill="1"/>
    <xf numFmtId="0" fontId="0" fillId="13" borderId="0" xfId="0" applyFill="1"/>
    <xf numFmtId="10" fontId="2" fillId="0" borderId="24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9" fontId="0" fillId="0" borderId="0" xfId="5" applyFont="1"/>
    <xf numFmtId="9" fontId="2" fillId="0" borderId="10" xfId="0" applyNumberFormat="1" applyFont="1" applyBorder="1" applyAlignment="1">
      <alignment horizontal="center" vertical="center" wrapText="1"/>
    </xf>
    <xf numFmtId="0" fontId="0" fillId="0" borderId="24" xfId="0" applyBorder="1"/>
    <xf numFmtId="2" fontId="0" fillId="0" borderId="24" xfId="0" applyNumberFormat="1" applyBorder="1"/>
    <xf numFmtId="166" fontId="0" fillId="2" borderId="0" xfId="0" applyNumberFormat="1" applyFill="1"/>
    <xf numFmtId="0" fontId="0" fillId="26" borderId="0" xfId="0" applyFill="1"/>
    <xf numFmtId="0" fontId="0" fillId="26" borderId="1" xfId="0" applyFill="1" applyBorder="1"/>
    <xf numFmtId="2" fontId="0" fillId="26" borderId="1" xfId="0" applyNumberFormat="1" applyFill="1" applyBorder="1"/>
    <xf numFmtId="0" fontId="0" fillId="26" borderId="9" xfId="0" applyFill="1" applyBorder="1"/>
    <xf numFmtId="2" fontId="0" fillId="26" borderId="1" xfId="0" applyNumberFormat="1" applyFill="1" applyBorder="1" applyAlignment="1">
      <alignment horizontal="left"/>
    </xf>
    <xf numFmtId="10" fontId="0" fillId="26" borderId="0" xfId="5" applyNumberFormat="1" applyFont="1" applyFill="1"/>
    <xf numFmtId="0" fontId="0" fillId="24" borderId="1" xfId="0" applyFill="1" applyBorder="1"/>
    <xf numFmtId="2" fontId="0" fillId="24" borderId="1" xfId="0" applyNumberFormat="1" applyFill="1" applyBorder="1"/>
    <xf numFmtId="0" fontId="0" fillId="24" borderId="9" xfId="0" applyFill="1" applyBorder="1"/>
    <xf numFmtId="2" fontId="0" fillId="24" borderId="1" xfId="0" applyNumberFormat="1" applyFill="1" applyBorder="1" applyAlignment="1">
      <alignment horizontal="left"/>
    </xf>
    <xf numFmtId="10" fontId="0" fillId="24" borderId="0" xfId="5" applyNumberFormat="1" applyFont="1" applyFill="1"/>
    <xf numFmtId="166" fontId="0" fillId="24" borderId="1" xfId="0" applyNumberFormat="1" applyFill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7" fontId="3" fillId="0" borderId="1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6" fontId="1" fillId="12" borderId="14" xfId="0" applyNumberFormat="1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0" fontId="0" fillId="27" borderId="1" xfId="0" applyFill="1" applyBorder="1"/>
    <xf numFmtId="0" fontId="3" fillId="24" borderId="1" xfId="0" applyFont="1" applyFill="1" applyBorder="1" applyAlignment="1">
      <alignment wrapText="1"/>
    </xf>
    <xf numFmtId="0" fontId="3" fillId="27" borderId="1" xfId="0" applyFont="1" applyFill="1" applyBorder="1" applyAlignment="1">
      <alignment wrapText="1"/>
    </xf>
    <xf numFmtId="0" fontId="13" fillId="0" borderId="74" xfId="0" applyFont="1" applyBorder="1"/>
    <xf numFmtId="0" fontId="13" fillId="0" borderId="19" xfId="0" applyFont="1" applyBorder="1"/>
    <xf numFmtId="0" fontId="13" fillId="0" borderId="24" xfId="0" applyFont="1" applyBorder="1"/>
    <xf numFmtId="0" fontId="5" fillId="24" borderId="1" xfId="0" applyFont="1" applyFill="1" applyBorder="1"/>
    <xf numFmtId="0" fontId="2" fillId="24" borderId="1" xfId="0" applyFont="1" applyFill="1" applyBorder="1"/>
    <xf numFmtId="2" fontId="0" fillId="0" borderId="16" xfId="0" applyNumberFormat="1" applyBorder="1"/>
    <xf numFmtId="0" fontId="0" fillId="0" borderId="7" xfId="0" applyBorder="1"/>
    <xf numFmtId="2" fontId="0" fillId="2" borderId="2" xfId="0" applyNumberFormat="1" applyFill="1" applyBorder="1"/>
    <xf numFmtId="0" fontId="14" fillId="12" borderId="47" xfId="0" applyFont="1" applyFill="1" applyBorder="1" applyAlignment="1">
      <alignment horizontal="center" vertical="center" wrapText="1"/>
    </xf>
    <xf numFmtId="166" fontId="14" fillId="12" borderId="46" xfId="0" applyNumberFormat="1" applyFont="1" applyFill="1" applyBorder="1" applyAlignment="1">
      <alignment horizontal="center" vertical="center" wrapText="1"/>
    </xf>
    <xf numFmtId="0" fontId="14" fillId="12" borderId="47" xfId="0" applyFont="1" applyFill="1" applyBorder="1" applyAlignment="1">
      <alignment horizontal="center" vertical="top" wrapText="1"/>
    </xf>
    <xf numFmtId="0" fontId="14" fillId="12" borderId="62" xfId="0" applyFont="1" applyFill="1" applyBorder="1" applyAlignment="1">
      <alignment horizontal="center" vertical="center" wrapText="1"/>
    </xf>
    <xf numFmtId="0" fontId="14" fillId="12" borderId="57" xfId="0" applyFont="1" applyFill="1" applyBorder="1"/>
    <xf numFmtId="0" fontId="14" fillId="12" borderId="47" xfId="0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right" vertical="center" wrapText="1"/>
    </xf>
    <xf numFmtId="0" fontId="0" fillId="26" borderId="11" xfId="0" applyFill="1" applyBorder="1"/>
    <xf numFmtId="166" fontId="0" fillId="26" borderId="0" xfId="0" applyNumberFormat="1" applyFill="1"/>
    <xf numFmtId="165" fontId="0" fillId="26" borderId="0" xfId="0" applyNumberFormat="1" applyFill="1"/>
    <xf numFmtId="0" fontId="1" fillId="12" borderId="1" xfId="0" applyFont="1" applyFill="1" applyBorder="1"/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top" wrapText="1"/>
    </xf>
    <xf numFmtId="0" fontId="14" fillId="12" borderId="24" xfId="0" applyFont="1" applyFill="1" applyBorder="1" applyAlignment="1">
      <alignment horizontal="center" vertical="center" wrapText="1"/>
    </xf>
    <xf numFmtId="0" fontId="14" fillId="12" borderId="24" xfId="0" applyFont="1" applyFill="1" applyBorder="1" applyAlignment="1">
      <alignment horizontal="center" vertical="center"/>
    </xf>
    <xf numFmtId="0" fontId="14" fillId="12" borderId="24" xfId="0" applyFont="1" applyFill="1" applyBorder="1" applyAlignment="1">
      <alignment horizontal="center" vertical="top" wrapText="1"/>
    </xf>
    <xf numFmtId="0" fontId="2" fillId="10" borderId="11" xfId="0" applyFont="1" applyFill="1" applyBorder="1"/>
    <xf numFmtId="0" fontId="5" fillId="0" borderId="1" xfId="0" applyFont="1" applyBorder="1"/>
    <xf numFmtId="0" fontId="15" fillId="0" borderId="0" xfId="0" applyFont="1"/>
    <xf numFmtId="0" fontId="15" fillId="0" borderId="1" xfId="0" applyFont="1" applyBorder="1"/>
    <xf numFmtId="166" fontId="15" fillId="0" borderId="1" xfId="0" applyNumberFormat="1" applyFont="1" applyBorder="1"/>
    <xf numFmtId="0" fontId="15" fillId="24" borderId="1" xfId="0" applyFont="1" applyFill="1" applyBorder="1"/>
    <xf numFmtId="0" fontId="15" fillId="0" borderId="9" xfId="0" applyFont="1" applyBorder="1"/>
    <xf numFmtId="2" fontId="15" fillId="0" borderId="1" xfId="0" applyNumberFormat="1" applyFont="1" applyBorder="1" applyAlignment="1">
      <alignment horizontal="left"/>
    </xf>
    <xf numFmtId="0" fontId="15" fillId="24" borderId="0" xfId="0" applyFont="1" applyFill="1"/>
    <xf numFmtId="0" fontId="15" fillId="24" borderId="9" xfId="0" applyFont="1" applyFill="1" applyBorder="1"/>
    <xf numFmtId="2" fontId="15" fillId="24" borderId="1" xfId="0" applyNumberFormat="1" applyFont="1" applyFill="1" applyBorder="1" applyAlignment="1">
      <alignment horizontal="left"/>
    </xf>
    <xf numFmtId="10" fontId="15" fillId="24" borderId="0" xfId="5" applyNumberFormat="1" applyFont="1" applyFill="1"/>
    <xf numFmtId="2" fontId="15" fillId="4" borderId="1" xfId="0" applyNumberFormat="1" applyFont="1" applyFill="1" applyBorder="1" applyAlignment="1">
      <alignment horizontal="left"/>
    </xf>
    <xf numFmtId="10" fontId="15" fillId="0" borderId="0" xfId="5" applyNumberFormat="1" applyFont="1"/>
    <xf numFmtId="0" fontId="15" fillId="21" borderId="0" xfId="0" applyFont="1" applyFill="1"/>
    <xf numFmtId="0" fontId="15" fillId="21" borderId="1" xfId="0" applyFont="1" applyFill="1" applyBorder="1"/>
    <xf numFmtId="0" fontId="15" fillId="22" borderId="1" xfId="0" applyFont="1" applyFill="1" applyBorder="1"/>
    <xf numFmtId="0" fontId="15" fillId="21" borderId="9" xfId="0" applyFont="1" applyFill="1" applyBorder="1"/>
    <xf numFmtId="2" fontId="15" fillId="21" borderId="1" xfId="0" applyNumberFormat="1" applyFont="1" applyFill="1" applyBorder="1" applyAlignment="1">
      <alignment horizontal="left"/>
    </xf>
    <xf numFmtId="10" fontId="15" fillId="21" borderId="0" xfId="5" applyNumberFormat="1" applyFont="1" applyFill="1"/>
    <xf numFmtId="0" fontId="15" fillId="12" borderId="0" xfId="0" applyFont="1" applyFill="1"/>
    <xf numFmtId="0" fontId="15" fillId="12" borderId="1" xfId="0" applyFont="1" applyFill="1" applyBorder="1"/>
    <xf numFmtId="0" fontId="15" fillId="12" borderId="9" xfId="0" applyFont="1" applyFill="1" applyBorder="1"/>
    <xf numFmtId="2" fontId="15" fillId="12" borderId="1" xfId="0" applyNumberFormat="1" applyFont="1" applyFill="1" applyBorder="1" applyAlignment="1">
      <alignment horizontal="left"/>
    </xf>
    <xf numFmtId="10" fontId="15" fillId="12" borderId="0" xfId="5" applyNumberFormat="1" applyFont="1" applyFill="1"/>
    <xf numFmtId="0" fontId="15" fillId="16" borderId="0" xfId="0" applyFont="1" applyFill="1"/>
    <xf numFmtId="0" fontId="15" fillId="16" borderId="1" xfId="0" applyFont="1" applyFill="1" applyBorder="1"/>
    <xf numFmtId="0" fontId="15" fillId="16" borderId="9" xfId="0" applyFont="1" applyFill="1" applyBorder="1"/>
    <xf numFmtId="2" fontId="15" fillId="16" borderId="1" xfId="0" applyNumberFormat="1" applyFont="1" applyFill="1" applyBorder="1" applyAlignment="1">
      <alignment horizontal="left"/>
    </xf>
    <xf numFmtId="0" fontId="15" fillId="0" borderId="4" xfId="0" applyFont="1" applyBorder="1"/>
    <xf numFmtId="0" fontId="15" fillId="2" borderId="9" xfId="0" applyFont="1" applyFill="1" applyBorder="1"/>
    <xf numFmtId="0" fontId="15" fillId="26" borderId="1" xfId="0" applyFont="1" applyFill="1" applyBorder="1"/>
    <xf numFmtId="0" fontId="15" fillId="2" borderId="10" xfId="0" applyFont="1" applyFill="1" applyBorder="1"/>
    <xf numFmtId="0" fontId="15" fillId="3" borderId="1" xfId="0" applyFont="1" applyFill="1" applyBorder="1"/>
    <xf numFmtId="0" fontId="15" fillId="2" borderId="1" xfId="0" applyFont="1" applyFill="1" applyBorder="1"/>
    <xf numFmtId="2" fontId="15" fillId="2" borderId="9" xfId="0" applyNumberFormat="1" applyFont="1" applyFill="1" applyBorder="1"/>
    <xf numFmtId="0" fontId="15" fillId="0" borderId="14" xfId="0" applyFont="1" applyBorder="1"/>
    <xf numFmtId="0" fontId="15" fillId="3" borderId="14" xfId="0" applyFont="1" applyFill="1" applyBorder="1"/>
    <xf numFmtId="0" fontId="15" fillId="2" borderId="23" xfId="0" applyFont="1" applyFill="1" applyBorder="1"/>
    <xf numFmtId="0" fontId="15" fillId="12" borderId="23" xfId="0" applyFont="1" applyFill="1" applyBorder="1"/>
    <xf numFmtId="0" fontId="15" fillId="0" borderId="23" xfId="0" applyFont="1" applyBorder="1"/>
    <xf numFmtId="0" fontId="15" fillId="2" borderId="2" xfId="0" applyFont="1" applyFill="1" applyBorder="1"/>
    <xf numFmtId="2" fontId="15" fillId="3" borderId="1" xfId="0" applyNumberFormat="1" applyFont="1" applyFill="1" applyBorder="1"/>
    <xf numFmtId="0" fontId="15" fillId="2" borderId="0" xfId="0" applyFont="1" applyFill="1"/>
    <xf numFmtId="165" fontId="15" fillId="0" borderId="0" xfId="0" applyNumberFormat="1" applyFont="1"/>
    <xf numFmtId="2" fontId="15" fillId="0" borderId="1" xfId="0" applyNumberFormat="1" applyFont="1" applyBorder="1"/>
    <xf numFmtId="0" fontId="15" fillId="2" borderId="14" xfId="0" applyFont="1" applyFill="1" applyBorder="1"/>
    <xf numFmtId="1" fontId="15" fillId="0" borderId="1" xfId="0" applyNumberFormat="1" applyFont="1" applyBorder="1"/>
    <xf numFmtId="0" fontId="16" fillId="0" borderId="19" xfId="0" applyFont="1" applyBorder="1"/>
    <xf numFmtId="166" fontId="15" fillId="0" borderId="0" xfId="0" applyNumberFormat="1" applyFont="1"/>
    <xf numFmtId="2" fontId="15" fillId="0" borderId="0" xfId="0" applyNumberFormat="1" applyFont="1"/>
    <xf numFmtId="1" fontId="15" fillId="3" borderId="1" xfId="0" applyNumberFormat="1" applyFont="1" applyFill="1" applyBorder="1"/>
    <xf numFmtId="0" fontId="15" fillId="3" borderId="2" xfId="0" applyFont="1" applyFill="1" applyBorder="1"/>
    <xf numFmtId="0" fontId="15" fillId="3" borderId="9" xfId="0" applyFont="1" applyFill="1" applyBorder="1"/>
    <xf numFmtId="2" fontId="15" fillId="3" borderId="2" xfId="0" applyNumberFormat="1" applyFont="1" applyFill="1" applyBorder="1"/>
    <xf numFmtId="2" fontId="15" fillId="12" borderId="2" xfId="0" applyNumberFormat="1" applyFont="1" applyFill="1" applyBorder="1"/>
    <xf numFmtId="2" fontId="15" fillId="0" borderId="2" xfId="0" applyNumberFormat="1" applyFont="1" applyBorder="1"/>
    <xf numFmtId="2" fontId="15" fillId="6" borderId="1" xfId="0" applyNumberFormat="1" applyFont="1" applyFill="1" applyBorder="1"/>
    <xf numFmtId="2" fontId="15" fillId="2" borderId="1" xfId="0" applyNumberFormat="1" applyFont="1" applyFill="1" applyBorder="1"/>
    <xf numFmtId="0" fontId="15" fillId="0" borderId="2" xfId="0" applyFont="1" applyBorder="1"/>
    <xf numFmtId="2" fontId="15" fillId="2" borderId="10" xfId="0" applyNumberFormat="1" applyFont="1" applyFill="1" applyBorder="1"/>
    <xf numFmtId="0" fontId="17" fillId="0" borderId="4" xfId="0" applyFont="1" applyBorder="1"/>
    <xf numFmtId="0" fontId="17" fillId="2" borderId="9" xfId="0" applyFont="1" applyFill="1" applyBorder="1"/>
    <xf numFmtId="0" fontId="17" fillId="0" borderId="1" xfId="0" applyFont="1" applyBorder="1"/>
    <xf numFmtId="0" fontId="17" fillId="26" borderId="1" xfId="0" applyFont="1" applyFill="1" applyBorder="1"/>
    <xf numFmtId="0" fontId="17" fillId="2" borderId="10" xfId="0" applyFont="1" applyFill="1" applyBorder="1"/>
    <xf numFmtId="0" fontId="17" fillId="3" borderId="1" xfId="0" applyFont="1" applyFill="1" applyBorder="1"/>
    <xf numFmtId="0" fontId="17" fillId="2" borderId="1" xfId="0" applyFont="1" applyFill="1" applyBorder="1"/>
    <xf numFmtId="2" fontId="17" fillId="2" borderId="9" xfId="0" applyNumberFormat="1" applyFont="1" applyFill="1" applyBorder="1"/>
    <xf numFmtId="0" fontId="17" fillId="0" borderId="14" xfId="0" applyFont="1" applyBorder="1"/>
    <xf numFmtId="0" fontId="17" fillId="3" borderId="14" xfId="0" applyFont="1" applyFill="1" applyBorder="1"/>
    <xf numFmtId="0" fontId="17" fillId="12" borderId="1" xfId="0" applyFont="1" applyFill="1" applyBorder="1"/>
    <xf numFmtId="0" fontId="17" fillId="2" borderId="23" xfId="0" applyFont="1" applyFill="1" applyBorder="1"/>
    <xf numFmtId="0" fontId="17" fillId="12" borderId="23" xfId="0" applyFont="1" applyFill="1" applyBorder="1"/>
    <xf numFmtId="0" fontId="17" fillId="0" borderId="23" xfId="0" applyFont="1" applyBorder="1"/>
    <xf numFmtId="0" fontId="17" fillId="2" borderId="2" xfId="0" applyFont="1" applyFill="1" applyBorder="1"/>
    <xf numFmtId="2" fontId="17" fillId="3" borderId="1" xfId="0" applyNumberFormat="1" applyFont="1" applyFill="1" applyBorder="1"/>
    <xf numFmtId="0" fontId="17" fillId="2" borderId="0" xfId="0" applyFont="1" applyFill="1"/>
    <xf numFmtId="0" fontId="17" fillId="0" borderId="0" xfId="0" applyFont="1"/>
    <xf numFmtId="165" fontId="17" fillId="0" borderId="0" xfId="0" applyNumberFormat="1" applyFont="1"/>
    <xf numFmtId="0" fontId="17" fillId="2" borderId="14" xfId="0" applyFont="1" applyFill="1" applyBorder="1"/>
    <xf numFmtId="1" fontId="17" fillId="0" borderId="1" xfId="0" applyNumberFormat="1" applyFont="1" applyBorder="1"/>
    <xf numFmtId="0" fontId="18" fillId="0" borderId="19" xfId="0" applyFont="1" applyBorder="1"/>
    <xf numFmtId="166" fontId="17" fillId="0" borderId="0" xfId="0" applyNumberFormat="1" applyFont="1"/>
    <xf numFmtId="2" fontId="17" fillId="0" borderId="0" xfId="0" applyNumberFormat="1" applyFont="1"/>
    <xf numFmtId="0" fontId="15" fillId="28" borderId="0" xfId="0" applyFont="1" applyFill="1"/>
    <xf numFmtId="0" fontId="15" fillId="28" borderId="1" xfId="0" applyFont="1" applyFill="1" applyBorder="1"/>
    <xf numFmtId="0" fontId="15" fillId="28" borderId="9" xfId="0" applyFont="1" applyFill="1" applyBorder="1"/>
    <xf numFmtId="2" fontId="15" fillId="28" borderId="1" xfId="0" applyNumberFormat="1" applyFont="1" applyFill="1" applyBorder="1" applyAlignment="1">
      <alignment horizontal="left"/>
    </xf>
    <xf numFmtId="0" fontId="15" fillId="17" borderId="0" xfId="0" applyFont="1" applyFill="1"/>
    <xf numFmtId="0" fontId="15" fillId="11" borderId="0" xfId="0" applyFont="1" applyFill="1"/>
    <xf numFmtId="0" fontId="15" fillId="11" borderId="1" xfId="0" applyFont="1" applyFill="1" applyBorder="1"/>
    <xf numFmtId="0" fontId="15" fillId="11" borderId="9" xfId="0" applyFont="1" applyFill="1" applyBorder="1"/>
    <xf numFmtId="2" fontId="15" fillId="11" borderId="1" xfId="0" applyNumberFormat="1" applyFont="1" applyFill="1" applyBorder="1" applyAlignment="1">
      <alignment horizontal="left"/>
    </xf>
    <xf numFmtId="10" fontId="15" fillId="11" borderId="0" xfId="5" applyNumberFormat="1" applyFont="1" applyFill="1"/>
    <xf numFmtId="170" fontId="15" fillId="0" borderId="1" xfId="0" applyNumberFormat="1" applyFont="1" applyBorder="1"/>
    <xf numFmtId="0" fontId="15" fillId="20" borderId="1" xfId="0" applyFont="1" applyFill="1" applyBorder="1"/>
    <xf numFmtId="0" fontId="15" fillId="19" borderId="1" xfId="0" applyFont="1" applyFill="1" applyBorder="1"/>
    <xf numFmtId="165" fontId="15" fillId="0" borderId="1" xfId="0" applyNumberFormat="1" applyFont="1" applyBorder="1"/>
    <xf numFmtId="2" fontId="0" fillId="3" borderId="0" xfId="0" applyNumberFormat="1" applyFill="1"/>
    <xf numFmtId="166" fontId="15" fillId="11" borderId="1" xfId="0" applyNumberFormat="1" applyFont="1" applyFill="1" applyBorder="1"/>
    <xf numFmtId="171" fontId="0" fillId="0" borderId="1" xfId="0" applyNumberFormat="1" applyBorder="1"/>
    <xf numFmtId="2" fontId="2" fillId="10" borderId="22" xfId="0" applyNumberFormat="1" applyFont="1" applyFill="1" applyBorder="1" applyAlignment="1">
      <alignment horizontal="center" vertical="center" wrapText="1"/>
    </xf>
    <xf numFmtId="170" fontId="0" fillId="24" borderId="1" xfId="0" applyNumberFormat="1" applyFill="1" applyBorder="1"/>
    <xf numFmtId="0" fontId="2" fillId="0" borderId="1" xfId="0" applyFont="1" applyBorder="1" applyAlignment="1">
      <alignment vertical="top" wrapText="1"/>
    </xf>
    <xf numFmtId="165" fontId="2" fillId="0" borderId="0" xfId="0" applyNumberFormat="1" applyFont="1" applyAlignment="1">
      <alignment vertical="center" wrapText="1"/>
    </xf>
    <xf numFmtId="0" fontId="0" fillId="26" borderId="13" xfId="0" applyFill="1" applyBorder="1"/>
    <xf numFmtId="0" fontId="0" fillId="0" borderId="46" xfId="0" applyBorder="1"/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0" fontId="0" fillId="0" borderId="0" xfId="5" applyNumberFormat="1" applyFont="1" applyFill="1"/>
    <xf numFmtId="0" fontId="0" fillId="30" borderId="0" xfId="0" applyFill="1"/>
    <xf numFmtId="0" fontId="0" fillId="30" borderId="22" xfId="0" applyFill="1" applyBorder="1"/>
    <xf numFmtId="0" fontId="3" fillId="27" borderId="22" xfId="0" applyFont="1" applyFill="1" applyBorder="1"/>
    <xf numFmtId="0" fontId="3" fillId="27" borderId="1" xfId="0" applyFont="1" applyFill="1" applyBorder="1"/>
    <xf numFmtId="166" fontId="0" fillId="2" borderId="1" xfId="0" applyNumberFormat="1" applyFill="1" applyBorder="1"/>
    <xf numFmtId="0" fontId="5" fillId="2" borderId="2" xfId="0" applyFont="1" applyFill="1" applyBorder="1"/>
    <xf numFmtId="0" fontId="5" fillId="2" borderId="1" xfId="0" applyFont="1" applyFill="1" applyBorder="1"/>
    <xf numFmtId="166" fontId="0" fillId="0" borderId="1" xfId="0" applyNumberFormat="1" applyBorder="1"/>
    <xf numFmtId="2" fontId="0" fillId="3" borderId="14" xfId="0" applyNumberFormat="1" applyFill="1" applyBorder="1"/>
    <xf numFmtId="166" fontId="0" fillId="4" borderId="1" xfId="0" applyNumberFormat="1" applyFill="1" applyBorder="1"/>
    <xf numFmtId="166" fontId="0" fillId="12" borderId="1" xfId="0" applyNumberFormat="1" applyFill="1" applyBorder="1"/>
    <xf numFmtId="1" fontId="2" fillId="10" borderId="63" xfId="0" applyNumberFormat="1" applyFont="1" applyFill="1" applyBorder="1" applyAlignment="1">
      <alignment horizontal="center" vertical="center" wrapText="1"/>
    </xf>
    <xf numFmtId="172" fontId="0" fillId="0" borderId="1" xfId="0" applyNumberFormat="1" applyBorder="1"/>
    <xf numFmtId="0" fontId="0" fillId="17" borderId="1" xfId="0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6" fontId="1" fillId="12" borderId="29" xfId="0" applyNumberFormat="1" applyFont="1" applyFill="1" applyBorder="1" applyAlignment="1">
      <alignment horizontal="left" vertical="center" wrapText="1"/>
    </xf>
    <xf numFmtId="2" fontId="0" fillId="12" borderId="1" xfId="0" applyNumberFormat="1" applyFill="1" applyBorder="1"/>
    <xf numFmtId="2" fontId="0" fillId="14" borderId="10" xfId="0" applyNumberFormat="1" applyFill="1" applyBorder="1"/>
    <xf numFmtId="0" fontId="2" fillId="2" borderId="0" xfId="0" applyFont="1" applyFill="1"/>
    <xf numFmtId="1" fontId="0" fillId="24" borderId="1" xfId="0" applyNumberFormat="1" applyFill="1" applyBorder="1"/>
    <xf numFmtId="165" fontId="15" fillId="24" borderId="1" xfId="0" applyNumberFormat="1" applyFont="1" applyFill="1" applyBorder="1"/>
    <xf numFmtId="172" fontId="0" fillId="4" borderId="1" xfId="0" applyNumberFormat="1" applyFill="1" applyBorder="1"/>
    <xf numFmtId="165" fontId="2" fillId="24" borderId="1" xfId="0" applyNumberFormat="1" applyFont="1" applyFill="1" applyBorder="1"/>
    <xf numFmtId="2" fontId="3" fillId="27" borderId="1" xfId="0" applyNumberFormat="1" applyFont="1" applyFill="1" applyBorder="1"/>
    <xf numFmtId="2" fontId="5" fillId="3" borderId="14" xfId="0" applyNumberFormat="1" applyFont="1" applyFill="1" applyBorder="1"/>
    <xf numFmtId="1" fontId="15" fillId="16" borderId="1" xfId="0" applyNumberFormat="1" applyFont="1" applyFill="1" applyBorder="1"/>
    <xf numFmtId="166" fontId="15" fillId="12" borderId="1" xfId="0" applyNumberFormat="1" applyFont="1" applyFill="1" applyBorder="1"/>
    <xf numFmtId="165" fontId="15" fillId="28" borderId="1" xfId="0" applyNumberFormat="1" applyFont="1" applyFill="1" applyBorder="1"/>
    <xf numFmtId="0" fontId="0" fillId="0" borderId="16" xfId="0" applyBorder="1"/>
    <xf numFmtId="10" fontId="2" fillId="0" borderId="23" xfId="0" applyNumberFormat="1" applyFont="1" applyBorder="1" applyAlignment="1">
      <alignment horizontal="center" vertical="center" wrapText="1"/>
    </xf>
    <xf numFmtId="165" fontId="15" fillId="20" borderId="1" xfId="0" applyNumberFormat="1" applyFont="1" applyFill="1" applyBorder="1"/>
    <xf numFmtId="0" fontId="0" fillId="26" borderId="14" xfId="0" applyFill="1" applyBorder="1"/>
    <xf numFmtId="166" fontId="3" fillId="27" borderId="1" xfId="0" applyNumberFormat="1" applyFont="1" applyFill="1" applyBorder="1"/>
    <xf numFmtId="0" fontId="2" fillId="9" borderId="0" xfId="0" applyFont="1" applyFill="1" applyAlignment="1">
      <alignment horizontal="right"/>
    </xf>
    <xf numFmtId="0" fontId="2" fillId="0" borderId="0" xfId="0" applyFont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2" fillId="0" borderId="66" xfId="0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1" fontId="2" fillId="0" borderId="41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top" wrapText="1"/>
    </xf>
    <xf numFmtId="0" fontId="2" fillId="0" borderId="5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left" vertical="center" wrapText="1"/>
    </xf>
    <xf numFmtId="0" fontId="1" fillId="12" borderId="43" xfId="0" applyFont="1" applyFill="1" applyBorder="1" applyAlignment="1">
      <alignment horizontal="left" vertical="center" wrapText="1"/>
    </xf>
    <xf numFmtId="0" fontId="1" fillId="12" borderId="33" xfId="0" applyFont="1" applyFill="1" applyBorder="1" applyAlignment="1">
      <alignment horizontal="left" vertical="center" wrapText="1"/>
    </xf>
    <xf numFmtId="0" fontId="1" fillId="12" borderId="59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left" vertical="center" wrapText="1"/>
    </xf>
    <xf numFmtId="0" fontId="1" fillId="12" borderId="13" xfId="0" applyFont="1" applyFill="1" applyBorder="1" applyAlignment="1">
      <alignment horizontal="left" vertical="center" wrapText="1"/>
    </xf>
    <xf numFmtId="0" fontId="1" fillId="12" borderId="48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horizontal="left" vertical="center" wrapText="1"/>
    </xf>
    <xf numFmtId="2" fontId="1" fillId="12" borderId="18" xfId="0" applyNumberFormat="1" applyFont="1" applyFill="1" applyBorder="1" applyAlignment="1">
      <alignment horizontal="center" vertical="center" wrapText="1"/>
    </xf>
    <xf numFmtId="2" fontId="1" fillId="12" borderId="21" xfId="0" applyNumberFormat="1" applyFont="1" applyFill="1" applyBorder="1" applyAlignment="1">
      <alignment horizontal="center" vertical="center" wrapText="1"/>
    </xf>
    <xf numFmtId="2" fontId="1" fillId="12" borderId="19" xfId="0" applyNumberFormat="1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12" borderId="19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11" borderId="58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" fillId="11" borderId="57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top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50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5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1" fillId="0" borderId="1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center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68" xfId="0" applyNumberFormat="1" applyFont="1" applyBorder="1" applyAlignment="1">
      <alignment horizontal="center" vertical="center" wrapText="1"/>
    </xf>
    <xf numFmtId="1" fontId="2" fillId="0" borderId="35" xfId="0" applyNumberFormat="1" applyFont="1" applyBorder="1" applyAlignment="1">
      <alignment horizontal="center" vertical="center" wrapText="1"/>
    </xf>
    <xf numFmtId="1" fontId="2" fillId="0" borderId="40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0" fontId="2" fillId="9" borderId="35" xfId="0" applyFont="1" applyFill="1" applyBorder="1" applyAlignment="1">
      <alignment horizontal="right"/>
    </xf>
    <xf numFmtId="0" fontId="2" fillId="9" borderId="65" xfId="0" applyFont="1" applyFill="1" applyBorder="1" applyAlignment="1">
      <alignment horizontal="right"/>
    </xf>
    <xf numFmtId="0" fontId="2" fillId="9" borderId="0" xfId="0" applyFont="1" applyFill="1" applyAlignment="1">
      <alignment horizontal="right"/>
    </xf>
    <xf numFmtId="0" fontId="2" fillId="9" borderId="54" xfId="0" applyFont="1" applyFill="1" applyBorder="1" applyAlignment="1">
      <alignment horizontal="right"/>
    </xf>
    <xf numFmtId="0" fontId="2" fillId="9" borderId="32" xfId="0" applyFont="1" applyFill="1" applyBorder="1" applyAlignment="1">
      <alignment horizontal="right"/>
    </xf>
    <xf numFmtId="0" fontId="2" fillId="9" borderId="57" xfId="0" applyFont="1" applyFill="1" applyBorder="1" applyAlignment="1">
      <alignment horizontal="right"/>
    </xf>
    <xf numFmtId="0" fontId="2" fillId="23" borderId="14" xfId="0" applyFont="1" applyFill="1" applyBorder="1" applyAlignment="1">
      <alignment horizontal="center" wrapText="1"/>
    </xf>
    <xf numFmtId="0" fontId="2" fillId="23" borderId="23" xfId="0" applyFont="1" applyFill="1" applyBorder="1" applyAlignment="1">
      <alignment horizontal="center" wrapText="1"/>
    </xf>
    <xf numFmtId="0" fontId="2" fillId="23" borderId="2" xfId="0" applyFont="1" applyFill="1" applyBorder="1" applyAlignment="1">
      <alignment horizontal="center" wrapText="1"/>
    </xf>
    <xf numFmtId="0" fontId="12" fillId="11" borderId="58" xfId="1" applyFont="1" applyFill="1" applyBorder="1" applyAlignment="1">
      <alignment horizontal="center" vertical="center" wrapText="1"/>
    </xf>
    <xf numFmtId="0" fontId="12" fillId="11" borderId="32" xfId="1" applyFont="1" applyFill="1" applyBorder="1" applyAlignment="1">
      <alignment horizontal="center" vertical="center" wrapText="1"/>
    </xf>
    <xf numFmtId="0" fontId="12" fillId="11" borderId="57" xfId="1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top" wrapText="1"/>
    </xf>
    <xf numFmtId="0" fontId="2" fillId="0" borderId="59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2" fontId="2" fillId="10" borderId="61" xfId="0" applyNumberFormat="1" applyFont="1" applyFill="1" applyBorder="1" applyAlignment="1">
      <alignment horizontal="center" vertical="center" wrapText="1"/>
    </xf>
    <xf numFmtId="2" fontId="2" fillId="10" borderId="69" xfId="0" applyNumberFormat="1" applyFont="1" applyFill="1" applyBorder="1" applyAlignment="1">
      <alignment horizontal="center" vertical="center" wrapText="1"/>
    </xf>
    <xf numFmtId="2" fontId="2" fillId="10" borderId="28" xfId="0" applyNumberFormat="1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left" vertical="center" wrapText="1"/>
    </xf>
    <xf numFmtId="0" fontId="1" fillId="12" borderId="7" xfId="0" applyFont="1" applyFill="1" applyBorder="1" applyAlignment="1">
      <alignment horizontal="left" vertical="center" wrapText="1"/>
    </xf>
    <xf numFmtId="0" fontId="1" fillId="12" borderId="22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47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/>
    </xf>
    <xf numFmtId="0" fontId="2" fillId="0" borderId="24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" fontId="2" fillId="10" borderId="56" xfId="0" applyNumberFormat="1" applyFont="1" applyFill="1" applyBorder="1" applyAlignment="1">
      <alignment vertical="center" wrapText="1"/>
    </xf>
    <xf numFmtId="0" fontId="1" fillId="12" borderId="27" xfId="0" applyFont="1" applyFill="1" applyBorder="1" applyAlignment="1">
      <alignment horizontal="center" vertical="center" wrapText="1"/>
    </xf>
    <xf numFmtId="0" fontId="1" fillId="12" borderId="43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8" borderId="27" xfId="0" applyFill="1" applyBorder="1" applyAlignment="1">
      <alignment horizontal="center"/>
    </xf>
    <xf numFmtId="0" fontId="0" fillId="38" borderId="43" xfId="0" applyFill="1" applyBorder="1" applyAlignment="1">
      <alignment horizontal="center"/>
    </xf>
    <xf numFmtId="0" fontId="0" fillId="38" borderId="33" xfId="0" applyFill="1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43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2" borderId="27" xfId="0" applyFill="1" applyBorder="1" applyAlignment="1">
      <alignment horizontal="center"/>
    </xf>
    <xf numFmtId="0" fontId="0" fillId="22" borderId="43" xfId="0" applyFill="1" applyBorder="1" applyAlignment="1">
      <alignment horizontal="center"/>
    </xf>
    <xf numFmtId="0" fontId="0" fillId="22" borderId="33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5" borderId="14" xfId="0" applyFill="1" applyBorder="1" applyAlignment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2" fillId="0" borderId="7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12" borderId="20" xfId="0" applyFont="1" applyFill="1" applyBorder="1" applyAlignment="1">
      <alignment horizontal="left" vertical="center" wrapText="1"/>
    </xf>
    <xf numFmtId="0" fontId="1" fillId="12" borderId="44" xfId="0" applyFont="1" applyFill="1" applyBorder="1" applyAlignment="1">
      <alignment horizontal="left" vertical="center" wrapText="1"/>
    </xf>
    <xf numFmtId="0" fontId="1" fillId="12" borderId="35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right"/>
    </xf>
    <xf numFmtId="0" fontId="2" fillId="9" borderId="7" xfId="0" applyFont="1" applyFill="1" applyBorder="1" applyAlignment="1">
      <alignment horizontal="right"/>
    </xf>
    <xf numFmtId="0" fontId="2" fillId="9" borderId="8" xfId="0" applyFont="1" applyFill="1" applyBorder="1" applyAlignment="1">
      <alignment horizontal="right"/>
    </xf>
    <xf numFmtId="0" fontId="2" fillId="9" borderId="9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2" fillId="9" borderId="10" xfId="0" applyFont="1" applyFill="1" applyBorder="1" applyAlignment="1">
      <alignment horizontal="right"/>
    </xf>
    <xf numFmtId="0" fontId="2" fillId="9" borderId="11" xfId="0" applyFont="1" applyFill="1" applyBorder="1" applyAlignment="1">
      <alignment horizontal="right"/>
    </xf>
    <xf numFmtId="0" fontId="2" fillId="9" borderId="56" xfId="0" applyFont="1" applyFill="1" applyBorder="1" applyAlignment="1">
      <alignment horizontal="right"/>
    </xf>
    <xf numFmtId="0" fontId="2" fillId="9" borderId="63" xfId="0" applyFont="1" applyFill="1" applyBorder="1" applyAlignment="1">
      <alignment horizontal="right"/>
    </xf>
    <xf numFmtId="0" fontId="1" fillId="12" borderId="8" xfId="0" applyFont="1" applyFill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11" borderId="46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1" fontId="2" fillId="10" borderId="22" xfId="0" applyNumberFormat="1" applyFont="1" applyFill="1" applyBorder="1" applyAlignment="1">
      <alignment vertical="center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48" xfId="0" applyFont="1" applyBorder="1" applyAlignment="1">
      <alignment horizontal="center" vertical="top" wrapText="1"/>
    </xf>
    <xf numFmtId="0" fontId="2" fillId="0" borderId="60" xfId="0" applyFont="1" applyBorder="1" applyAlignment="1">
      <alignment horizontal="center" vertical="top" wrapText="1"/>
    </xf>
    <xf numFmtId="0" fontId="14" fillId="12" borderId="47" xfId="0" applyFont="1" applyFill="1" applyBorder="1" applyAlignment="1">
      <alignment vertical="center" wrapText="1"/>
    </xf>
    <xf numFmtId="0" fontId="1" fillId="12" borderId="45" xfId="0" applyFont="1" applyFill="1" applyBorder="1" applyAlignment="1">
      <alignment horizontal="left" vertical="center" wrapText="1"/>
    </xf>
    <xf numFmtId="0" fontId="14" fillId="12" borderId="6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4" fillId="12" borderId="8" xfId="0" applyFont="1" applyFill="1" applyBorder="1" applyAlignment="1">
      <alignment horizontal="left" vertical="center" wrapText="1"/>
    </xf>
    <xf numFmtId="0" fontId="14" fillId="12" borderId="27" xfId="0" applyFont="1" applyFill="1" applyBorder="1" applyAlignment="1">
      <alignment horizontal="center" vertical="center" wrapText="1"/>
    </xf>
    <xf numFmtId="0" fontId="14" fillId="12" borderId="43" xfId="0" applyFont="1" applyFill="1" applyBorder="1" applyAlignment="1">
      <alignment horizontal="center" vertical="center" wrapText="1"/>
    </xf>
    <xf numFmtId="0" fontId="14" fillId="12" borderId="33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64" xfId="0" applyFont="1" applyFill="1" applyBorder="1" applyAlignment="1">
      <alignment horizontal="center" vertical="center" wrapText="1"/>
    </xf>
    <xf numFmtId="0" fontId="1" fillId="12" borderId="35" xfId="0" applyFont="1" applyFill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center" vertical="center" wrapText="1"/>
    </xf>
    <xf numFmtId="0" fontId="1" fillId="12" borderId="41" xfId="0" applyFont="1" applyFill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top" wrapText="1"/>
    </xf>
    <xf numFmtId="0" fontId="2" fillId="0" borderId="54" xfId="0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0" fontId="2" fillId="0" borderId="56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7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9" borderId="64" xfId="0" applyFont="1" applyFill="1" applyBorder="1" applyAlignment="1">
      <alignment horizontal="right"/>
    </xf>
    <xf numFmtId="0" fontId="2" fillId="9" borderId="66" xfId="0" applyFont="1" applyFill="1" applyBorder="1" applyAlignment="1">
      <alignment horizontal="right"/>
    </xf>
    <xf numFmtId="2" fontId="2" fillId="0" borderId="22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12" borderId="31" xfId="0" applyFont="1" applyFill="1" applyBorder="1" applyAlignment="1">
      <alignment horizontal="left" vertical="center" wrapText="1"/>
    </xf>
    <xf numFmtId="0" fontId="1" fillId="12" borderId="12" xfId="0" applyFont="1" applyFill="1" applyBorder="1" applyAlignment="1">
      <alignment horizontal="left" vertical="center" wrapText="1"/>
    </xf>
    <xf numFmtId="1" fontId="2" fillId="10" borderId="61" xfId="0" applyNumberFormat="1" applyFont="1" applyFill="1" applyBorder="1" applyAlignment="1">
      <alignment vertical="center" wrapText="1"/>
    </xf>
    <xf numFmtId="1" fontId="2" fillId="10" borderId="28" xfId="0" applyNumberFormat="1" applyFont="1" applyFill="1" applyBorder="1" applyAlignment="1">
      <alignment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12" borderId="15" xfId="0" applyFont="1" applyFill="1" applyBorder="1" applyAlignment="1">
      <alignment horizontal="left" vertical="center" wrapText="1"/>
    </xf>
    <xf numFmtId="0" fontId="1" fillId="12" borderId="16" xfId="0" applyFont="1" applyFill="1" applyBorder="1" applyAlignment="1">
      <alignment horizontal="left" vertical="center" wrapText="1"/>
    </xf>
    <xf numFmtId="2" fontId="1" fillId="12" borderId="14" xfId="0" applyNumberFormat="1" applyFont="1" applyFill="1" applyBorder="1" applyAlignment="1">
      <alignment horizontal="center" vertical="center" wrapText="1"/>
    </xf>
    <xf numFmtId="2" fontId="1" fillId="12" borderId="23" xfId="0" applyNumberFormat="1" applyFont="1" applyFill="1" applyBorder="1" applyAlignment="1">
      <alignment horizontal="center" vertical="center" wrapText="1"/>
    </xf>
    <xf numFmtId="2" fontId="1" fillId="12" borderId="2" xfId="0" applyNumberFormat="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10" borderId="14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12" borderId="47" xfId="0" applyFont="1" applyFill="1" applyBorder="1" applyAlignment="1">
      <alignment horizontal="center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1" fontId="2" fillId="10" borderId="61" xfId="0" applyNumberFormat="1" applyFont="1" applyFill="1" applyBorder="1" applyAlignment="1">
      <alignment horizontal="center" vertical="center" wrapText="1"/>
    </xf>
    <xf numFmtId="1" fontId="2" fillId="10" borderId="28" xfId="0" applyNumberFormat="1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/>
    </xf>
    <xf numFmtId="0" fontId="2" fillId="10" borderId="28" xfId="0" applyFont="1" applyFill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12" borderId="64" xfId="0" applyFont="1" applyFill="1" applyBorder="1" applyAlignment="1">
      <alignment horizontal="left" vertical="center" wrapText="1"/>
    </xf>
    <xf numFmtId="0" fontId="2" fillId="9" borderId="35" xfId="0" applyFont="1" applyFill="1" applyBorder="1" applyAlignment="1">
      <alignment horizontal="center"/>
    </xf>
    <xf numFmtId="0" fontId="2" fillId="9" borderId="65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54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9" borderId="57" xfId="0" applyFont="1" applyFill="1" applyBorder="1" applyAlignment="1">
      <alignment horizontal="center"/>
    </xf>
    <xf numFmtId="0" fontId="2" fillId="0" borderId="40" xfId="0" applyFont="1" applyBorder="1" applyAlignment="1">
      <alignment horizontal="center" vertical="top" wrapText="1"/>
    </xf>
    <xf numFmtId="0" fontId="2" fillId="0" borderId="7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</cellXfs>
  <cellStyles count="177">
    <cellStyle name="60% - Accent1 10" xfId="8" xr:uid="{00000000-0005-0000-0000-000000000000}"/>
    <cellStyle name="60% - Accent1 11" xfId="9" xr:uid="{00000000-0005-0000-0000-000001000000}"/>
    <cellStyle name="60% - Accent1 12" xfId="10" xr:uid="{00000000-0005-0000-0000-000002000000}"/>
    <cellStyle name="60% - Accent1 13" xfId="11" xr:uid="{00000000-0005-0000-0000-000003000000}"/>
    <cellStyle name="60% - Accent1 14" xfId="12" xr:uid="{00000000-0005-0000-0000-000004000000}"/>
    <cellStyle name="60% - Accent1 15" xfId="13" xr:uid="{00000000-0005-0000-0000-000005000000}"/>
    <cellStyle name="60% - Accent1 2" xfId="14" xr:uid="{00000000-0005-0000-0000-000006000000}"/>
    <cellStyle name="60% - Accent1 3" xfId="15" xr:uid="{00000000-0005-0000-0000-000007000000}"/>
    <cellStyle name="60% - Accent1 4" xfId="16" xr:uid="{00000000-0005-0000-0000-000008000000}"/>
    <cellStyle name="60% - Accent1 5" xfId="17" xr:uid="{00000000-0005-0000-0000-000009000000}"/>
    <cellStyle name="60% - Accent1 6" xfId="18" xr:uid="{00000000-0005-0000-0000-00000A000000}"/>
    <cellStyle name="60% - Accent1 7" xfId="19" xr:uid="{00000000-0005-0000-0000-00000B000000}"/>
    <cellStyle name="60% - Accent1 8" xfId="20" xr:uid="{00000000-0005-0000-0000-00000C000000}"/>
    <cellStyle name="60% - Accent1 9" xfId="21" xr:uid="{00000000-0005-0000-0000-00000D000000}"/>
    <cellStyle name="60% - Accent2 10" xfId="22" xr:uid="{00000000-0005-0000-0000-00000E000000}"/>
    <cellStyle name="60% - Accent2 11" xfId="23" xr:uid="{00000000-0005-0000-0000-00000F000000}"/>
    <cellStyle name="60% - Accent2 12" xfId="24" xr:uid="{00000000-0005-0000-0000-000010000000}"/>
    <cellStyle name="60% - Accent2 13" xfId="25" xr:uid="{00000000-0005-0000-0000-000011000000}"/>
    <cellStyle name="60% - Accent2 14" xfId="26" xr:uid="{00000000-0005-0000-0000-000012000000}"/>
    <cellStyle name="60% - Accent2 15" xfId="27" xr:uid="{00000000-0005-0000-0000-000013000000}"/>
    <cellStyle name="60% - Accent2 2" xfId="28" xr:uid="{00000000-0005-0000-0000-000014000000}"/>
    <cellStyle name="60% - Accent2 3" xfId="29" xr:uid="{00000000-0005-0000-0000-000015000000}"/>
    <cellStyle name="60% - Accent2 4" xfId="30" xr:uid="{00000000-0005-0000-0000-000016000000}"/>
    <cellStyle name="60% - Accent2 5" xfId="31" xr:uid="{00000000-0005-0000-0000-000017000000}"/>
    <cellStyle name="60% - Accent2 6" xfId="32" xr:uid="{00000000-0005-0000-0000-000018000000}"/>
    <cellStyle name="60% - Accent2 7" xfId="33" xr:uid="{00000000-0005-0000-0000-000019000000}"/>
    <cellStyle name="60% - Accent2 8" xfId="34" xr:uid="{00000000-0005-0000-0000-00001A000000}"/>
    <cellStyle name="60% - Accent2 9" xfId="35" xr:uid="{00000000-0005-0000-0000-00001B000000}"/>
    <cellStyle name="60% - Accent3 10" xfId="36" xr:uid="{00000000-0005-0000-0000-00001C000000}"/>
    <cellStyle name="60% - Accent3 11" xfId="37" xr:uid="{00000000-0005-0000-0000-00001D000000}"/>
    <cellStyle name="60% - Accent3 12" xfId="38" xr:uid="{00000000-0005-0000-0000-00001E000000}"/>
    <cellStyle name="60% - Accent3 13" xfId="39" xr:uid="{00000000-0005-0000-0000-00001F000000}"/>
    <cellStyle name="60% - Accent3 14" xfId="40" xr:uid="{00000000-0005-0000-0000-000020000000}"/>
    <cellStyle name="60% - Accent3 15" xfId="41" xr:uid="{00000000-0005-0000-0000-000021000000}"/>
    <cellStyle name="60% - Accent3 2" xfId="42" xr:uid="{00000000-0005-0000-0000-000022000000}"/>
    <cellStyle name="60% - Accent3 3" xfId="43" xr:uid="{00000000-0005-0000-0000-000023000000}"/>
    <cellStyle name="60% - Accent3 4" xfId="44" xr:uid="{00000000-0005-0000-0000-000024000000}"/>
    <cellStyle name="60% - Accent3 5" xfId="45" xr:uid="{00000000-0005-0000-0000-000025000000}"/>
    <cellStyle name="60% - Accent3 6" xfId="46" xr:uid="{00000000-0005-0000-0000-000026000000}"/>
    <cellStyle name="60% - Accent3 7" xfId="47" xr:uid="{00000000-0005-0000-0000-000027000000}"/>
    <cellStyle name="60% - Accent3 8" xfId="48" xr:uid="{00000000-0005-0000-0000-000028000000}"/>
    <cellStyle name="60% - Accent3 9" xfId="49" xr:uid="{00000000-0005-0000-0000-000029000000}"/>
    <cellStyle name="60% - Accent4 10" xfId="50" xr:uid="{00000000-0005-0000-0000-00002A000000}"/>
    <cellStyle name="60% - Accent4 11" xfId="51" xr:uid="{00000000-0005-0000-0000-00002B000000}"/>
    <cellStyle name="60% - Accent4 12" xfId="52" xr:uid="{00000000-0005-0000-0000-00002C000000}"/>
    <cellStyle name="60% - Accent4 13" xfId="53" xr:uid="{00000000-0005-0000-0000-00002D000000}"/>
    <cellStyle name="60% - Accent4 14" xfId="54" xr:uid="{00000000-0005-0000-0000-00002E000000}"/>
    <cellStyle name="60% - Accent4 15" xfId="55" xr:uid="{00000000-0005-0000-0000-00002F000000}"/>
    <cellStyle name="60% - Accent4 2" xfId="56" xr:uid="{00000000-0005-0000-0000-000030000000}"/>
    <cellStyle name="60% - Accent4 3" xfId="57" xr:uid="{00000000-0005-0000-0000-000031000000}"/>
    <cellStyle name="60% - Accent4 4" xfId="58" xr:uid="{00000000-0005-0000-0000-000032000000}"/>
    <cellStyle name="60% - Accent4 5" xfId="59" xr:uid="{00000000-0005-0000-0000-000033000000}"/>
    <cellStyle name="60% - Accent4 6" xfId="60" xr:uid="{00000000-0005-0000-0000-000034000000}"/>
    <cellStyle name="60% - Accent4 7" xfId="61" xr:uid="{00000000-0005-0000-0000-000035000000}"/>
    <cellStyle name="60% - Accent4 8" xfId="62" xr:uid="{00000000-0005-0000-0000-000036000000}"/>
    <cellStyle name="60% - Accent4 9" xfId="63" xr:uid="{00000000-0005-0000-0000-000037000000}"/>
    <cellStyle name="60% - Accent5 10" xfId="64" xr:uid="{00000000-0005-0000-0000-000038000000}"/>
    <cellStyle name="60% - Accent5 11" xfId="65" xr:uid="{00000000-0005-0000-0000-000039000000}"/>
    <cellStyle name="60% - Accent5 12" xfId="66" xr:uid="{00000000-0005-0000-0000-00003A000000}"/>
    <cellStyle name="60% - Accent5 13" xfId="67" xr:uid="{00000000-0005-0000-0000-00003B000000}"/>
    <cellStyle name="60% - Accent5 14" xfId="68" xr:uid="{00000000-0005-0000-0000-00003C000000}"/>
    <cellStyle name="60% - Accent5 15" xfId="69" xr:uid="{00000000-0005-0000-0000-00003D000000}"/>
    <cellStyle name="60% - Accent5 2" xfId="70" xr:uid="{00000000-0005-0000-0000-00003E000000}"/>
    <cellStyle name="60% - Accent5 3" xfId="71" xr:uid="{00000000-0005-0000-0000-00003F000000}"/>
    <cellStyle name="60% - Accent5 4" xfId="72" xr:uid="{00000000-0005-0000-0000-000040000000}"/>
    <cellStyle name="60% - Accent5 5" xfId="73" xr:uid="{00000000-0005-0000-0000-000041000000}"/>
    <cellStyle name="60% - Accent5 6" xfId="74" xr:uid="{00000000-0005-0000-0000-000042000000}"/>
    <cellStyle name="60% - Accent5 7" xfId="75" xr:uid="{00000000-0005-0000-0000-000043000000}"/>
    <cellStyle name="60% - Accent5 8" xfId="76" xr:uid="{00000000-0005-0000-0000-000044000000}"/>
    <cellStyle name="60% - Accent5 9" xfId="77" xr:uid="{00000000-0005-0000-0000-000045000000}"/>
    <cellStyle name="60% - Accent6 10" xfId="78" xr:uid="{00000000-0005-0000-0000-000046000000}"/>
    <cellStyle name="60% - Accent6 11" xfId="79" xr:uid="{00000000-0005-0000-0000-000047000000}"/>
    <cellStyle name="60% - Accent6 12" xfId="80" xr:uid="{00000000-0005-0000-0000-000048000000}"/>
    <cellStyle name="60% - Accent6 13" xfId="81" xr:uid="{00000000-0005-0000-0000-000049000000}"/>
    <cellStyle name="60% - Accent6 14" xfId="82" xr:uid="{00000000-0005-0000-0000-00004A000000}"/>
    <cellStyle name="60% - Accent6 15" xfId="83" xr:uid="{00000000-0005-0000-0000-00004B000000}"/>
    <cellStyle name="60% - Accent6 2" xfId="84" xr:uid="{00000000-0005-0000-0000-00004C000000}"/>
    <cellStyle name="60% - Accent6 3" xfId="85" xr:uid="{00000000-0005-0000-0000-00004D000000}"/>
    <cellStyle name="60% - Accent6 4" xfId="86" xr:uid="{00000000-0005-0000-0000-00004E000000}"/>
    <cellStyle name="60% - Accent6 5" xfId="87" xr:uid="{00000000-0005-0000-0000-00004F000000}"/>
    <cellStyle name="60% - Accent6 6" xfId="88" xr:uid="{00000000-0005-0000-0000-000050000000}"/>
    <cellStyle name="60% - Accent6 7" xfId="89" xr:uid="{00000000-0005-0000-0000-000051000000}"/>
    <cellStyle name="60% - Accent6 8" xfId="90" xr:uid="{00000000-0005-0000-0000-000052000000}"/>
    <cellStyle name="60% - Accent6 9" xfId="91" xr:uid="{00000000-0005-0000-0000-000053000000}"/>
    <cellStyle name="Comma" xfId="3" builtinId="3"/>
    <cellStyle name="Comma 2" xfId="4" xr:uid="{00000000-0005-0000-0000-000001000000}"/>
    <cellStyle name="Comma 2 2" xfId="93" xr:uid="{00000000-0005-0000-0000-000056000000}"/>
    <cellStyle name="Comma 2 2 2" xfId="94" xr:uid="{00000000-0005-0000-0000-000057000000}"/>
    <cellStyle name="Comma 2 2 2 2" xfId="95" xr:uid="{00000000-0005-0000-0000-000058000000}"/>
    <cellStyle name="Comma 2 2 2 2 2" xfId="96" xr:uid="{00000000-0005-0000-0000-000059000000}"/>
    <cellStyle name="Comma 2 2 2 3" xfId="97" xr:uid="{00000000-0005-0000-0000-00005A000000}"/>
    <cellStyle name="Comma 2 2 2 3 2" xfId="98" xr:uid="{00000000-0005-0000-0000-00005B000000}"/>
    <cellStyle name="Comma 2 2 2 4" xfId="99" xr:uid="{00000000-0005-0000-0000-00005C000000}"/>
    <cellStyle name="Comma 2 2 2 4 2" xfId="100" xr:uid="{00000000-0005-0000-0000-00005D000000}"/>
    <cellStyle name="Comma 2 2 2 5" xfId="101" xr:uid="{00000000-0005-0000-0000-00005E000000}"/>
    <cellStyle name="Comma 2 2 3" xfId="102" xr:uid="{00000000-0005-0000-0000-00005F000000}"/>
    <cellStyle name="Comma 2 2 3 2" xfId="103" xr:uid="{00000000-0005-0000-0000-000060000000}"/>
    <cellStyle name="Comma 2 2 4" xfId="104" xr:uid="{00000000-0005-0000-0000-000061000000}"/>
    <cellStyle name="Comma 2 2 4 2" xfId="105" xr:uid="{00000000-0005-0000-0000-000062000000}"/>
    <cellStyle name="Comma 2 2 5" xfId="106" xr:uid="{00000000-0005-0000-0000-000063000000}"/>
    <cellStyle name="Comma 2 2 5 2" xfId="107" xr:uid="{00000000-0005-0000-0000-000064000000}"/>
    <cellStyle name="Comma 2 2 6" xfId="108" xr:uid="{00000000-0005-0000-0000-000065000000}"/>
    <cellStyle name="Comma 2 3" xfId="109" xr:uid="{00000000-0005-0000-0000-000066000000}"/>
    <cellStyle name="Comma 2 3 2" xfId="110" xr:uid="{00000000-0005-0000-0000-000067000000}"/>
    <cellStyle name="Comma 2 3 2 2" xfId="111" xr:uid="{00000000-0005-0000-0000-000068000000}"/>
    <cellStyle name="Comma 2 3 3" xfId="112" xr:uid="{00000000-0005-0000-0000-000069000000}"/>
    <cellStyle name="Comma 2 3 3 2" xfId="113" xr:uid="{00000000-0005-0000-0000-00006A000000}"/>
    <cellStyle name="Comma 2 3 4" xfId="114" xr:uid="{00000000-0005-0000-0000-00006B000000}"/>
    <cellStyle name="Comma 2 3 4 2" xfId="115" xr:uid="{00000000-0005-0000-0000-00006C000000}"/>
    <cellStyle name="Comma 2 3 5" xfId="116" xr:uid="{00000000-0005-0000-0000-00006D000000}"/>
    <cellStyle name="Comma 2 4" xfId="117" xr:uid="{00000000-0005-0000-0000-00006E000000}"/>
    <cellStyle name="Comma 2 4 2" xfId="118" xr:uid="{00000000-0005-0000-0000-00006F000000}"/>
    <cellStyle name="Comma 2 4 2 2" xfId="119" xr:uid="{00000000-0005-0000-0000-000070000000}"/>
    <cellStyle name="Comma 2 4 3" xfId="120" xr:uid="{00000000-0005-0000-0000-000071000000}"/>
    <cellStyle name="Comma 2 4 3 2" xfId="121" xr:uid="{00000000-0005-0000-0000-000072000000}"/>
    <cellStyle name="Comma 2 4 4" xfId="122" xr:uid="{00000000-0005-0000-0000-000073000000}"/>
    <cellStyle name="Comma 2 4 4 2" xfId="123" xr:uid="{00000000-0005-0000-0000-000074000000}"/>
    <cellStyle name="Comma 2 4 5" xfId="124" xr:uid="{00000000-0005-0000-0000-000075000000}"/>
    <cellStyle name="Comma 2 5" xfId="125" xr:uid="{00000000-0005-0000-0000-000076000000}"/>
    <cellStyle name="Comma 2 5 2" xfId="126" xr:uid="{00000000-0005-0000-0000-000077000000}"/>
    <cellStyle name="Comma 2 6" xfId="127" xr:uid="{00000000-0005-0000-0000-000078000000}"/>
    <cellStyle name="Comma 2 6 2" xfId="128" xr:uid="{00000000-0005-0000-0000-000079000000}"/>
    <cellStyle name="Comma 2 7" xfId="129" xr:uid="{00000000-0005-0000-0000-00007A000000}"/>
    <cellStyle name="Comma 2 7 2" xfId="130" xr:uid="{00000000-0005-0000-0000-00007B000000}"/>
    <cellStyle name="Comma 2 8" xfId="131" xr:uid="{00000000-0005-0000-0000-00007C000000}"/>
    <cellStyle name="Comma 2 9" xfId="92" xr:uid="{00000000-0005-0000-0000-000055000000}"/>
    <cellStyle name="Comma 3" xfId="132" xr:uid="{00000000-0005-0000-0000-00007D000000}"/>
    <cellStyle name="Comma 3 2" xfId="133" xr:uid="{00000000-0005-0000-0000-00007E000000}"/>
    <cellStyle name="Comma 3 2 2" xfId="134" xr:uid="{00000000-0005-0000-0000-00007F000000}"/>
    <cellStyle name="Comma 3 2 2 2" xfId="135" xr:uid="{00000000-0005-0000-0000-000080000000}"/>
    <cellStyle name="Comma 3 2 3" xfId="136" xr:uid="{00000000-0005-0000-0000-000081000000}"/>
    <cellStyle name="Comma 3 2 3 2" xfId="137" xr:uid="{00000000-0005-0000-0000-000082000000}"/>
    <cellStyle name="Comma 3 2 4" xfId="138" xr:uid="{00000000-0005-0000-0000-000083000000}"/>
    <cellStyle name="Comma 3 2 4 2" xfId="139" xr:uid="{00000000-0005-0000-0000-000084000000}"/>
    <cellStyle name="Comma 3 2 5" xfId="140" xr:uid="{00000000-0005-0000-0000-000085000000}"/>
    <cellStyle name="Comma 3 3" xfId="141" xr:uid="{00000000-0005-0000-0000-000086000000}"/>
    <cellStyle name="Comma 3 3 2" xfId="142" xr:uid="{00000000-0005-0000-0000-000087000000}"/>
    <cellStyle name="Comma 3 4" xfId="143" xr:uid="{00000000-0005-0000-0000-000088000000}"/>
    <cellStyle name="Comma 3 4 2" xfId="144" xr:uid="{00000000-0005-0000-0000-000089000000}"/>
    <cellStyle name="Comma 3 5" xfId="145" xr:uid="{00000000-0005-0000-0000-00008A000000}"/>
    <cellStyle name="Comma 3 5 2" xfId="146" xr:uid="{00000000-0005-0000-0000-00008B000000}"/>
    <cellStyle name="Comma 3 6" xfId="147" xr:uid="{00000000-0005-0000-0000-00008C000000}"/>
    <cellStyle name="Comma 4" xfId="7" xr:uid="{00000000-0005-0000-0000-000086000000}"/>
    <cellStyle name="Neutral 10" xfId="148" xr:uid="{00000000-0005-0000-0000-00008D000000}"/>
    <cellStyle name="Neutral 11" xfId="149" xr:uid="{00000000-0005-0000-0000-00008E000000}"/>
    <cellStyle name="Neutral 12" xfId="150" xr:uid="{00000000-0005-0000-0000-00008F000000}"/>
    <cellStyle name="Neutral 13" xfId="151" xr:uid="{00000000-0005-0000-0000-000090000000}"/>
    <cellStyle name="Neutral 14" xfId="152" xr:uid="{00000000-0005-0000-0000-000091000000}"/>
    <cellStyle name="Neutral 15" xfId="153" xr:uid="{00000000-0005-0000-0000-000092000000}"/>
    <cellStyle name="Neutral 2" xfId="154" xr:uid="{00000000-0005-0000-0000-000093000000}"/>
    <cellStyle name="Neutral 3" xfId="155" xr:uid="{00000000-0005-0000-0000-000094000000}"/>
    <cellStyle name="Neutral 4" xfId="156" xr:uid="{00000000-0005-0000-0000-000095000000}"/>
    <cellStyle name="Neutral 5" xfId="157" xr:uid="{00000000-0005-0000-0000-000096000000}"/>
    <cellStyle name="Neutral 6" xfId="158" xr:uid="{00000000-0005-0000-0000-000097000000}"/>
    <cellStyle name="Neutral 7" xfId="159" xr:uid="{00000000-0005-0000-0000-000098000000}"/>
    <cellStyle name="Neutral 8" xfId="160" xr:uid="{00000000-0005-0000-0000-000099000000}"/>
    <cellStyle name="Neutral 9" xfId="161" xr:uid="{00000000-0005-0000-0000-00009A000000}"/>
    <cellStyle name="Normal" xfId="0" builtinId="0"/>
    <cellStyle name="Normal 2" xfId="2" xr:uid="{00000000-0005-0000-0000-000004000000}"/>
    <cellStyle name="Normal 3" xfId="1" xr:uid="{00000000-0005-0000-0000-000005000000}"/>
    <cellStyle name="Normal 4" xfId="6" xr:uid="{00000000-0005-0000-0000-0000CD000000}"/>
    <cellStyle name="Normal 5" xfId="176" xr:uid="{00000000-0005-0000-0000-0000DC000000}"/>
    <cellStyle name="Percent" xfId="5" builtinId="5"/>
    <cellStyle name="Title 10" xfId="162" xr:uid="{00000000-0005-0000-0000-00009D000000}"/>
    <cellStyle name="Title 11" xfId="163" xr:uid="{00000000-0005-0000-0000-00009E000000}"/>
    <cellStyle name="Title 12" xfId="164" xr:uid="{00000000-0005-0000-0000-00009F000000}"/>
    <cellStyle name="Title 13" xfId="165" xr:uid="{00000000-0005-0000-0000-0000A0000000}"/>
    <cellStyle name="Title 14" xfId="166" xr:uid="{00000000-0005-0000-0000-0000A1000000}"/>
    <cellStyle name="Title 15" xfId="167" xr:uid="{00000000-0005-0000-0000-0000A2000000}"/>
    <cellStyle name="Title 2" xfId="168" xr:uid="{00000000-0005-0000-0000-0000A3000000}"/>
    <cellStyle name="Title 3" xfId="169" xr:uid="{00000000-0005-0000-0000-0000A4000000}"/>
    <cellStyle name="Title 4" xfId="170" xr:uid="{00000000-0005-0000-0000-0000A5000000}"/>
    <cellStyle name="Title 5" xfId="171" xr:uid="{00000000-0005-0000-0000-0000A6000000}"/>
    <cellStyle name="Title 6" xfId="172" xr:uid="{00000000-0005-0000-0000-0000A7000000}"/>
    <cellStyle name="Title 7" xfId="173" xr:uid="{00000000-0005-0000-0000-0000A8000000}"/>
    <cellStyle name="Title 8" xfId="174" xr:uid="{00000000-0005-0000-0000-0000A9000000}"/>
    <cellStyle name="Title 9" xfId="175" xr:uid="{00000000-0005-0000-0000-0000AA000000}"/>
  </cellStyles>
  <dxfs count="0"/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colors>
    <mruColors>
      <color rgb="FFFF33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028DFE-AD16-466F-8145-D7C6A5371AD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C9DE1B4-39CD-4430-91C3-020E9E1D6097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CB617-75BB-45DD-9477-06B691E7D951}"/>
            </a:ext>
          </a:extLst>
        </xdr:cNvPr>
        <xdr:cNvSpPr txBox="1"/>
      </xdr:nvSpPr>
      <xdr:spPr>
        <a:xfrm>
          <a:off x="257175" y="79057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1A9DE9-998A-4AE3-A44A-1ABCCD64467C}"/>
            </a:ext>
          </a:extLst>
        </xdr:cNvPr>
        <xdr:cNvSpPr txBox="1"/>
      </xdr:nvSpPr>
      <xdr:spPr>
        <a:xfrm>
          <a:off x="4400550" y="447676"/>
          <a:ext cx="2686050" cy="333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C41AB4-6AD0-419C-BF60-D1C7B347A37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086B212-90A1-4889-AF50-DA9099F7C04C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57118E6-1D2E-4D23-9BAA-3FB4B2FF2FCE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EA2C26-98D9-4575-A6C3-5BDB0A2D3E59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97B41935-3D0F-493A-9E6A-6EEB3768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2C11506-DC37-4DAC-9AC0-05FA9414EF56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6A9D022-69D9-4E44-9EA4-E94D7D15AA56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BE556E3-8294-452A-8B58-7962BB0FBDA5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6E053E1-8E13-41E2-9B40-22EB0971A8C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FB0FEC5-4894-4631-8D03-498CCFCFB0A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3288710-B59C-4A2E-8942-892EBB84226E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9BAA63E-F7E1-4574-9EE0-C0C4CD1E6F2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84FBD9-2E8D-44A4-B141-1B61BBEA353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0CC701-155E-4BE5-A5DE-40FA26193E4C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5ABC9B-1714-47B0-9230-EE6F790FD75D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5D0932-26F3-494A-9DF8-2B6E3FD452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B21EB7-E124-4D63-8311-EEE97E2C7389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82C3FC-CFEF-42F3-B219-F652446D91F2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AE1A2B5-6BFA-4453-BA71-BF1D445E9FC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310CB205-E6BB-42E6-B082-18349E36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ACB2C2D-9644-4718-9ACC-10E59F2CA410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4BADE57-8909-4BFE-B5A8-C1C00E38C9A4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3685ADB-EB50-4742-992D-B25A34095849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1E8029B-6C11-4CDE-930D-F6DBB9B8BB1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ED7094A-6E20-43FA-8569-F76C6506F18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D480653-B527-4388-8D2C-138FC8F152CC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81AD27-080D-4B06-AB49-6A14B525B245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69A467-7E77-4ED5-B5EF-22C206394A6E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F26AF3B-9CF3-478C-8114-F589480D22AE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46F134-F666-4BB5-9F04-A50DE04317A0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DEFA4A-7EAA-4B6D-9F00-D356149DAF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ABBE3C5-C8A7-43EA-88AA-2504F9526BF6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45D732-5957-40C6-8876-95FBEF94DB2F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E70021-2DB5-4970-BDFF-54AE714EE94D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C67FF547-BC68-4CD8-9D87-FE193AF6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872946-9E8A-468C-B796-EB177525ACE9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30668C4-9CF3-42B8-ACDA-AC5A272CE88C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4920804-74A5-4E96-A479-F375DE76AE6C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6B1DA6D-3C4B-451F-A6EB-BEB4D036E7D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97AABD2-3CE6-43F4-8F95-85953FCB703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C0BF959-DE52-4854-9BEB-2042358AAD5F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6D7360-640B-4357-8669-B6661FB7D9F3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8C60A21-FD64-4071-A898-763F58A3197E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45301-6C47-414F-B1A4-C76F32AB2014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E76388-E2B4-4757-B8AA-2205FACD2335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A1DC674-9B9A-4155-8014-DA244659EAA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B4130EF-D57C-42F9-86BE-8F2B30925DE2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F815D9-E56B-43FE-ABA0-B959D1B30AA0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0B4A9B1-3C21-4B85-B436-FB2E9C564DB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02B87D72-50BA-44DE-B372-B8C0DCB1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841E1EB-59CD-4FE3-A5A7-6473B2F953B6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D19085C-9AA1-44FB-82CB-B13811A2AAF4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47CFEBD-84EF-4B3F-95B3-62CB6AAB99C2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8051E41-6DAA-418E-B8A8-C25E297C0B67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94E6E2E-158B-438B-BFA4-2F387FF1195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ED12D9B-C068-4733-9AA5-31CACC274277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C209F8-E1ED-450C-B038-3C8218FEEF0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0625BF-D606-4A4A-9FD7-8EFB376B0D3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EE3E7-9341-4CBA-9338-3F757D89CF57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E821A1-E8D6-47BB-80BF-2A497060335E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3BD5DE8-3840-4CD1-AA8E-8C5E78A216A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D53CBC-09AA-4BFF-9632-E53885F9F66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AAF1D0-F443-4DF5-9381-3AE15A6A9B36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A01C17-A12B-4045-ABF9-FF4C437B669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3EE43879-2F10-4C51-AE12-21FE32A8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CC2657F-3B84-4723-B476-69E2C4DCEA34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5EBFB54-37D3-44D3-B3CF-57A15338817D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82D87B5-6E4A-4382-9C07-124BC5B4E0D8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40D86BA-CE04-470F-83A2-660CD56A829E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165F969-BF6A-4F17-BF67-7AB235F5C2BC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BCB7CF-E519-4B09-94FA-76097B8FED4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CA841F-DE6A-49BF-AC82-347733F9C90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1D6A30-6CA8-4120-8D7C-245A738D1F1B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ABD4F2-D4CD-4FAA-A019-9226115BF310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769EEF-C95A-44E7-8341-5AB505BC2D2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217D7A-6A94-45AF-A05F-2406163CBC91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D3F3E7-4600-4585-B1D8-DFA657DDFCED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45A7F3-4E7A-4813-AD74-11ED1D297FF9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EF0A88B0-9669-47E0-9DD2-BA133A22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6878D3-3774-492D-BFA0-EB22EE0C8278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4FC3357-FAB2-4F08-936F-C3FDA2992D7B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1F084F0-69F7-4D77-8FF6-D457DF5582BB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9F21C65-B421-4333-970A-163B5A4D25A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127D7DE-C6D4-4FA4-AF8B-806F27379A03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38F32CD-553C-4ACD-95D6-9FE96164A428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50D47D-4DFB-41A9-8C7A-2B72025A365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878CE1C-1002-427A-A794-886CD5E04A82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9F1878-78F9-485A-9EBB-1316043837B1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55C51D-1DE8-42A8-B2E0-975F6C462CA2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8FAD12-360C-46A3-B824-9ADC5B0CFAA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B0768E0-A83B-4F22-9358-05BD3FFBD0F6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BB1A6-4B0A-4A44-B21C-4A4BBC083AD4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CF8FB1E-CACB-4463-B1EE-F051448A6D58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45C03ACC-637D-4DA3-A2F5-FE9659AD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5C8917-CC23-4535-AFBC-A69BCD565AEE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BFF9D85-7EAC-4852-A8E5-705264B7E1DF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B6C5463-A101-46CA-B813-3DF81C6E25BF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31412E1-B532-4EB6-B00C-67573064D38C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92CAB4C-B4FB-410E-8F5A-E20B04DD5CFE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D928F0F-1B0E-4BF8-BE6F-7BEAE191D1F4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AC732A-7606-4BA6-9451-F898E7B6860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84180C9-0730-46A5-A7B7-3A35F3D5E511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030DAA-7996-482C-82AB-0AB6194CACA2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B8A695-B42F-44A8-A2CE-B6276D4A3C27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70F8E2-E382-4D4C-B52D-AA35660B7F7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9BCC789-887B-465D-BE43-97340E5CFEC7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238EC7-3E38-4065-9342-1CD4777733D5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178C30-70CB-4E89-806E-CC52F9B737CA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9BAD59C0-9A0F-4369-910B-2616D34E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1BBDB30-D3FF-4B3E-B47C-000CF240A7E1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FB274F1-7D1F-484F-94E8-8DE156D22385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7431488-9B2E-4C4B-A2BE-145AB34C7792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B4F5FD-2047-454F-AB40-E36D8A863F34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601E7AF-2CBA-4B36-9032-F4248932CD0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A4BF359-F828-428A-A2E4-A52C07B57C99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3681DA-A622-455C-8A04-7132CF63D2E3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318FF9-5514-4382-BE62-513033F9FAB0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9F7305-75CF-439D-B71A-949E461F219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29A6DB5-CAB5-4DDE-AEE2-A2B19752F5D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414DD77-0E56-4CFD-94CC-75A7CA759A9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BB5D8E-A2D2-4672-B444-B9976A84064B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E222B75-E6F2-44A5-9913-6D55DA92563D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971BDB-963A-4240-8D43-0EA0ED0450B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83B10D5-E8E4-471A-88A4-77817E8BD91A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4B0AF4-FBAC-4728-92F8-1E6BD7D4298C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1937F95-BE8F-4097-8969-14FA7CFA5800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1" name="Picture 10" descr="http://www.lakecement.com/images/logo.jpg">
          <a:extLst>
            <a:ext uri="{FF2B5EF4-FFF2-40B4-BE49-F238E27FC236}">
              <a16:creationId xmlns:a16="http://schemas.microsoft.com/office/drawing/2014/main" id="{C1B1E9D3-CF9D-4AA5-9F65-276AED8D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F2EA18C-CEA8-42C7-A929-DCC6D1C03F27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2B08E74-803C-4B14-89BA-149FE7CDA6AE}"/>
            </a:ext>
          </a:extLst>
        </xdr:cNvPr>
        <xdr:cNvCxnSpPr/>
      </xdr:nvCxnSpPr>
      <xdr:spPr>
        <a:xfrm>
          <a:off x="73865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E137BE8-885C-4C36-9583-454C5E8A8F4F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C48FF87-27D1-485A-8A0A-2C7887CB804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D12C229-0E0F-4D78-836E-B4691FDEE73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9878101-77D5-4E54-8586-76C1B1A65C24}"/>
            </a:ext>
          </a:extLst>
        </xdr:cNvPr>
        <xdr:cNvCxnSpPr/>
      </xdr:nvCxnSpPr>
      <xdr:spPr>
        <a:xfrm>
          <a:off x="88487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58C203-9566-4622-99E5-EFD90FE6266E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3D92F8-9420-4A31-88EE-7B6C2E12CE4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4800B7-FD69-42DC-B68C-1C92A91CB73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6D1948A-AF55-4606-9D53-E008CB1F9F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34F2E8-9721-42DC-9496-E5231BEF75F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79A18-F057-45A5-ACAE-C9DFC43BB2E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9DF621-C7F0-4A55-9E28-083F74632C94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C7048C9-6EDB-4514-AE6D-9D17C2F8F14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94044CD-119D-4810-A20F-9BE8E2C0389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34EFDE-8267-4EA2-9B6F-4F88646A7532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2550E9C-4179-47B4-95F7-96449648F34A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0" name="Picture 10" descr="http://www.lakecement.com/images/logo.jpg">
          <a:extLst>
            <a:ext uri="{FF2B5EF4-FFF2-40B4-BE49-F238E27FC236}">
              <a16:creationId xmlns:a16="http://schemas.microsoft.com/office/drawing/2014/main" id="{1D044212-2EB8-4DED-8B27-68BBF0BDA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88A249A-B786-4F93-BC79-8FBFF4B9E6C9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99EFDF9-A777-4A52-A099-AB394F118C21}"/>
            </a:ext>
          </a:extLst>
        </xdr:cNvPr>
        <xdr:cNvCxnSpPr/>
      </xdr:nvCxnSpPr>
      <xdr:spPr>
        <a:xfrm>
          <a:off x="73865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E163A8-00C5-4E1E-9648-366BDC65096A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B20CC69-99ED-4991-B2E9-B8A94BD72725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D263627-04F3-4733-9B74-42E8E7DB7CD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3DF13F1-C174-4D01-9CFB-00F5CE602799}"/>
            </a:ext>
          </a:extLst>
        </xdr:cNvPr>
        <xdr:cNvCxnSpPr/>
      </xdr:nvCxnSpPr>
      <xdr:spPr>
        <a:xfrm>
          <a:off x="88487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F2217A-2A47-4947-8BFD-544DE8DD4F6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6F7EFC0-5B3D-42C1-8193-2EFE0946AF3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550201F-4556-42C2-A70E-F6788E5FB264}"/>
            </a:ext>
          </a:extLst>
        </xdr:cNvPr>
        <xdr:cNvCxnSpPr/>
      </xdr:nvCxnSpPr>
      <xdr:spPr>
        <a:xfrm>
          <a:off x="90773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3FB82F9-29C9-4CF7-AB26-B6B6285BCA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CC95D3-6507-48EA-9F54-05CCF3BC690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74402F1-B137-427A-A1F4-AC4E886CD8D4}"/>
            </a:ext>
          </a:extLst>
        </xdr:cNvPr>
        <xdr:cNvCxnSpPr/>
      </xdr:nvCxnSpPr>
      <xdr:spPr>
        <a:xfrm>
          <a:off x="90773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21A5679-E92B-4301-83EB-F7583BFB33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979800-DE3A-4DBA-95B8-B390F519D6F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D9A1866-5685-42C9-80D4-49B6FA685CCF}"/>
            </a:ext>
          </a:extLst>
        </xdr:cNvPr>
        <xdr:cNvSpPr txBox="1"/>
      </xdr:nvSpPr>
      <xdr:spPr>
        <a:xfrm>
          <a:off x="4400550" y="447676"/>
          <a:ext cx="28384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4DC033C-BC77-42C8-BC2B-31B0871ACFE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8367532-CFCD-4A40-ADEF-DDB9C114238F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BA17EAE-0313-4A89-B566-7BC2FAF242AB}"/>
            </a:ext>
          </a:extLst>
        </xdr:cNvPr>
        <xdr:cNvSpPr txBox="1"/>
      </xdr:nvSpPr>
      <xdr:spPr>
        <a:xfrm>
          <a:off x="4400550" y="533400"/>
          <a:ext cx="28384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A119D77-FF78-4810-A9A4-8A0A06948F31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3" name="Picture 10" descr="http://www.lakecement.com/images/logo.jpg">
          <a:extLst>
            <a:ext uri="{FF2B5EF4-FFF2-40B4-BE49-F238E27FC236}">
              <a16:creationId xmlns:a16="http://schemas.microsoft.com/office/drawing/2014/main" id="{B830BE69-0B26-40D0-98FA-914A1FFF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03BCDD6-98B4-4797-BCAC-84353CBCDAD5}"/>
            </a:ext>
          </a:extLst>
        </xdr:cNvPr>
        <xdr:cNvSpPr/>
      </xdr:nvSpPr>
      <xdr:spPr>
        <a:xfrm>
          <a:off x="5256742" y="304376"/>
          <a:ext cx="29413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5B1A124-76A8-4EED-97DF-9F579914E94F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7DABF4E-9C07-4088-B914-F90448075D99}"/>
            </a:ext>
          </a:extLst>
        </xdr:cNvPr>
        <xdr:cNvSpPr/>
      </xdr:nvSpPr>
      <xdr:spPr>
        <a:xfrm>
          <a:off x="78295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7BF0284-3C19-4494-9EEE-F4C8C2CF528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86EC284-BDB9-4FE1-B2DB-8D16A8DE8502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56D69FC-BC5D-4106-B1D6-71DA96C26A63}"/>
            </a:ext>
          </a:extLst>
        </xdr:cNvPr>
        <xdr:cNvCxnSpPr/>
      </xdr:nvCxnSpPr>
      <xdr:spPr>
        <a:xfrm>
          <a:off x="90773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AADDF53-3007-4413-AEDB-0CA4BCD220F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8709BA-1F18-479F-B298-F63B9FD4E841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3E5134-706A-4757-9525-1800FF4888C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8D7160A-C953-45CC-BAFF-4EF6E8A51DCB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28B9157-3965-4D39-B888-8B838EB3DBC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A46329E-26EC-401E-BCE3-5BBA0AEB1571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1629FC6-E82F-4EAA-9528-DE838053550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CE9B858-B2E7-4ED5-8B3C-81BB7EB955D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42EB5F3-1CAF-404D-BEC7-D33DD696357A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98F2B78-D175-4E86-B6C5-5086D0E32E1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3A3B30-C3AE-4701-B436-18F49407CCC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6B0F16D-D657-41A2-8723-6DE4D6B5B8AA}"/>
            </a:ext>
          </a:extLst>
        </xdr:cNvPr>
        <xdr:cNvSpPr txBox="1"/>
      </xdr:nvSpPr>
      <xdr:spPr>
        <a:xfrm>
          <a:off x="4400550" y="447676"/>
          <a:ext cx="277177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593DB5-2B24-45AF-B92D-D86F1827A7B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BACD945-E98F-46BA-A74A-5D9B9B8E3B17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D1716AA-37BA-4D51-AB75-38E835FB874E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B1D263-C5E0-49E8-BE73-7D38C04510A8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1056</xdr:rowOff>
    </xdr:to>
    <xdr:pic>
      <xdr:nvPicPr>
        <xdr:cNvPr id="25" name="Picture 10" descr="http://www.lakecement.com/images/logo.jpg">
          <a:extLst>
            <a:ext uri="{FF2B5EF4-FFF2-40B4-BE49-F238E27FC236}">
              <a16:creationId xmlns:a16="http://schemas.microsoft.com/office/drawing/2014/main" id="{6BDFB32B-9CB9-4E46-B022-6F9CA2A0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C187B9A-B0DA-4109-B9BD-7391E187F8FD}"/>
            </a:ext>
          </a:extLst>
        </xdr:cNvPr>
        <xdr:cNvSpPr/>
      </xdr:nvSpPr>
      <xdr:spPr>
        <a:xfrm>
          <a:off x="5256742" y="304376"/>
          <a:ext cx="28746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06728BD-AAD0-47F9-825D-E8FF92539D45}"/>
            </a:ext>
          </a:extLst>
        </xdr:cNvPr>
        <xdr:cNvCxnSpPr/>
      </xdr:nvCxnSpPr>
      <xdr:spPr>
        <a:xfrm>
          <a:off x="75484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483C40F-D7E1-4DB2-BBE1-3AB9C3425507}"/>
            </a:ext>
          </a:extLst>
        </xdr:cNvPr>
        <xdr:cNvSpPr/>
      </xdr:nvSpPr>
      <xdr:spPr>
        <a:xfrm>
          <a:off x="77628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C446541-153E-460D-BA69-5F348E92EEC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FF28334-5F1A-4200-98C9-7011DA966F7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768D400-3A6A-4E60-AA5E-1E121401126A}"/>
            </a:ext>
          </a:extLst>
        </xdr:cNvPr>
        <xdr:cNvCxnSpPr/>
      </xdr:nvCxnSpPr>
      <xdr:spPr>
        <a:xfrm>
          <a:off x="901065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4599DB-0C76-4899-ABD0-32E00C9318E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5AFAE86-6EBC-44F6-9144-F23D686D0D1F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3C3C2B-BDDE-414B-8978-8AA3E26C3CB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B12A688-1379-4C15-A323-299F8F17479A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81A840A-20CC-4089-BC92-8FB72DC2202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812E78-20C4-4611-BAEE-9690AFA699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59B9903-8C62-4BAD-9D65-DD4C43416F00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C74AB0A-FD4B-4E9B-92DE-27704547D4E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E005B4F-8BAF-4159-A938-100C81B62E72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6FC80AB-2ABA-4786-86D6-C28160608FA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FE2704B-BEB8-4A05-94FF-3C005ADCB6C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86A37EF-00FD-475C-BF16-5B95E75CDACB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3268458-F7AE-4A53-9B62-2DF2E680CC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11A1FE-0A91-40BF-85BB-E978DB6BD67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BC3FC67-A427-47C7-A051-F15CAC5633AB}"/>
            </a:ext>
          </a:extLst>
        </xdr:cNvPr>
        <xdr:cNvSpPr txBox="1"/>
      </xdr:nvSpPr>
      <xdr:spPr>
        <a:xfrm>
          <a:off x="4400550" y="447676"/>
          <a:ext cx="277177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2BF95C5-897A-4A76-9807-DADEA960F76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272A2F6-7C68-41B8-B0F4-D326E751A76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BBEB474-E70D-4F51-91AD-E037401AF7BB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DA2743D-0630-4AD0-ABC5-F11AF0E35C1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190499</xdr:rowOff>
    </xdr:from>
    <xdr:to>
      <xdr:col>2</xdr:col>
      <xdr:colOff>190500</xdr:colOff>
      <xdr:row>2</xdr:row>
      <xdr:rowOff>1055</xdr:rowOff>
    </xdr:to>
    <xdr:pic>
      <xdr:nvPicPr>
        <xdr:cNvPr id="28" name="Picture 10" descr="http://www.lakecement.com/images/logo.jpg">
          <a:extLst>
            <a:ext uri="{FF2B5EF4-FFF2-40B4-BE49-F238E27FC236}">
              <a16:creationId xmlns:a16="http://schemas.microsoft.com/office/drawing/2014/main" id="{AB822A68-76AD-42A8-90A9-0F5B9E03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4584" y="190499"/>
          <a:ext cx="433916" cy="339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DF49C92-11C7-4116-AC80-742C0248CCCC}"/>
            </a:ext>
          </a:extLst>
        </xdr:cNvPr>
        <xdr:cNvSpPr/>
      </xdr:nvSpPr>
      <xdr:spPr>
        <a:xfrm>
          <a:off x="5256742" y="304376"/>
          <a:ext cx="28746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38BCC37-2355-4F2A-9209-69C4E6C18FAD}"/>
            </a:ext>
          </a:extLst>
        </xdr:cNvPr>
        <xdr:cNvCxnSpPr/>
      </xdr:nvCxnSpPr>
      <xdr:spPr>
        <a:xfrm>
          <a:off x="75484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D6DE677-9CD4-4904-9A3E-0ADD03B738E2}"/>
            </a:ext>
          </a:extLst>
        </xdr:cNvPr>
        <xdr:cNvSpPr/>
      </xdr:nvSpPr>
      <xdr:spPr>
        <a:xfrm>
          <a:off x="77628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A9192C2-D149-4288-B4A4-BDC9B350C95C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A18D918-E640-40B2-9032-909F5682AE8B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A7A018A-618F-4496-A4E9-C8485EB1F001}"/>
            </a:ext>
          </a:extLst>
        </xdr:cNvPr>
        <xdr:cNvCxnSpPr/>
      </xdr:nvCxnSpPr>
      <xdr:spPr>
        <a:xfrm>
          <a:off x="901065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43581F-0492-495F-B872-8D06E5DD7EC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6876E0A-5CE8-4E8B-94EC-122BFD4EACCD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3AEDB6-FFF4-4B43-8208-3DC5E7C4B9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9C51BA0-1811-478B-9607-F00315F2133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6F6BC56-DB4E-4AE2-B7BE-1B2EE4F376A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CC43CCD-899E-48C0-B242-DE90AB64AD7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A050B3A-508F-4EC4-BC1B-F7DBDE2486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037CBD8-73FD-4D05-9706-8C5562B93DC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A23CDF8-1FF7-40C0-BC27-73083A219D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FAF09C-ECD1-4322-99A0-5DA7D8B37A6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4AD076-640D-4A09-92DE-EB4F3C1A65C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9C1BE94-0AD7-4FEC-AA9D-E55B12F3146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CDC6C64-67B3-49A4-B52A-8AA235F54D2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3E6861-CF83-444A-907B-43239ED7F1A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ADE614C-4717-48DF-8296-3C2588DD146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9E49BE7-8CB8-4394-9588-ADBCF83D1F1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63A69E9-7011-490A-AD47-45AF6E3CD74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0748A69-C186-4D11-868A-886B2E7A54D9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8E13BE-0830-477A-8B04-769BA8811CB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D79F76C-DED9-4C63-A28F-CAAD63A0EAB9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B50F398-C65E-44C4-A29A-8F97F28C0F3E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1D68779-8762-4D01-AA49-F620A62329C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1</xdr:row>
      <xdr:rowOff>10583</xdr:rowOff>
    </xdr:from>
    <xdr:to>
      <xdr:col>2</xdr:col>
      <xdr:colOff>158750</xdr:colOff>
      <xdr:row>2</xdr:row>
      <xdr:rowOff>5289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CC5A3C5D-9C37-4578-998D-324B8458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4584" y="201083"/>
          <a:ext cx="402166" cy="333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14781CD-1769-43F4-9B24-CE98FF9E11A0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64E0F49-A282-41F4-9C1B-0D3413FC3500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A59A0CB-83A6-4FB8-878F-D440CFD611A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0DAF6AA-E13D-4382-8B2A-26215330F75F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113C858-7122-4EE2-8662-E192B2923D1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210BC92-EBB6-4A2D-BA34-B940676ADEBB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E06502-9742-4680-9A70-78AC1BCEF83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A60F3D9-ABD4-4AEE-8C75-56156AC71797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84B3A3E-D695-4E88-8420-2EEFB267FE9C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32D6852-5134-44FD-88BD-8EAF9EEBEE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4257352-0305-4271-8B07-BD19A7AF4B0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4C05CA4-F059-4823-8EAA-07597B5DE27D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6B7B2C9-04C1-4396-92BF-015BDA59242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1D607B0-3274-4884-859D-D5953B9E864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3884EAF-BA70-44D9-9DBA-9885F029FCBF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8297269-5D83-4B8E-B9E4-6AC4198B160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246A47-75A2-4950-8229-6EA1A5B2840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2C517A3-3A5F-4D55-9EF7-C84B49B8EEA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D832EED-9C95-4EB4-BE26-552550F1E33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DEA829D-4908-4E76-9897-6017692E8A87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B41FC9D-9912-4687-92FF-F3FE8D7F73E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A3E587B-24E6-4413-B436-48BC312448D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7841916-D81F-4A90-A821-D7AA407A5B44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01B6191-FB54-475C-8337-FF4C880192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6560E0-5C6A-42CF-BED3-D6D19858053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0E1945F-9B97-4F32-88E9-C79CD25C0208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CCAA225-141F-4354-9873-9A68CAA464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AB8CB79-0E62-4C3C-9356-A9B3525A9118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8A7144-75B8-4627-9745-7CE397DA2B4E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DA5AB59-6965-4410-8B50-DAEB61BFA0AF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37575478-B71B-4573-9536-4132893E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90212FA-C123-4D1A-BC9D-6BC37EA689B5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6100959-11C2-426D-B89B-5310109BDB4F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26C23FF-1EB1-42E2-90FA-9A89DBCF3698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F4C19AE-B65C-4039-AD0B-FC71E5F9DFCA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9C20B6A-0A68-43B6-A3BA-52C9B97D55C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500D957-7327-45E2-8391-15522FFEF74F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3C5796-38EB-490E-9DFF-5ADE9FE6A67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52A4500-0E89-40DE-9520-BDCDF9067E4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C13489-B244-4433-8CC8-E8B358E6A00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97148B1-73A7-4D7A-B68B-11ADE53FA9C2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830CBCD-5B5A-4E5A-B851-2990F48BA54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940DA3-F4C5-444E-830C-FB92847CF5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379E03F-559C-4538-8C2E-55BA4B3A75F2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1F6ED39-61A5-4FEA-9FDA-24D77B0C24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908344-00A8-4AA3-A890-308E05D0A4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DA373D3-1368-4673-A573-057FE5EC8EFF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1DD60ED-EC7F-46C0-BFEC-03BBC8F3B61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4430B1D-4756-47AC-A909-DB5799EF980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2B3EEC5-EA0B-436D-BE70-39B6B8ADFC5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F5DA658-E2A0-403E-BC9E-3F19AE3BAD4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1328716-BEDE-42AB-B816-B3CD9DAE2FE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9C1E17E-0FA4-4382-8858-2D54239E492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E381D0-975A-4D12-BCA6-1F5F9EEA143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BC0D43-3A11-4380-AC24-3732B7F9B58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7C07809-B041-49B7-957F-B72A7924A58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D83CC96-7133-4B33-96B8-7B4972DEB7D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10253B-1D15-4196-8C06-CECE17583ECD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BF5F82-6FB6-433D-8367-B34BC08CAF6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AEB44A4-C201-40FA-8FC1-770FA9E85EC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22C4281-5E9D-4036-8BD7-22979E892A23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E31EE2E-2D2D-4651-B42A-E8FC2226B01D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51A53C6B-EFCB-4A3F-8A27-E9811B00C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DB8971D-2BCB-490B-9162-EAA6F2D9547A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67ACE5C-1A16-4059-8E4D-0C1ACE592007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1148F12-8FAC-466F-B302-D628D9132BF9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EFB2B6A-60BF-45AF-829C-BA95582691A1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1EB5C87-AC2B-4BE5-8CA3-D65FA5098C61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6E99AEB-AA34-4735-937C-1EB4DADFD02D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93E625-83AA-49E3-8F7E-21B6AF80E8D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951E9D-ACD6-4FD7-BA49-7E30DE3DAA2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660A0F-D8EF-4482-B97A-A24D3E76912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11D21A9-4A62-4EB0-907B-AA5F8A6EF41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1D02CD1-E747-4A1F-B9D6-735DA406C1F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7E11CA-1B87-4028-B856-FC68C099FB7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6B289AD-B8F4-4469-B239-4F7F567D7F80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5901A5D-377D-4A4B-A7AA-EFEEE17EA6B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0BDEC43-9728-43F0-B9A4-31E22CFCE33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E73A131-C7CC-4D59-9325-169A9110005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E836007-449F-4393-86C1-5E36027E0D9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E2FB713-1520-4ABF-8D03-81E50225021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0619F7C-7127-4B72-9D70-EF631F8A0DB0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5EB0EB-923E-4052-9293-7296620B82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2E4C002-FD11-4ED8-8E64-C41E7108C9A1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E1C8AD2-A4F6-4395-819D-F46EB2C6223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C634E5-DF3C-4647-96E9-44076F847E8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03D84BC-3C79-4B1F-94EC-5AA3EF042F2D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93DEB44-04A2-4451-B704-723374DF9BE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071989-A4FD-4CE8-8683-F3EA4587C37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491BCD3-0A3F-431F-88F4-4349E1AC6A68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3C72194-4A51-4702-81FC-134D99A8D5E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24CBF29-57AB-454B-B69B-EDBE5D897BCE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7A52825-E236-4412-A895-292B10F13376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2ADA058-5A9E-4ACC-8205-036658538E0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FCCE8471-5CC9-464E-966E-8352043A9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19002FB-E97F-4DA7-81B9-742285309D73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13B477AE-A0E0-4426-B09F-924323D85CC4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04EDC64-33CF-4637-BEDE-37D95E8EFA46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E0182FCE-9EB4-40CA-8D56-BE8195C1A19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E40124A-5596-4B1E-95DA-ABA31C3B024B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EFFCB2A-67CB-4990-A066-46AF1C17B856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C823C5-96C4-4B7B-A64D-953A639617A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A21AE3-DA27-400D-B8EB-339280E7EF3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666FA19-94B1-4BB1-B737-2EC1391D438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1990B70-C765-4069-9AFA-46339E1A0F9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2F753D7-A157-4CB3-AC4D-D2864715679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D6684C-A2A8-4C5C-81B0-09D08C7A9B7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8E7C6B6-BE8B-49ED-A23E-9AAA575D039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8C734F1-6B86-446F-8220-52F790E1635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DD90FAF-F54F-4AEC-AE1E-C3029397B65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A0657F5-4AE1-4CF8-B722-6238C38FCA6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D9838B3-AD94-46BF-81B3-6D3C3D477E5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6F8D762-2BAE-423E-9118-A64E4EB7939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B516DB6-7712-4A44-AC56-BE37FAAB083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EBD0DEA-DBC8-42DD-971D-E837CBA56A5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A13CE26-24D3-4D50-A5DA-DCCE5526AABE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4ABB1CA-32F3-4132-BB0C-60D918168DA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9E873-0BBD-4E22-B369-BBFDEE34C8A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573B10D-0994-4CF7-92DD-8DF192A2831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B0F2B9A-9B5C-4B45-8667-8875F1E660E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AC38F7-7373-45B9-A692-19D3D259B0E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BA5DB9-04F2-403A-98DA-DA9033F47502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09B7E1D-7580-4B57-88A6-727F4CBC09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79CA999-64BA-4B7B-8A5F-A1321E15C896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32F9288-6874-497F-9AEF-E589E82574A6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83FFC52-163C-486F-A6A1-73DD686A38D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841DBA66-6A7C-4F1E-A4DD-CFC495AA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431E8D1-1DD8-45A2-8C51-9F7F3F12B8E1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F932983-5755-494C-905B-FFB41D2EDA18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D716ECE-5EB1-435B-96EA-4BC2DEAF7A87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C007634-3122-4101-9639-1A2BF0FFB4F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0A6BEE9-D069-40FD-9FEF-F1B833E2618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23C94C6-5F69-4926-94C5-06D69F8E74DC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6C4444-DA97-4774-8BB8-383F694A9432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08882EC-0DB4-4ED1-A58D-63E652C66E98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7347F8-A003-4888-A3CF-51BDC9881CC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8AB616F-CBFD-409E-882F-3FAC66916F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96E40A-919C-41CC-8427-3B6EB2C718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214AEFA-5C23-47CC-8A81-99BCDC0B60F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3007564-C995-47BC-9DCD-732E642F2D8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FE41CD9-89BA-440F-B686-D6EB6E5735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7C7275D-D971-4788-B4BD-76FAF03924E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C525702-F094-4C66-9820-4DBD03225FE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655E980-8929-425A-9B8E-591205E278A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F5E5B9-4C46-4970-867D-124C8DC8AAB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AA4A215-2691-4CEC-B40E-E41FC5A6877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2266AE0-0E6C-40DE-89EE-DBA8A42006D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D358384-5EA0-4175-BE61-7C465EDEEA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614F50A-CABF-4E69-A254-4A14F3EB0A0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CE554B2-82D9-42D9-9AB6-993BA2C7417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AE50069-E21E-408D-93B2-F9ECB7EEB11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165D389-8278-4047-A3BA-BC7A160122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702704-BD54-4C34-A121-1A3E77F389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451CA76-F7FE-4C75-A4EE-108E60A6310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07AF831-20E3-477A-A9E2-0200242FBF9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C7B0EF3-9D63-40E5-951D-A715B41C921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8E30FEC-48DE-45C1-ADC0-44743440C42F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BFECB70-253F-48C3-A05C-FFDB2E36220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54B4835-0DBC-4EAA-B039-D5FE958C67AD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3A25C13-C778-4310-B644-D9FDA7F614AF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3666F7B-90A5-47A2-B9C5-63A532139657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7" name="Picture 10" descr="http://www.lakecement.com/images/logo.jpg">
          <a:extLst>
            <a:ext uri="{FF2B5EF4-FFF2-40B4-BE49-F238E27FC236}">
              <a16:creationId xmlns:a16="http://schemas.microsoft.com/office/drawing/2014/main" id="{E4A929F7-AFA4-438A-A3C4-906792609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2570C13-500D-4B44-A972-E2A71E10D055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23D9F94-4299-403B-BEA5-38B38AB4F467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F815ACC-DF6A-4B6F-8DAE-9C906FEB8FFD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5FBB887-0833-4EE2-A612-D2DBAC0BC2D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B2D4C1C-6918-4B6A-BB62-C7386FEA1C0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0330E6F-C044-493A-8C82-A8D15824E2BF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68662F-71C5-4E5D-8B75-B9601DD61B1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8DD616-0926-45A0-818A-AA4B7D5FD70D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9721DF8-2942-482B-BEBA-C57CDBF1C2D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61DCAD0-A7A7-461A-A4E1-3710767453A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665063A-3290-406C-B5C9-CD3515AB141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450BD39-C596-4DFC-ADD2-36BD05614B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AD4F33-D9FA-4635-A8A1-B8D38F153B7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E0BF048-D71A-4F05-AEE4-F2C8C414A0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B2C9767-40A9-45EC-8403-95A2F56DF2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47BDE2D-02E1-47E7-AE67-48D85DD4F23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D449AEF-FE6A-4D8D-82E6-DEB20490C2D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ACDEF84-C9EF-4E3A-881A-396EC8D85F9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67FAAFF-3832-457E-928D-D9112334AC9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9F5C21A-0309-4E26-B5D9-6DEA6BDA887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309C15-5EC5-4887-A1E5-553DC120B3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918A079-2BA2-4BDA-87E5-674D1265B9D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7FE1BD-57BF-45BB-B153-72A706E0A2A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93CDBCE-EE2A-45F4-AA0A-753CB9ED759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002CB2F-B0E2-47F4-A135-8A4DA20702B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A7F9F95-2363-47C8-B9BC-58DEF5673E2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08D11C4-E280-48B3-A66A-2C7217AE087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3E39A62-7306-43DF-99C3-7370A1A5ABD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42C7A09-4D95-4F53-99CA-F87432B9008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7AFEB74-BB58-4458-9EE6-49C1931B8F9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2703CEE-AC15-4650-A659-1D1003E2ABD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1EB024-F2C6-4DCF-B6DE-4C28B0EF24C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1C3B349-D7B3-49B8-BF5A-3984108C3647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638244-3E55-4046-99D8-9C0BBEE3944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7B8977B-3735-4488-9E9F-FC96ED3C7D20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D94932C-0942-408F-854C-353A23988B1B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7557E16-3C0E-4256-BC4F-D1AF5F3E030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1" name="Picture 10" descr="http://www.lakecement.com/images/logo.jpg">
          <a:extLst>
            <a:ext uri="{FF2B5EF4-FFF2-40B4-BE49-F238E27FC236}">
              <a16:creationId xmlns:a16="http://schemas.microsoft.com/office/drawing/2014/main" id="{13026D44-09F0-4C88-9B70-793DAC1B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D4CB5C-A21C-40D0-9DF5-0087C21BA600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EA765C6-ACED-4B96-B99B-4F90F970D862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5845C1C-B168-4E7C-8ED6-95323597BD3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5EA02B9-DCE7-4208-A3C5-BA11E200AC0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D3D5702-5C08-4610-99EA-602B4C9DFF7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DFF0A66-D9F1-485E-9635-8A0BC753A650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F2BCCF-DA15-476F-A14D-DB155102FD6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538F904-A7B7-45ED-81F6-AB4B0764EBC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400F85-83F2-41DC-81EF-3A0D1E921CC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FCF9561-1D56-4D40-8F95-7E16E2BE2EB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61868E0-61AF-4B9B-ADDF-7D89503A5AC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86ED876-830A-4C08-809F-69A74FB246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3ADC8D8-7CF2-4E15-ABD0-1EF51C8E166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6297569-9045-4BAF-9CF4-048CE9ACE3A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49D914-A259-444C-8178-7960718394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8EDACDE-6EC1-4D9A-B326-822A03FB35A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BAC5036-9914-4F12-84F6-0329FEF8DF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6E7EB40-4F14-4669-9C56-1449064B2DD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9065C47-AD3A-4E0E-9A2C-557F2A86B1C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A158F41-2611-417D-8C02-2EE566A5BA2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8397B3E-DFDF-4EBC-B26C-6FF958B1453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B2DD577-B82B-4C1E-B22C-8B26CC0C6E2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60592EB-1AD7-4184-9F3D-028C542B207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BA10DD-9404-4735-B109-9D9DB286CFD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F81B4A0-510C-4AAB-91D7-F3E00E2330B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7A57B5B-7183-4473-BC9F-073A7686B8D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F3C5650-8CB9-46A4-8ADD-971EB5F7C7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B210E6C-A0BD-4B5C-8DB3-6D40910AA69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A0B8745-9C33-44EB-A18D-1BB0B3EBC0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378D6ABC-1759-49D6-B86A-161412C431D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B6489CD-9BBB-4A52-93FA-438C9E62192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693CC8C-D77C-4120-9A9B-14A271D4095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C59DD49-7554-4740-A4D4-9F9B91CCC9D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F3DE888-547D-4409-92AD-47408208FAB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CE57D19-3644-4449-9C68-888F5BD3029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5F05F79-0A0E-48C7-9F76-F28401DACD2D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C19B1F-BD8B-4EE6-9DCD-FD126D7BA1A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82AF632-6775-4063-911F-DF4368818E30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7D694CC-0DB8-4B65-8CC8-8935CBC820CA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3DB9C44-1823-4FF9-94E0-F9219395C492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3" name="Picture 10" descr="http://www.lakecement.com/images/logo.jpg">
          <a:extLst>
            <a:ext uri="{FF2B5EF4-FFF2-40B4-BE49-F238E27FC236}">
              <a16:creationId xmlns:a16="http://schemas.microsoft.com/office/drawing/2014/main" id="{D103A8DD-2B26-4949-98C5-8DACD1FE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E614C0C-2B3E-418C-AD38-1FBC6839CDA6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5BAC3E3-CEEC-448E-BF2F-C5956AF094E2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96445D4-9E9E-4303-8930-B0B7D83098D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91D3DBF-44AE-4558-8DDE-14C9A22282E3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59C21DF-CB3F-4386-B7F9-5CB7BCFE16E7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1A929B7-E69A-4ED0-9CB9-6416465F6054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079E1A-70EA-4EB1-8F44-1D9256F5857A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6C1BEC9-9C0D-43F8-AB73-759AF68B011B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7F7C337-EEB2-4769-A122-3139F2F12DE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A6A99B5-B430-4071-837C-47D6E30C6E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23EB6C1-22CA-41D7-BFCF-28205C5A5BB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50CCE3-FB3A-4916-817B-98450C1C35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4C39CCB-8928-4F7E-A468-D333F2A9850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C550D7E-49C9-4C9C-A9D8-3AE25FA954A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FCCA2B-93A5-489B-9F2C-542019AC165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E81AD39-6456-46B3-B05D-916358E5F13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44FCC40-CBA0-4D23-8155-80BC2E160D3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CE2AC3A-EE46-409B-8E75-E91B258C8F2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8B177C3-0136-4BEC-B334-8CCB4A4D963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43F7B99-9F86-49C9-A356-FF5D7E85C55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C7D312-1BAC-4D60-BEA3-697B7E7A02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0DEFF2D-1B4A-430C-BBBE-B6614FB26E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A83D686-FBAA-4A5F-8B65-B78C6546F35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4C1DDBC-3E94-4133-BC03-2F8EC53FF8A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A4847BB-207F-4EFF-BD07-D9E83269114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3747B32-7A45-4C72-8E75-154F231FD9A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710C280-A9FA-495A-9EB7-4BDA540AFF8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EE8C726-F7BF-4E37-808C-66F19E3C5D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D51B1C3-0398-4DC8-8BE1-D2CF88B3AF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EDEE318-72DD-4D11-91DC-E5782D7A39D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DCDC10E-A3D2-41F8-90E8-D9CE8F389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7C18374-203A-43DF-9DAB-E3EBF0B7331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D2C0CE2-9B66-44BA-BF36-E1123D58003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3B66D90-59C7-4B32-B511-69C91E9F4C0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8ECD1D-427F-4726-B65E-AC22BDC358F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1784E60-F6DE-4421-8112-81972124D95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25A633F-578E-4C20-94CB-951CB175ED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DF17EF2-69DE-45ED-A65F-977E8B5E180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75B7F88-24B1-46DC-9DC6-603C6EB8F786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E0F704C-0D1C-436D-8316-82F8AECD5A0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9A121BF-D072-4E03-B80A-ADE77D20C095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E03ADF6-C302-4795-908B-2803AD1F6B72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6C9259E-C2C4-4B89-8D86-470D1D5379F5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87003E4C-726A-4FC7-9EA7-14EF7D98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1AEF59F-33D9-4A53-B35A-2628415CBF53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D13888F-8F6E-4330-9F98-A8EF279E51ED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D0450C3-9C3F-4A39-8688-D9546701F214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F9C1378-1C06-4F72-B1F0-A08631692CE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0B18CD4-A859-4911-B962-020BEE61228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D4EB531-3109-4725-AE66-108576775738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665D2F-BAFF-4047-8BFE-E1D66716481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DF303D-8C55-4B20-A7CA-898F9338F5C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29C21C-3FBE-4B02-AF8B-05A2BA84C4E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B79A68-13B2-4C2E-B44C-1458ABFC14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03D7B45-9C82-453E-A907-3BA79614493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0D38FA-FC1D-4378-94E5-97A40479E23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0BBE642-9C97-466E-963A-3E02495836E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5D2A481-0823-4DA3-B05F-1E527BC2B41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99F4AD-0005-42D1-B983-027411E47D1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BF4318B-2BC7-49D3-A650-0A1A7EE64F7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AE14B39-2960-47FC-8BDC-D09981280C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857606C-BD2A-4CF7-9FF4-535CE116615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29BDEF-16A4-43D5-AA12-A1D6396D451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67C4532-E201-4706-8956-E00550A2656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9D01F78-83D8-4057-B1F3-A52F314993E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CB8F294-3CD9-4ADE-A537-E4C5BF53D52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A2FE4B0-076A-464C-9FF4-6CEC9C2FAF4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43F869-F9CE-4D62-8DDC-01B05CF1BF8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2F22E01-74B4-4311-B592-B9E3FDFF787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F356582-7DD9-4249-A058-211727269F8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F62F9A-0C6D-4790-AEBF-FFFEFFDE1AF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2227F0-FF2D-4B22-854C-3F8CBC63621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98547C0-4B57-4DFC-9C62-2DEE01396D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283318-337C-4C6C-9BEB-885A0A369A6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F2E35FB-5970-4203-8863-F740F1DE6D8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6062832-B25C-4F4B-9821-9CFF631CAEB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E194645-4481-4B1F-A02D-82FDB5DC477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41D3E7A-B97E-4662-A602-BE751DB083A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EEAE16A-4D6B-4478-AF95-F7E0B6318F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926126-3915-4AA0-8BF6-ABA536EE2F6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11BCB08-CB20-4645-80B1-87ECF4EEB0F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C0D8BF9-2556-4B90-8E1F-90426B686DD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6261792-DDCC-4349-90FB-AF4306F926C2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BCE1303-F11E-475B-8C0F-F9CDFB6F87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CE4A531-C00B-494C-B8D7-722AE224A1EC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253504B-0E44-41A6-B459-B726A6364256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C1973D5-790B-4506-89DB-2E3ABCCB6D3F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7038640B-2F24-48F4-9395-E7521284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E114F36-4918-456B-A35C-409BF0293A2D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A0D034B-23D8-497D-AD16-66528EB244A6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03FF4FE-6E1D-4A5C-BC40-911490891BB8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2913AAC-B4FA-4C45-990E-B38A556CF63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61F20F0-7C35-4A04-906D-79AFE5FA7421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F07E622-E215-4504-8657-E5EA558F9083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F1D103-8EAC-4422-816B-09CBFD15BAC6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7BEF3DF-158A-423F-B25E-57EEED0A7F8B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C2362D-4312-4C54-A2BF-2DB81FA1D0C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53C6381-C91D-4867-87B2-C92B35EFA6A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4C519A5-949A-4F88-9269-18618ABC50C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A853F8-574F-4CAB-9F0B-BE15DC76BE5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C96F445-EA19-4F89-B581-3B5D88DC5D3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E54AD6-2E3A-41C6-94A6-EE7A09A9FA2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17F33A-731B-4605-B7A5-0DDECB7466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24DDDE-0039-469B-9C53-DDE37681783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958C4D3-80AB-4C7A-A5C6-34507CD009A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AD642BF-045E-454B-909A-8C5972D5F9B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B8243A9-ED6F-4DC9-8B86-A13B799E175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369895A-D07F-4F20-AEF9-49F982EA9A3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FDE4265-8959-4438-BA4D-618E1CE9570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375F6A0-28EC-4F6E-9521-3CAA64526D2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6E64D5F-0296-44D2-ABBE-16E672C998F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7D76F97-7866-451F-B6F5-0A05C94D693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471A94A-AF09-4B73-BE63-1DF86AC7F4C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48BAADE-62C5-4E56-B423-BDA3E691CD6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99A2D9D-15CF-41D5-BA17-2628BED353E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19D669B-F7B7-45A9-B3EB-C9CBC6ACD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CE102CD-B9E0-4AC6-996E-EAA96B4F252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B5A1B97-1221-448E-89E9-40838570FD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0C07782-11E0-4776-959B-4DD66B64399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DC61115-8898-4C60-A924-EB92ECFEB9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BF34D7F-7448-4C88-BE14-46487F7BBD0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B8CDEA4-B845-44B2-84C2-2F53568FB2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5692FDA-A918-4E24-9DDD-E025E771AEF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0BF1B1-3022-4255-9A6E-0490CFDDB70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171E99C-1260-4CF7-A0A2-97A782A9D75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893CE77-E39A-4B1B-B11E-6BF3D4F01AA1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4BFF08E-D21E-417F-9B18-EB4B1B747B49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D5EEE42-6F16-4359-85B5-477FB5A3B2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AF6D82D-D8E2-42A8-98C6-51E422B9CFA2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65137BA-6160-41E7-B00D-8EEF64203346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EAB5160-B121-48FF-842F-B16F3CB208FE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3E873361-B3D9-4D09-9AA6-C9DE6052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50B8190-A480-4113-BA5C-A7B0E9FA8734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1F1302A-5415-493C-8851-3252B3D97217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C335E87-1D37-451B-8A88-8AB1A3C53CFA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5392189-4D03-4A7E-B451-0599AE81E47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FBBB57B-EBFE-4D04-B5F1-78068CB6B60D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24B858C-016B-4ABE-B319-0FBBA28FE7FD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D58CF5-5460-464B-AB71-8CBCB43632C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582E83-CE43-4A4D-B893-6E6A76DEFCB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077D15-DE21-4CC3-A5C6-98B68EC7629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7FE5D45-196C-4D4C-BAEB-2F41D3315D06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5C663A-03DE-489F-8B91-B8A99568CB1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2A0112-0EAD-497F-A90D-0DDAEE67D54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7289E7-394F-495A-8FB1-373F5BD8BA85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5CADF1-70F2-447B-B322-70E3CEEED08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90ED74-22E0-4DCE-A3E5-97A9E53FE56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2D848D9-078D-4930-87F6-C39A1E18C47F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999DEE0-ACA5-4C13-BF24-455E2F4EBE6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3E8F3C0-B5AA-4FE2-8805-677BDAE86C2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EA9F225-D69C-4B13-B022-0988F95EC82D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81165E-40F1-4FBA-BAB3-F8A85277618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0B0BB8-6545-43F5-A538-0C934B34FEB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DB3FE7F-1BC9-4D28-9A75-CBCC366B4FC8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A6174B4-18C1-4332-9C2D-9055F042EC3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C02CA27-E58C-40E5-A55C-EBA957611DD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038EE2B-CBA5-4C16-A130-529DE5D3F5FA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1CEAF60-0E4D-4380-8062-8D48450B2E7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680965-8E77-4423-8E12-7891AF5DFDF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D4788CC-BF5A-4BCB-8B51-E454F50F60F9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B0A65A1-E5EB-42BC-AA7F-615F9D57BA1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8BF0D8-2489-4EB0-AD40-C0F7CA32BEB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966FB5B-D1DE-480B-82C8-F973D6040EEB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5A87A4A-7ACE-494B-A47F-3A3A2ABB7A4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1A2F39A-82AE-48A1-9C84-0EDFEA44B9E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8C3EE9C-877F-40F3-8783-08F38726CB21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7A75892-342E-4BFB-ABB7-98F9FEEB2F1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6E1A2C2-18C8-4DD2-A4AC-4D29FC6392CE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89964FA-EFF1-48E7-9A10-9F717D4B0D6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856A20D-6F26-4E8E-A706-9D73A48D350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2D6C2B9-0D34-48D0-98AC-2C26DF1E957E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DECBCD5-2B5E-4815-B35E-C850D4871AC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3CC6E2-18E1-4F68-AB2A-D899410A4539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F3BC433-4E64-4A5A-91A2-E83800AFD569}"/>
            </a:ext>
          </a:extLst>
        </xdr:cNvPr>
        <xdr:cNvSpPr txBox="1"/>
      </xdr:nvSpPr>
      <xdr:spPr>
        <a:xfrm>
          <a:off x="4400550" y="447676"/>
          <a:ext cx="278130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116F394-8636-4B88-A015-F789B67A7F2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DE958F7-8470-4569-A96A-75034E87F494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700A827-8C48-44EA-8DF3-CB7C49ED3D70}"/>
            </a:ext>
          </a:extLst>
        </xdr:cNvPr>
        <xdr:cNvSpPr txBox="1"/>
      </xdr:nvSpPr>
      <xdr:spPr>
        <a:xfrm>
          <a:off x="4400550" y="533400"/>
          <a:ext cx="278130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37119D4-B3B6-4FD2-8364-EA63103D22C0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9" name="Picture 10" descr="http://www.lakecement.com/images/logo.jpg">
          <a:extLst>
            <a:ext uri="{FF2B5EF4-FFF2-40B4-BE49-F238E27FC236}">
              <a16:creationId xmlns:a16="http://schemas.microsoft.com/office/drawing/2014/main" id="{3ADCFF5A-A7FA-4278-B5F4-07781FBB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1DE6992-D9F2-46BD-A625-5B101B2273CE}"/>
            </a:ext>
          </a:extLst>
        </xdr:cNvPr>
        <xdr:cNvSpPr/>
      </xdr:nvSpPr>
      <xdr:spPr>
        <a:xfrm>
          <a:off x="5256742" y="304376"/>
          <a:ext cx="296037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69A40B3-511D-46B9-9AE8-65F328A70750}"/>
            </a:ext>
          </a:extLst>
        </xdr:cNvPr>
        <xdr:cNvCxnSpPr/>
      </xdr:nvCxnSpPr>
      <xdr:spPr>
        <a:xfrm>
          <a:off x="76246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7D738E-4FDD-462B-B272-5DF76B07BFCE}"/>
            </a:ext>
          </a:extLst>
        </xdr:cNvPr>
        <xdr:cNvSpPr/>
      </xdr:nvSpPr>
      <xdr:spPr>
        <a:xfrm>
          <a:off x="7848600" y="556260"/>
          <a:ext cx="1049638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289D668-D9A4-4C35-BC00-D8562657E6F6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305D8EA-36D8-4EB7-843C-66572BB25AE3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B23EFA8-8993-4621-AA17-DCF23BC45277}"/>
            </a:ext>
          </a:extLst>
        </xdr:cNvPr>
        <xdr:cNvCxnSpPr/>
      </xdr:nvCxnSpPr>
      <xdr:spPr>
        <a:xfrm>
          <a:off x="91059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0E3FEF3-CAA5-43EB-AAB4-9EF9F77F098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1BEF1D1-FC44-4B7E-9002-F6B03F6D6FE0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AF7260-BFEC-479A-AC7A-71A79751531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66AE999-E84B-4E42-A2D9-92ACCC0D5AF4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589599F-66AB-4118-88A7-6E7F201F0BF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131147C-5444-4364-B31E-37122A36C8C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CD5F469-C492-443E-8C99-CE37652AA075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AF01DD0-599B-4D34-A6D1-FEA51DF6CAC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4185DD0-2966-444E-93FD-3E4267A4E75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26A2C56-680A-4D8E-851F-381357C3917A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53917B7-A776-45EE-8EE6-D1736DD1D08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48F326-0BDA-40A9-A35D-934B5F2ABD8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D8A58F9-C187-429E-A90F-31C3809BED3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4E84E58-AB91-4485-A967-E6D10985F0D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EAF46F0-5CD6-40BA-BFF3-535B218A97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31B56B5-2731-4B92-A27B-3149F8897B12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C4A5090-06B6-4F21-83CB-5D60154EDE2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34E4EF4-34BD-4EE3-8465-53D25B8E57F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3840E29-A1E9-43FC-B102-7324BC1BD28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81C1BA1-18D1-462A-806B-E394785DF56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88CDA27-C7AB-4660-9270-5959EE117C7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69CCE38-DC42-4F77-A704-029E5A8525AA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BD3F073-C7A3-4A2D-80E0-4CACFF68A8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5D5701-BC78-46AC-A174-88611CF1A10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5ADB740-D364-4B77-BEFD-5C5538BFCF03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C932942-B573-4459-A7B3-5C520BE8E29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A83238-D888-4637-A683-85EDA7F07B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3804733-4B11-44CD-A8E6-CB1EA251B4F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3E727C5-B211-4867-B8BE-9B3EE6FD2C6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6928B9-3D74-4B8D-9C46-FE600D7888E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478ADF8-52D8-4E09-B385-BF5E7B9438B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34C1685-7AC5-4CFD-A375-6881D2969B3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5B801BE-0F9D-425D-8597-18C3F770BA8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EB770A1-B14B-48CA-AC96-2B1604EBB6B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8942B7C-76BC-48D6-ACE2-4EE93769F6C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7D47247-6E47-4CEE-9987-D9D44F06F40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041C593-71D6-4129-80F4-27B1B540402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3B19C1F-CA4B-4AC6-B720-DCAF752FD986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48ABF36-EBA5-4155-B06A-1F51EA5E25DC}"/>
            </a:ext>
          </a:extLst>
        </xdr:cNvPr>
        <xdr:cNvSpPr txBox="1"/>
      </xdr:nvSpPr>
      <xdr:spPr>
        <a:xfrm>
          <a:off x="4400550" y="447676"/>
          <a:ext cx="27622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EF44CA9-1BDC-4B82-81E7-A5A211D0FA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BF755C8-206E-4598-B240-E1D042A9ADEB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F3F97C6-F706-49D3-977D-DC0BD82E478F}"/>
            </a:ext>
          </a:extLst>
        </xdr:cNvPr>
        <xdr:cNvSpPr txBox="1"/>
      </xdr:nvSpPr>
      <xdr:spPr>
        <a:xfrm>
          <a:off x="4400550" y="533400"/>
          <a:ext cx="27622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544AED1-B974-4F37-8AFB-10CD853A15B1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2" name="Picture 10" descr="http://www.lakecement.com/images/logo.jpg">
          <a:extLst>
            <a:ext uri="{FF2B5EF4-FFF2-40B4-BE49-F238E27FC236}">
              <a16:creationId xmlns:a16="http://schemas.microsoft.com/office/drawing/2014/main" id="{5043832B-0F07-4416-B3F0-1D925A18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026E7D2-6F56-4313-83B4-0313ED0118A7}"/>
            </a:ext>
          </a:extLst>
        </xdr:cNvPr>
        <xdr:cNvSpPr/>
      </xdr:nvSpPr>
      <xdr:spPr>
        <a:xfrm>
          <a:off x="5256742" y="304376"/>
          <a:ext cx="27889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681D0B2-2D14-48DF-BF0F-B209ED5BA4DF}"/>
            </a:ext>
          </a:extLst>
        </xdr:cNvPr>
        <xdr:cNvCxnSpPr/>
      </xdr:nvCxnSpPr>
      <xdr:spPr>
        <a:xfrm>
          <a:off x="74627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568DA22-1D8B-4902-B674-0F55CF753931}"/>
            </a:ext>
          </a:extLst>
        </xdr:cNvPr>
        <xdr:cNvSpPr/>
      </xdr:nvSpPr>
      <xdr:spPr>
        <a:xfrm>
          <a:off x="76771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7E91D0D-3C1E-43A6-B3E0-2AC1CDE9F90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8521935-58C6-430D-996E-E1CE6E7F94F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F870624-293B-4048-9D9D-4E90768A6CCE}"/>
            </a:ext>
          </a:extLst>
        </xdr:cNvPr>
        <xdr:cNvCxnSpPr/>
      </xdr:nvCxnSpPr>
      <xdr:spPr>
        <a:xfrm>
          <a:off x="89249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20889B1-E13F-4A4D-8270-D144B5A63151}"/>
            </a:ext>
          </a:extLst>
        </xdr:cNvPr>
        <xdr:cNvCxnSpPr/>
      </xdr:nvCxnSpPr>
      <xdr:spPr>
        <a:xfrm>
          <a:off x="8915400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9F6B34-843F-4CA2-8CE8-86E913D6337E}"/>
            </a:ext>
          </a:extLst>
        </xdr:cNvPr>
        <xdr:cNvCxnSpPr/>
      </xdr:nvCxnSpPr>
      <xdr:spPr>
        <a:xfrm>
          <a:off x="2295525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91C09C-F219-40E4-BFB9-4E23F49BF269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7066C06-CC48-43E3-BC66-76AA4097A8C3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C6144FE-20D9-457D-BD39-8AFF3EDFF1F4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944251C-C34D-488C-8927-9CC133BA84AA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EC36C47-28B7-48CA-9034-5E4B9FB1CBEB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475BE02-9678-434F-9368-DC407B2C2EBD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897B96-FFEC-4C67-A851-859448D2D262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0EC2CE8-9597-4249-B74D-12791149AEA7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B770114-767A-4AF3-AD80-825D0EC70684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98B9B50-A332-478A-BFDF-958658D97108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70FF0D3-917A-410C-B193-EC5F5F3C3BC8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0A5FF81-F1DE-4536-9395-A24A5B9FC161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6046537-184A-4789-982B-FE82EF451E7F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120290D-D103-420A-9B4C-390C2CE311C5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6A98845-310E-4540-8AB7-FC37B6FD0199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149810D-8792-4FE0-BF67-29F232C3248A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753B49A-9F69-497F-86F1-9F1052FC45EF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1524A8E-570C-4CA3-AD66-AAE68F73EC62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151742A-3155-4584-8C21-3C1C70D22394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B3089FB-1B13-46AD-A74D-AA694A3E8BEA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2D1875C-9CB4-4A7B-B867-72604515616E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02C3CB5-B7C4-45DF-81F7-7713E0884595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AD0DE6A-7DD0-4588-AEF0-265D940252C8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6D6823E-2ADF-494D-B323-0E159468FF5F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C73F78D-9E84-47F8-A79E-097FF85B58B2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DAE5F95-8DB6-4141-B18C-29C5C4B97E5A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0298070-89B4-4102-9674-C8AA885E4D9B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CA73CEA-AA9E-4282-ABCC-EDDE6A3335D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98DF499F-2EAE-423E-8F11-C866902CD132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1861FCA-298B-4295-BF9E-201063D19F95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B56C7B4-3752-445B-BF79-B1B4513AC5E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B37EE39-45EC-494F-BC19-388A93681C3E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2924034-9EF7-474C-890F-921C1C5ED201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3CE590A-F4FB-499A-9270-E677E5A1BBBC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E93FD68-EE5D-4832-95AE-CA116FA6581A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FB7EF90-189C-486D-A513-4BBA4E0F7C43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5BBBA0D-0C9A-4DE2-9FEE-92A06A394A7E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26065DD-2F09-46D7-9AB4-E23CB3738F3E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96FE0BD-E663-4222-AA31-1EA92191406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780DCF8-5140-4E06-B828-86F3A203C599}"/>
            </a:ext>
          </a:extLst>
        </xdr:cNvPr>
        <xdr:cNvSpPr txBox="1"/>
      </xdr:nvSpPr>
      <xdr:spPr>
        <a:xfrm>
          <a:off x="4467225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C487AD8-DB26-43DB-BD14-79B8223B3B7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5B9B748-91DF-403D-A6CE-94A9669DD961}"/>
            </a:ext>
          </a:extLst>
        </xdr:cNvPr>
        <xdr:cNvCxnSpPr/>
      </xdr:nvCxnSpPr>
      <xdr:spPr>
        <a:xfrm>
          <a:off x="2295525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F1AC435-F997-43E7-A940-5C5FE8C224B8}"/>
            </a:ext>
          </a:extLst>
        </xdr:cNvPr>
        <xdr:cNvSpPr txBox="1"/>
      </xdr:nvSpPr>
      <xdr:spPr>
        <a:xfrm>
          <a:off x="4467225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4886171-3890-4DB5-9A44-80AA99003EBA}"/>
            </a:ext>
          </a:extLst>
        </xdr:cNvPr>
        <xdr:cNvSpPr txBox="1"/>
      </xdr:nvSpPr>
      <xdr:spPr>
        <a:xfrm>
          <a:off x="5419725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5" name="Picture 10" descr="http://www.lakecement.com/images/logo.jpg">
          <a:extLst>
            <a:ext uri="{FF2B5EF4-FFF2-40B4-BE49-F238E27FC236}">
              <a16:creationId xmlns:a16="http://schemas.microsoft.com/office/drawing/2014/main" id="{0901E695-8825-40ED-A35A-D2C0A76A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09CE63D-CE8B-43FF-825F-EEAA08CA0361}"/>
            </a:ext>
          </a:extLst>
        </xdr:cNvPr>
        <xdr:cNvSpPr/>
      </xdr:nvSpPr>
      <xdr:spPr>
        <a:xfrm>
          <a:off x="5323417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B56B1F9-D3E4-4F79-8956-1117B0989AE4}"/>
            </a:ext>
          </a:extLst>
        </xdr:cNvPr>
        <xdr:cNvCxnSpPr/>
      </xdr:nvCxnSpPr>
      <xdr:spPr>
        <a:xfrm>
          <a:off x="745320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DFDF50D-22F3-46E6-81E2-BC9E57FB14B0}"/>
            </a:ext>
          </a:extLst>
        </xdr:cNvPr>
        <xdr:cNvSpPr/>
      </xdr:nvSpPr>
      <xdr:spPr>
        <a:xfrm>
          <a:off x="76676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6DE548F-543D-4D8D-B22F-B9C16DC8FD25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8D62720-E65B-47CA-9FDE-8169316B977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2489367-3FAD-452F-AA73-F4276F1BC587}"/>
            </a:ext>
          </a:extLst>
        </xdr:cNvPr>
        <xdr:cNvCxnSpPr/>
      </xdr:nvCxnSpPr>
      <xdr:spPr>
        <a:xfrm>
          <a:off x="89154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57CD5F4-6803-4F68-9381-D4DEED376E03}"/>
            </a:ext>
          </a:extLst>
        </xdr:cNvPr>
        <xdr:cNvCxnSpPr/>
      </xdr:nvCxnSpPr>
      <xdr:spPr>
        <a:xfrm>
          <a:off x="8915400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156CD21-3753-45B4-A643-69A825A56972}"/>
            </a:ext>
          </a:extLst>
        </xdr:cNvPr>
        <xdr:cNvCxnSpPr/>
      </xdr:nvCxnSpPr>
      <xdr:spPr>
        <a:xfrm>
          <a:off x="2295525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0B7AF2-D2CA-45D6-9EF1-2E078C8F9C67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D59FB40-8119-436A-A982-47227C0AACA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4BE66C4-96BA-439C-885F-2B3647288F8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DAF2C71-8F20-4830-9EEA-4C3601E6B1A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8B20DAE-9618-4578-AD7F-302163B6E25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3EBE9FF-4BBD-453D-AD9F-3AD5FE5AD61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680563-DD53-4333-8E8B-6743E7D120C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0D1A1BD-90E9-4145-9BAC-A30B0C3FDA0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37536C2-F3BA-4BC2-A039-5115387B5FC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1A23D9-A5E4-4A4A-B665-8CB1A57BE5D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0AF4911-90D3-45A9-B16C-D8000FC393C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7944DE3-C70E-4975-A6A1-A3E5DB11079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7DA4532-DA88-47BD-9476-7123E846CC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F3DF4A5-95FD-4C1C-8279-34DF7D07CCF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035283C-A3DA-4C3D-BDF0-010FC1100AE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2E76C3-9B31-4C26-87BC-E30B444388D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EE36E08-5C02-44CF-B050-783B552D0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28DF547-98B2-4C85-A35F-D6B7C202E4D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D711948-F375-4F23-9D77-FB0EF0CF6B7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C371AE2-63CE-4183-BB63-28CEEB91CD8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A419C15-1E7E-4340-ACDC-22889B958BF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782C22-FA08-4AE5-8B1A-108C0AC1E2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485A75C-5FF0-4E51-A02B-A27C5F2CF6A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26638E4C-D1F4-4230-A094-B5027996C79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595CA28-33CC-4F3E-8C72-171856BD50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423783F-2382-46C0-AE43-6F83C92870E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CF24D47D-B0BE-4094-99E8-65A1EC7136E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A2E4B2B-4AEC-4DC5-A324-38DAD4D7A2D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459D86E-C4C1-4C99-A09B-20AB9B63C9B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1D37CB2-52EC-4146-B25A-39DB8A49828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0F642E3-4850-4DA6-93C1-8FE5664E02B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63D986-9FB0-463A-A3E7-96FDC783BEC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137A8D-B3E6-41D1-B6A9-130CBD25D28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E0550DB-7EB3-4E6A-B155-9F8719C7B4A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4775C09-FF6C-444A-BAC9-76982284AB5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3F89FA5-A14B-4D6B-8A2C-7C9B66FCF2C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845902B-4912-4816-AA5B-824AFB2E4BA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DAC6D2D-33BA-43A8-A703-B606D275A63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B4701F1-9846-4961-9DDB-DFD221ABC2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F3066CE-BBBF-42E1-B43D-395A2EDF963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1C7D079-4E7D-4CEA-8DA9-5FD8F7045F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2EB3A1B-FC5F-49F8-A41D-F4FFA39F2F4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7902B5A-2756-43D1-B481-221C240DCAAE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60A398F-E566-45C2-B5ED-D5D203F94EA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3E953D2-FFC9-4378-B5C6-29EA5C06BA02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195F66E-7853-43D7-8EEE-A034200F4533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976B73-2ABC-43FC-AF7D-67CB61E5D6F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8" name="Picture 10" descr="http://www.lakecement.com/images/logo.jpg">
          <a:extLst>
            <a:ext uri="{FF2B5EF4-FFF2-40B4-BE49-F238E27FC236}">
              <a16:creationId xmlns:a16="http://schemas.microsoft.com/office/drawing/2014/main" id="{ABDB9E14-1BB7-4694-B732-B6BC8434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86024E7-8606-40F3-BC61-266C7F94D661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961BFBB-176D-4C56-8397-0FA798018131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39A632C-F6ED-40FD-9AD1-E566B125E504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FBE398D-8BD9-49A9-A50F-79FB0B683820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5A5CED7-1953-4BB5-BAF2-796A801133EE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6C61600-EDAE-4E0B-A8F6-C7DDB8A076C1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10C10F-93FE-47DE-BD9F-72D560A8BC9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531A9A-412F-4B1B-BFEA-E438AA4E0F9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42E9AA-1768-4EC4-8224-2820D9E02A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ADB44BC-B8CB-453D-8A28-F66EC9CC546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AE0E573-9B8D-40DD-9303-34085D8D4EE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452D5D-50CA-4EE9-9AE6-20459C392A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3363DC-6DB6-42A6-AD3C-57FC7B54EAB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EA1CCF1-AC9F-4B1F-9A31-903E7B1F317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B9C39F-7B6F-4A0A-B5E1-D0AC43CF04F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C39FB40-EB61-41CB-8567-E21BDCEBB45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2CD5AEB-02C0-48A3-AEB0-FFA21B67AC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0A2F4B-90B6-47F9-9ABC-69B93682542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B519E91-7D85-47AC-8C0B-912B97D07BE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6801B8-FFE9-480D-8F6C-A337818DA51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571BE55-DDAC-454E-BF2C-20984A6166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0B1FE31-CFE4-47E0-A30F-428AD726F8B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38EF7BC-2303-4435-9B57-E1B984965C0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7857D24-E9D5-47BC-A84D-6559815D66A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125F22B-7645-4561-9619-5B4C06784C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80E6675-A43D-41A8-8D47-B8BD10BA7B9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FE087DB-D5CC-44A0-AFC3-F89D71793A7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738F032-8C7A-4769-9C56-1E0D31887DC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187AE4F-517E-42BA-B609-1D4B95D329B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A91C17E-630F-4B22-AAE1-E77D96529F2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640A4EA-4D66-4A31-A445-845EAEC0D7F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1860D04-4993-4842-9443-38BE67179D9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AD8AF99-110C-4BE1-87D7-7A9E153352F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FC43354-36A1-4FF0-B98C-2DF8AEF367C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7519CF7-C10B-436E-9455-862F56D83A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2F602-8522-477F-8B90-23B89732F77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313D449-3610-47E7-BFD9-1753941520E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ACBB340-54E4-4536-B2B5-B0C89511B32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3DA2507-2E74-40EF-9E9D-6D7EE47EADF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6BEC80C-77EE-4C48-9E26-998251D6586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71BE3F6-C58B-40F1-B090-3110D235C33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AD7BAAF-A020-4671-8081-E869E5128B4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2816193-0E8B-42FC-866D-1463A86551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FC405B1-1E89-4378-9F68-E6DB265B424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CD6B98C-79AF-431A-919D-EAE1A2A5A73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6056690-73F5-4EAB-8CF9-9995C26F4E8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47434F3-105A-42E3-B868-056C2D7FC2D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7215CD3-D375-44A9-B070-8823A4FBC38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08216B5-7B49-494F-9615-0558805B724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FAD3B08-A3FE-4DCE-8A22-180AD47B435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9010678-086B-4430-877A-527E5DF54CE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C19D81B-825D-412A-950F-18FD324E4C2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E8D2AED-070E-43BD-BE3B-A636E574706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0699E87-CC45-43FE-BCEE-FDFDBB97F7EB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C93F15-69F3-4E57-905D-2508C67DD1F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F8E4201-BF57-430C-9550-97340D1ED10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BFBDAF-8E20-4148-A11D-7F483043A653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1FF2EB8-F3D1-4F9E-B919-73A89239A49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61" name="Picture 10" descr="http://www.lakecement.com/images/logo.jpg">
          <a:extLst>
            <a:ext uri="{FF2B5EF4-FFF2-40B4-BE49-F238E27FC236}">
              <a16:creationId xmlns:a16="http://schemas.microsoft.com/office/drawing/2014/main" id="{09832AF0-C705-494B-BC47-0D3AFEAE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87D830E-87EC-496F-B475-D2652F016021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D5497DA-1324-410B-B3E1-80D41A775298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FB2F520-EC81-4AA9-82CB-5A3CD4382B66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9271437-79E4-48B4-9633-ABF054AA28D7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82BC95C-6B61-4528-B2F8-D053D8ACA759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918BA95-FB98-4DC8-BDEE-8A6F3B53397C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241C865-286D-4581-AEF5-8E9E61F803E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85C1A6-3132-4A07-90A1-72E8CBBB1A48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EBC476C-65BD-488B-8ADD-ADE063A1BAD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E64CB12-AD53-46B5-985A-168DDAD725B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098559-A95A-47C5-BB8B-A1CCA0843D4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4FF1BC-1B0D-4F1F-84B2-C31508F721B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4DFA359-52EF-4FE3-AE07-12735EDBB3F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A232E97-9654-40CE-81F2-22B3052BFB1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68771A-3F30-403E-B6FC-27B11845D61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59AFB71-7C7D-402F-B040-753302B9208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90D3B8D-D413-4DCC-9329-6C3DE92ADC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948B6CA-75DA-4C1E-AD93-321CBE4AD4E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55523BD-8AC1-4380-8FAE-59BD6FFE9A3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4C92F22-E087-4410-BD69-297A28F18A0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2EF2D12-B614-4EB7-9AB6-8C4AA36A652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B74AD62-1FD2-410A-AE03-4DC7187AFFB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1D59DB7-3A41-44C3-A644-D3E7C54DF2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DA11BAC-ED4E-4968-8172-94A6D8834EF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2AB63968-548D-4DB0-9961-993B636CC35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22F7B26-35C3-4964-9AF0-28D6A7F1ADC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D79CC05-26F6-47EB-A487-54B5B2D41A1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9DD6168-CD91-483C-8284-E716BBCBE86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42D36D3-EA0C-4786-86C4-E9B8B13A3FE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A84FE96-3FEA-49BD-8079-E4CE763F4C5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600EB2E-F3EB-41BE-8A2D-4CBD1E51C1C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908C4B-5FF7-42F0-8235-E0E6ADCB604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578E38-AB84-4B5D-BDFA-B8E2718EA89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C7E2E41-A48C-4B1D-B2F4-9AD5F9C0F92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45E07AB-6FFF-4849-9C1A-2ED57001A47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97A22B0-7159-430F-8DFB-7B10CDDE7DC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647BB4D-27B6-4EAA-AD77-2366CB69A28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069333F-28B0-4F08-A738-D30E3AAFCC7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0A9DEF7-8EA6-48CE-A873-7C17633A9AF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CC9526-1090-4D8E-B856-4CA88C503F3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24197DC-869A-44F3-9513-FE654B84BD6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243EC9A-3DDB-4414-BEA1-497C67609BE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33DD347-6A9A-4B20-9C7B-65059494F3A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D557C7F-8AA6-422F-8C67-0A11E135904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66ECE50-BCC4-4755-BC98-A79AD4BDF36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4024762-1F1F-485C-A246-3377D5F725D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066EB66-80C2-45DA-8B46-BEF2758FBC7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A45E1A6-E4C8-49ED-BF87-3ACC5E7FCF3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7F94A8A-EE95-45E3-ABAF-0450ED4BE89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E2C5A5D-687E-455F-B566-920C2E0A8C7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184B54D-291C-4371-85BA-92C9F8C2757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9E8FEBE-385C-4EC6-B3BA-80F538DDD51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D0921DF-A91C-41A0-87E0-B1F3668EA8F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913B139-EAAB-4128-9E0C-6AE74644CEC3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6106A7C-03DE-451C-A93E-EB6B87ABF1C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8A7D0B6-3395-48FA-A002-259E7970D37D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0115DF-65AD-4342-92CC-5AE3A1858B8A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CF7DE04-AEA3-436B-AA2D-792408F39C2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70" name="Picture 10" descr="http://www.lakecement.com/images/logo.jpg">
          <a:extLst>
            <a:ext uri="{FF2B5EF4-FFF2-40B4-BE49-F238E27FC236}">
              <a16:creationId xmlns:a16="http://schemas.microsoft.com/office/drawing/2014/main" id="{686956A3-0FF8-4A16-A100-EEEAF7423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1B895FA-9AF5-4EC6-84B5-43F98E2B87EB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48869C02-85CA-43BC-BAE7-10FDEF440464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D7D47EA-23FD-4B6A-926B-EAAA8113E2B3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55BF445-4D3B-4927-BA65-7539669DBD7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A860DB26-8C94-4FA9-8CC3-7653BF32C0A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12ACC45-2396-45F5-B743-3ACC8C68C522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A3375A-4EED-4E65-BD70-4A7A10FC6268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AD218E-3C76-4BD9-82AA-C92353B7FE1F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52E5D7-2011-40D2-9933-021B7DFFEC3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4EC2B24-7C09-47B0-8BEC-A849D0827506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9B13FD8-B257-4044-BD23-0031D1CBAB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20178AC-F21A-43BE-A732-0A2A0A14DB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C8F7AA0-2DF0-41FD-9ECF-98191A01C5A8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A65B419-ABA8-453D-BB61-3B3F1F99783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E295F1A-157F-4047-A5BC-5BD566D49EF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EACDF14-C84C-4FD5-8514-E47E2B1C7AF3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5AD5AE6-9530-4B1A-B90B-B3DEC3C1C30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EBC9FB-C1C9-4299-915A-8454D4302C2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8D532F1-CF3D-4FB8-B510-8F677BBD0582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99DCE0D-5982-48C1-BB76-02FC7A694E3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914CF3A-97A0-4107-836C-79AEE5D0C50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68974BA-6AAF-4AE6-A57D-28BA661873E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CEFAC31-F3AA-461D-9E63-BC3F10031DA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B2053CE-7091-4F35-A94B-6F8D369CF79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638CDA8-6305-4D82-8E69-F1D00FEE1C5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53DA76E-E228-4EFF-B539-FFF7805586A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6CB5182-EB1A-43C4-8CF1-F9122DA77CB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8B2B574-B610-491D-BF63-13E5D36954D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1E3E2CC-B58B-4537-9311-C8AB52B50F8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E4B4F66-9353-494B-A5C4-DC158C6E514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207A844-2FFE-463D-98E7-C0D7E9929F0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3D3C561-1154-4AC1-8CE7-797E88F2E5B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4C386CF-5744-45A1-A073-1A6886AD662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2AE5C0F-CC9D-418A-9145-1E2C4C586B7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5455C9A-1B58-4A78-98CE-54CBAF180DC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53B5AC7-61B0-4A1C-838C-CA2A953E7D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A77F279-5D4E-4AF0-B3A5-BEB43C169BA6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77F73BB-A6FB-4226-A1D9-ADDCC86B7E3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FD2C3B-A09F-4B85-B3FE-FCA2AD13DC1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D7D9A8-1703-4AD7-A6CA-F36432CC486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E1CCB50-0D38-4225-86B3-BFE11BC45DF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8942279-FCD6-4348-97D3-41BCE948F96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39FBBBE-F3C3-4506-BC6B-02028150B81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5394BF8-6023-4F31-A14E-A7968EBBB76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A15E0A6-58DB-47B6-B482-1DCB01B4904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9088ADF-07B0-4151-A1A2-BEFFFB9D5B8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E330306-C0A2-4CDA-ADD3-F8962732942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8A7E580-FE9E-4DDC-B7C4-E26B6B3B6F3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515391-23A3-4EB8-85CD-7797F6E86290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5122C6D-B63F-4F05-ACEA-AC99C0AF581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266C20C-DF8E-4387-A733-06FA3C5C04E9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FD798EC-FA17-42AB-B8B7-B765810EEAC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1C7F374-88CA-4650-8BBC-16D51AA5405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B0F4776-79F1-46C1-9B30-DCDC30802878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787B2413-E9BC-4353-8D5C-96B1DA99F7B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3B53CFE-46B6-4D84-AC5B-D014EF3D488E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1A6ED61-0BA2-4AC1-87F3-3AEBFEB169C3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D1E0AD7-F6FF-4989-AC7E-3ABB3829000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054A272-8E59-450D-8EA6-4B215833C89C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43C5031-7E27-431B-A614-78D84B05CB2D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E2A385-D269-4192-9DD8-A7083FA2A2B5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64" name="Picture 10" descr="http://www.lakecement.com/images/logo.jpg">
          <a:extLst>
            <a:ext uri="{FF2B5EF4-FFF2-40B4-BE49-F238E27FC236}">
              <a16:creationId xmlns:a16="http://schemas.microsoft.com/office/drawing/2014/main" id="{957D1CB1-67DB-4D00-91FE-46389475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2E3746A-32ED-4C0A-BADC-6CF78E59600F}"/>
            </a:ext>
          </a:extLst>
        </xdr:cNvPr>
        <xdr:cNvSpPr/>
      </xdr:nvSpPr>
      <xdr:spPr>
        <a:xfrm>
          <a:off x="5256742" y="304376"/>
          <a:ext cx="27889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B87D3AC7-A9D1-4962-9578-DE73C9462907}"/>
            </a:ext>
          </a:extLst>
        </xdr:cNvPr>
        <xdr:cNvCxnSpPr/>
      </xdr:nvCxnSpPr>
      <xdr:spPr>
        <a:xfrm>
          <a:off x="74627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CB98775-CF18-4294-9AB5-175B01970F9A}"/>
            </a:ext>
          </a:extLst>
        </xdr:cNvPr>
        <xdr:cNvSpPr/>
      </xdr:nvSpPr>
      <xdr:spPr>
        <a:xfrm>
          <a:off x="76771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E188C33-CC89-4992-B9BC-5E0D31CB0253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47E0BC0-36AD-418A-89A2-793E052DF2B4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F53CA9C-F778-4845-9EB8-9272A126CDD6}"/>
            </a:ext>
          </a:extLst>
        </xdr:cNvPr>
        <xdr:cNvCxnSpPr/>
      </xdr:nvCxnSpPr>
      <xdr:spPr>
        <a:xfrm>
          <a:off x="89249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G39"/>
  <sheetViews>
    <sheetView zoomScale="60" zoomScaleNormal="60" workbookViewId="0">
      <pane ySplit="2" topLeftCell="A3" activePane="bottomLeft" state="frozen"/>
      <selection pane="bottomLeft" activeCell="G26" sqref="G26"/>
    </sheetView>
  </sheetViews>
  <sheetFormatPr defaultRowHeight="1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5.140625" bestFit="1" customWidth="1"/>
    <col min="11" max="11" width="15.5703125" bestFit="1" customWidth="1"/>
    <col min="12" max="12" width="16.28515625" bestFit="1" customWidth="1"/>
    <col min="13" max="13" width="12.7109375" bestFit="1" customWidth="1"/>
    <col min="14" max="15" width="15.140625" bestFit="1" customWidth="1"/>
    <col min="16" max="16" width="15.5703125" bestFit="1" customWidth="1"/>
    <col min="17" max="17" width="16.28515625" bestFit="1" customWidth="1"/>
    <col min="18" max="18" width="12.7109375" bestFit="1" customWidth="1"/>
    <col min="19" max="20" width="15.140625" bestFit="1" customWidth="1"/>
    <col min="21" max="21" width="19.140625" bestFit="1" customWidth="1"/>
    <col min="22" max="38" width="15.5703125" customWidth="1"/>
    <col min="39" max="39" width="9.140625" customWidth="1"/>
    <col min="40" max="40" width="11.42578125" customWidth="1"/>
    <col min="41" max="41" width="11.140625" bestFit="1" customWidth="1"/>
    <col min="52" max="52" width="11.5703125" bestFit="1" customWidth="1"/>
  </cols>
  <sheetData>
    <row r="1" spans="2:59">
      <c r="B1" s="3" t="s">
        <v>0</v>
      </c>
      <c r="C1" s="596" t="s">
        <v>1</v>
      </c>
      <c r="D1" s="597"/>
      <c r="E1" s="597"/>
      <c r="F1" s="599"/>
      <c r="G1" s="598"/>
      <c r="H1" s="596" t="s">
        <v>2</v>
      </c>
      <c r="I1" s="597"/>
      <c r="J1" s="597"/>
      <c r="K1" s="598"/>
      <c r="L1" s="596" t="s">
        <v>3</v>
      </c>
      <c r="M1" s="597"/>
      <c r="N1" s="597"/>
      <c r="O1" s="599"/>
      <c r="P1" s="598"/>
      <c r="Q1" s="596" t="s">
        <v>4</v>
      </c>
      <c r="R1" s="597"/>
      <c r="S1" s="597"/>
      <c r="T1" s="599"/>
      <c r="U1" s="598"/>
      <c r="V1" s="596" t="s">
        <v>5</v>
      </c>
      <c r="W1" s="597"/>
      <c r="X1" s="597"/>
      <c r="Y1" s="598"/>
      <c r="Z1" s="596" t="s">
        <v>6</v>
      </c>
      <c r="AA1" s="597"/>
      <c r="AB1" s="597"/>
      <c r="AC1" s="598"/>
      <c r="AD1" s="596" t="s">
        <v>7</v>
      </c>
      <c r="AE1" s="597"/>
      <c r="AF1" s="597"/>
      <c r="AG1" s="598"/>
      <c r="AH1" s="593" t="s">
        <v>8</v>
      </c>
      <c r="AI1" s="594"/>
      <c r="AJ1" s="594"/>
      <c r="AK1" s="594"/>
      <c r="AL1" s="595"/>
      <c r="AM1" s="1" t="s">
        <v>9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2:59">
      <c r="B2" s="4" t="s">
        <v>10</v>
      </c>
      <c r="C2" s="6" t="s">
        <v>11</v>
      </c>
      <c r="D2" s="1" t="s">
        <v>12</v>
      </c>
      <c r="E2" s="269" t="s">
        <v>13</v>
      </c>
      <c r="F2" s="26" t="s">
        <v>14</v>
      </c>
      <c r="G2" s="7" t="s">
        <v>15</v>
      </c>
      <c r="H2" s="6" t="s">
        <v>11</v>
      </c>
      <c r="I2" s="1" t="s">
        <v>12</v>
      </c>
      <c r="J2" s="1" t="s">
        <v>16</v>
      </c>
      <c r="K2" s="7" t="s">
        <v>15</v>
      </c>
      <c r="L2" s="6" t="s">
        <v>11</v>
      </c>
      <c r="M2" s="1" t="s">
        <v>12</v>
      </c>
      <c r="N2" s="269" t="s">
        <v>17</v>
      </c>
      <c r="O2" s="1" t="s">
        <v>18</v>
      </c>
      <c r="P2" s="7" t="s">
        <v>15</v>
      </c>
      <c r="Q2" s="6" t="s">
        <v>11</v>
      </c>
      <c r="R2" s="1" t="s">
        <v>12</v>
      </c>
      <c r="S2" s="269" t="s">
        <v>19</v>
      </c>
      <c r="T2" s="1" t="s">
        <v>18</v>
      </c>
      <c r="U2" s="7" t="s">
        <v>15</v>
      </c>
      <c r="V2" s="39" t="s">
        <v>11</v>
      </c>
      <c r="W2" s="1" t="s">
        <v>12</v>
      </c>
      <c r="X2" s="1" t="s">
        <v>16</v>
      </c>
      <c r="Y2" s="9" t="s">
        <v>15</v>
      </c>
      <c r="Z2" s="39" t="s">
        <v>11</v>
      </c>
      <c r="AA2" s="1" t="s">
        <v>12</v>
      </c>
      <c r="AB2" s="1" t="s">
        <v>16</v>
      </c>
      <c r="AC2" s="9" t="s">
        <v>15</v>
      </c>
      <c r="AD2" s="39" t="s">
        <v>11</v>
      </c>
      <c r="AE2" s="1" t="s">
        <v>12</v>
      </c>
      <c r="AF2" s="1" t="s">
        <v>16</v>
      </c>
      <c r="AG2" s="9" t="s">
        <v>15</v>
      </c>
      <c r="AH2" s="39" t="s">
        <v>11</v>
      </c>
      <c r="AI2" s="1" t="s">
        <v>12</v>
      </c>
      <c r="AJ2" s="1" t="s">
        <v>13</v>
      </c>
      <c r="AK2" s="1" t="s">
        <v>16</v>
      </c>
      <c r="AL2" s="9" t="s">
        <v>15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/>
      <c r="AS2" s="1"/>
      <c r="AT2" s="1"/>
      <c r="AU2" s="1"/>
      <c r="AV2" s="1"/>
      <c r="AW2" s="1" t="s">
        <v>25</v>
      </c>
      <c r="AX2" s="1" t="s">
        <v>26</v>
      </c>
    </row>
    <row r="3" spans="2:59">
      <c r="B3" s="4">
        <v>1</v>
      </c>
      <c r="C3" s="39">
        <v>7522.7831800029708</v>
      </c>
      <c r="D3" s="1">
        <v>3207.88</v>
      </c>
      <c r="E3" s="269">
        <f>F3+'RAW MILL 2'!C3</f>
        <v>3401</v>
      </c>
      <c r="F3" s="1">
        <v>3145</v>
      </c>
      <c r="G3" s="9">
        <f>C3+D3-E3</f>
        <v>7329.6631800029718</v>
      </c>
      <c r="H3" s="64">
        <v>11945.017082328195</v>
      </c>
      <c r="I3" s="1">
        <v>2235.84</v>
      </c>
      <c r="J3" s="1">
        <v>0</v>
      </c>
      <c r="K3" s="46">
        <f>H3+I3-J3-Cement!S3</f>
        <v>13842.179304550418</v>
      </c>
      <c r="L3" s="48">
        <v>2911.44</v>
      </c>
      <c r="M3" s="1">
        <v>0</v>
      </c>
      <c r="N3" s="269">
        <f>O3+'RAW MILL 2'!D3</f>
        <v>2</v>
      </c>
      <c r="O3" s="1">
        <v>2</v>
      </c>
      <c r="P3" s="9">
        <f>L3+M3-N3</f>
        <v>2909.44</v>
      </c>
      <c r="Q3" s="48">
        <v>3.999999999996362E-2</v>
      </c>
      <c r="R3" s="1">
        <v>0</v>
      </c>
      <c r="S3" s="269">
        <f>T3+'RAW MILL 2'!E3</f>
        <v>0</v>
      </c>
      <c r="T3" s="1">
        <v>0</v>
      </c>
      <c r="U3" s="9">
        <f>Q3+R3-S3</f>
        <v>3.999999999996362E-2</v>
      </c>
      <c r="V3" s="27">
        <v>0</v>
      </c>
      <c r="W3" s="1">
        <v>0</v>
      </c>
      <c r="X3" s="1">
        <v>0</v>
      </c>
      <c r="Y3" s="27">
        <f>V3+W3-X3</f>
        <v>0</v>
      </c>
      <c r="Z3" s="27">
        <v>0</v>
      </c>
      <c r="AA3" s="1">
        <v>0</v>
      </c>
      <c r="AB3" s="1">
        <v>0</v>
      </c>
      <c r="AC3" s="27">
        <f>Z3+AA3-AB3</f>
        <v>0</v>
      </c>
      <c r="AD3" s="27">
        <v>0</v>
      </c>
      <c r="AE3" s="1">
        <v>0</v>
      </c>
      <c r="AF3" s="1">
        <v>0</v>
      </c>
      <c r="AG3" s="27">
        <f>AD3+AE3-AF3</f>
        <v>0</v>
      </c>
      <c r="AH3" s="27">
        <v>298.36</v>
      </c>
      <c r="AI3" s="26"/>
      <c r="AJ3" s="461">
        <f>AK3+'RAW MILL 2'!G3</f>
        <v>0</v>
      </c>
      <c r="AK3" s="26"/>
      <c r="AL3" s="27">
        <f>AH3+AI3-AJ3</f>
        <v>298.36</v>
      </c>
      <c r="AM3" s="31">
        <f>D3+I3+M3+R3+W3+AA3+Cement!Q3+Cement!V3+AE3</f>
        <v>5443.72</v>
      </c>
      <c r="AN3" s="31">
        <f>E3+J3+N3+S3+X3+AB3+Clinker!E3+AF3+AK3</f>
        <v>3455</v>
      </c>
      <c r="AO3" s="1">
        <f>Production2!N3</f>
        <v>2876</v>
      </c>
      <c r="AP3" s="1"/>
      <c r="AQ3" s="292">
        <v>3103</v>
      </c>
      <c r="AR3" s="1"/>
      <c r="AS3" s="1"/>
      <c r="AT3" s="1"/>
      <c r="AU3" s="1"/>
      <c r="AV3" s="1">
        <f>D3+I3+M3+R3+Cement!Q3</f>
        <v>5443.72</v>
      </c>
      <c r="AW3" s="1">
        <f>AN3+Cement!R3-Clinker!E3</f>
        <v>3707.8099999999986</v>
      </c>
      <c r="AX3" s="1">
        <v>940.1</v>
      </c>
      <c r="AY3" s="50">
        <f>AN3-Production2!N3</f>
        <v>579</v>
      </c>
      <c r="AZ3" s="52">
        <f>AN3</f>
        <v>3455</v>
      </c>
      <c r="BA3">
        <f>E3+J3</f>
        <v>3401</v>
      </c>
      <c r="BB3">
        <f>AX3-D3</f>
        <v>-2267.7800000000002</v>
      </c>
      <c r="BC3">
        <f>I3-BD3</f>
        <v>616.34000000000015</v>
      </c>
      <c r="BD3">
        <v>1619.5</v>
      </c>
      <c r="BE3">
        <f>(AN3-Production2!N3)/'Mines (2)'!AN3</f>
        <v>0.16758321273516644</v>
      </c>
      <c r="BF3">
        <f>BE3*100</f>
        <v>16.758321273516643</v>
      </c>
      <c r="BG3">
        <f>E3+J3+AB3</f>
        <v>3401</v>
      </c>
    </row>
    <row r="4" spans="2:59">
      <c r="B4" s="4">
        <v>2</v>
      </c>
      <c r="C4" s="39">
        <f t="shared" ref="C4:C27" si="0">G3</f>
        <v>7329.6631800029718</v>
      </c>
      <c r="D4" s="1">
        <v>2217.12</v>
      </c>
      <c r="E4" s="269">
        <f>F4+'RAW MILL 2'!C4</f>
        <v>1916</v>
      </c>
      <c r="F4" s="1">
        <v>1724</v>
      </c>
      <c r="G4" s="9">
        <f t="shared" ref="G4:G33" si="1">C4+D4-E4</f>
        <v>7630.7831800029708</v>
      </c>
      <c r="H4" s="39">
        <f t="shared" ref="H4:H27" si="2">K3</f>
        <v>13842.179304550418</v>
      </c>
      <c r="I4" s="1">
        <v>500.2</v>
      </c>
      <c r="J4" s="1">
        <v>0</v>
      </c>
      <c r="K4" s="46">
        <f>H4+I4-J4-Cement!S4</f>
        <v>13921.779304550419</v>
      </c>
      <c r="L4" s="39">
        <f t="shared" ref="L4:L27" si="3">P3</f>
        <v>2909.44</v>
      </c>
      <c r="M4" s="1">
        <v>0</v>
      </c>
      <c r="N4" s="269">
        <f>O4+'RAW MILL 2'!D4</f>
        <v>10</v>
      </c>
      <c r="O4" s="1">
        <v>9</v>
      </c>
      <c r="P4" s="9">
        <f t="shared" ref="P4:P33" si="4">L4+M4-N4</f>
        <v>2899.44</v>
      </c>
      <c r="Q4" s="39">
        <f t="shared" ref="Q4:Q27" si="5">U3</f>
        <v>3.999999999996362E-2</v>
      </c>
      <c r="R4" s="1">
        <v>0</v>
      </c>
      <c r="S4" s="269">
        <f>T4+'RAW MILL 2'!E4</f>
        <v>0</v>
      </c>
      <c r="T4" s="1">
        <v>0</v>
      </c>
      <c r="U4" s="9">
        <f>Q4+R4-S4</f>
        <v>3.999999999996362E-2</v>
      </c>
      <c r="V4" s="27">
        <f>Y3</f>
        <v>0</v>
      </c>
      <c r="W4" s="1">
        <v>0</v>
      </c>
      <c r="X4" s="1">
        <v>0</v>
      </c>
      <c r="Y4" s="27">
        <f t="shared" ref="Y4:Y24" si="6">V4+W4-X4</f>
        <v>0</v>
      </c>
      <c r="Z4" s="27">
        <f>AC3</f>
        <v>0</v>
      </c>
      <c r="AA4" s="1">
        <v>0</v>
      </c>
      <c r="AB4" s="1">
        <v>0</v>
      </c>
      <c r="AC4" s="27">
        <f t="shared" ref="AC4:AC33" si="7">Z4+AA4-AB4</f>
        <v>0</v>
      </c>
      <c r="AD4" s="27">
        <f>AG3</f>
        <v>0</v>
      </c>
      <c r="AE4" s="1">
        <v>0</v>
      </c>
      <c r="AF4" s="1">
        <v>0</v>
      </c>
      <c r="AG4" s="27">
        <f t="shared" ref="AG4:AG33" si="8">AD4+AE4-AF4</f>
        <v>0</v>
      </c>
      <c r="AH4" s="27">
        <f>AL3</f>
        <v>298.36</v>
      </c>
      <c r="AI4" s="26"/>
      <c r="AJ4" s="461">
        <f>AK4+'RAW MILL 2'!G4</f>
        <v>0</v>
      </c>
      <c r="AK4" s="26"/>
      <c r="AL4" s="27">
        <f t="shared" ref="AL4:AL33" si="9">AH4+AI4-AJ4</f>
        <v>298.36</v>
      </c>
      <c r="AM4" s="31">
        <f>D4+I4+M4+R4+W4+AA4+Cement!Q4+Cement!V4+AE4</f>
        <v>2717.3199999999997</v>
      </c>
      <c r="AN4" s="31">
        <f>E4+J4+N4+S4+X4+AB4+Clinker!E4+AF4+AK4</f>
        <v>1975</v>
      </c>
      <c r="AO4" s="1">
        <f>Production2!N4</f>
        <v>1599</v>
      </c>
      <c r="AP4" s="1">
        <f t="shared" ref="AP4:AP15" si="10">AO4-AN4</f>
        <v>-376</v>
      </c>
      <c r="AQ4" s="293">
        <v>3286</v>
      </c>
      <c r="AR4" s="1"/>
      <c r="AS4" s="1"/>
      <c r="AT4" s="1"/>
      <c r="AU4" s="1"/>
      <c r="AV4" s="1">
        <f>D4+I4+M4+R4+Cement!Q4</f>
        <v>2717.3199999999997</v>
      </c>
      <c r="AW4" s="1">
        <f>AN4+Cement!R4-Clinker!E4</f>
        <v>2304.54</v>
      </c>
      <c r="AX4" s="1">
        <v>987.54</v>
      </c>
      <c r="AY4" s="50">
        <f>AN4-Production2!N4</f>
        <v>376</v>
      </c>
      <c r="AZ4" s="52">
        <f t="shared" ref="AZ4:AZ32" si="11">AN4</f>
        <v>1975</v>
      </c>
      <c r="BA4">
        <f t="shared" ref="BA4:BA26" si="12">E4+J4</f>
        <v>1916</v>
      </c>
      <c r="BB4">
        <f t="shared" ref="BB4:BB26" si="13">AX4-D4</f>
        <v>-1229.58</v>
      </c>
      <c r="BC4">
        <f t="shared" ref="BC4:BC25" si="14">I4-BD4</f>
        <v>-123.07999999999998</v>
      </c>
      <c r="BD4">
        <v>623.28</v>
      </c>
      <c r="BE4">
        <f>(AN4-Production2!N4)/'Mines (2)'!AN4</f>
        <v>0.19037974683544304</v>
      </c>
      <c r="BF4">
        <f t="shared" ref="BF4:BF31" si="15">BE4*100</f>
        <v>19.037974683544302</v>
      </c>
      <c r="BG4">
        <f t="shared" ref="BG4:BG21" si="16">E4+J4+AB4</f>
        <v>1916</v>
      </c>
    </row>
    <row r="5" spans="2:59">
      <c r="B5" s="4">
        <v>3</v>
      </c>
      <c r="C5" s="39">
        <f t="shared" si="0"/>
        <v>7630.7831800029708</v>
      </c>
      <c r="D5" s="1">
        <v>1778.02</v>
      </c>
      <c r="E5" s="269">
        <f>F5+'RAW MILL 2'!C5</f>
        <v>1530</v>
      </c>
      <c r="F5" s="1">
        <v>1336</v>
      </c>
      <c r="G5" s="9">
        <f t="shared" si="1"/>
        <v>7878.8031800029712</v>
      </c>
      <c r="H5" s="39">
        <f t="shared" si="2"/>
        <v>13921.779304550419</v>
      </c>
      <c r="I5" s="1">
        <v>1686.64</v>
      </c>
      <c r="J5" s="1">
        <v>1000</v>
      </c>
      <c r="K5" s="46">
        <f>H5+I5-J5-Cement!S5</f>
        <v>14043.819304550418</v>
      </c>
      <c r="L5" s="39">
        <f t="shared" si="3"/>
        <v>2899.44</v>
      </c>
      <c r="M5" s="1">
        <v>140.24</v>
      </c>
      <c r="N5" s="269">
        <f>O5+'RAW MILL 2'!D5</f>
        <v>80</v>
      </c>
      <c r="O5" s="1">
        <v>74</v>
      </c>
      <c r="P5" s="9">
        <f t="shared" si="4"/>
        <v>2959.6800000000003</v>
      </c>
      <c r="Q5" s="39">
        <f t="shared" si="5"/>
        <v>3.999999999996362E-2</v>
      </c>
      <c r="R5" s="1">
        <v>0</v>
      </c>
      <c r="S5" s="269">
        <f>T5+'RAW MILL 2'!E5</f>
        <v>0</v>
      </c>
      <c r="T5" s="1">
        <v>0</v>
      </c>
      <c r="U5" s="9">
        <f>Q5+R5-S5</f>
        <v>3.999999999996362E-2</v>
      </c>
      <c r="V5" s="27">
        <f t="shared" ref="V5:V23" si="17">Y4</f>
        <v>0</v>
      </c>
      <c r="W5" s="1">
        <v>0</v>
      </c>
      <c r="X5" s="1">
        <v>0</v>
      </c>
      <c r="Y5" s="27">
        <f t="shared" si="6"/>
        <v>0</v>
      </c>
      <c r="Z5" s="27">
        <f t="shared" ref="Z5:Z23" si="18">AC4</f>
        <v>0</v>
      </c>
      <c r="AA5" s="1">
        <v>0</v>
      </c>
      <c r="AB5" s="1">
        <v>0</v>
      </c>
      <c r="AC5" s="27">
        <f t="shared" si="7"/>
        <v>0</v>
      </c>
      <c r="AD5" s="27">
        <f t="shared" ref="AD5:AD23" si="19">AG4</f>
        <v>0</v>
      </c>
      <c r="AE5" s="1">
        <v>0</v>
      </c>
      <c r="AF5" s="1">
        <v>0</v>
      </c>
      <c r="AG5" s="27">
        <f t="shared" si="8"/>
        <v>0</v>
      </c>
      <c r="AH5" s="27">
        <f t="shared" ref="AH5:AH33" si="20">AL4</f>
        <v>298.36</v>
      </c>
      <c r="AI5" s="26"/>
      <c r="AJ5" s="461">
        <f>AK5+'RAW MILL 2'!G5</f>
        <v>0</v>
      </c>
      <c r="AK5" s="26"/>
      <c r="AL5" s="27">
        <f t="shared" si="9"/>
        <v>298.36</v>
      </c>
      <c r="AM5" s="31">
        <f>D5+I5+M5+R5+W5+AA5+Cement!Q5+Cement!V5+AE5</f>
        <v>3604.8999999999996</v>
      </c>
      <c r="AN5" s="31">
        <f>E5+J5+N5+S5+X5+AB5+Clinker!E5+AF5+AK5</f>
        <v>2677</v>
      </c>
      <c r="AO5" s="1">
        <f>Production2!N5</f>
        <v>2226</v>
      </c>
      <c r="AP5" s="1">
        <f t="shared" si="10"/>
        <v>-451</v>
      </c>
      <c r="AQ5" s="293">
        <v>2899</v>
      </c>
      <c r="AR5" s="1"/>
      <c r="AS5" s="1"/>
      <c r="AT5" s="1"/>
      <c r="AU5" s="1"/>
      <c r="AV5" s="1">
        <f>D5+I5+M5+R5+Cement!Q5</f>
        <v>3604.8999999999996</v>
      </c>
      <c r="AW5" s="1">
        <f>AN5+Cement!R5-Clinker!E5</f>
        <v>3118.14</v>
      </c>
      <c r="AX5" s="1">
        <v>249.34000000000003</v>
      </c>
      <c r="AY5" s="50">
        <f>AN5-Production2!N5</f>
        <v>451</v>
      </c>
      <c r="AZ5" s="52">
        <f t="shared" si="11"/>
        <v>2677</v>
      </c>
      <c r="BA5">
        <f t="shared" si="12"/>
        <v>2530</v>
      </c>
      <c r="BB5">
        <f t="shared" si="13"/>
        <v>-1528.6799999999998</v>
      </c>
      <c r="BC5">
        <f t="shared" si="14"/>
        <v>1244.1400000000001</v>
      </c>
      <c r="BD5">
        <v>442.49999999999994</v>
      </c>
      <c r="BE5">
        <f>(AN5-Production2!N5)/'Mines (2)'!AN5</f>
        <v>0.16847217033993275</v>
      </c>
      <c r="BF5">
        <f t="shared" si="15"/>
        <v>16.847217033993275</v>
      </c>
      <c r="BG5">
        <f t="shared" si="16"/>
        <v>2530</v>
      </c>
    </row>
    <row r="6" spans="2:59">
      <c r="B6" s="4">
        <v>4</v>
      </c>
      <c r="C6" s="39">
        <f t="shared" si="0"/>
        <v>7878.8031800029712</v>
      </c>
      <c r="D6" s="1">
        <v>0</v>
      </c>
      <c r="E6" s="269">
        <f>F6+'RAW MILL 2'!C6</f>
        <v>3136</v>
      </c>
      <c r="F6" s="1">
        <v>2917</v>
      </c>
      <c r="G6" s="9">
        <f t="shared" si="1"/>
        <v>4742.8031800029712</v>
      </c>
      <c r="H6" s="39">
        <f t="shared" si="2"/>
        <v>14043.819304550418</v>
      </c>
      <c r="I6" s="1">
        <v>1139.0999999999999</v>
      </c>
      <c r="J6" s="1">
        <v>0</v>
      </c>
      <c r="K6" s="46">
        <f>H6+I6-J6-Cement!S6</f>
        <v>14675.608193434598</v>
      </c>
      <c r="L6" s="39">
        <f t="shared" si="3"/>
        <v>2959.6800000000003</v>
      </c>
      <c r="M6" s="1">
        <v>81.98</v>
      </c>
      <c r="N6" s="269">
        <f>O6+'RAW MILL 2'!D6</f>
        <v>66</v>
      </c>
      <c r="O6" s="1">
        <v>61</v>
      </c>
      <c r="P6" s="9">
        <f t="shared" si="4"/>
        <v>2975.6600000000003</v>
      </c>
      <c r="Q6" s="39">
        <f t="shared" si="5"/>
        <v>3.999999999996362E-2</v>
      </c>
      <c r="R6" s="1">
        <v>0</v>
      </c>
      <c r="S6" s="269">
        <f>T6+'RAW MILL 2'!E6</f>
        <v>0</v>
      </c>
      <c r="T6" s="1">
        <v>0</v>
      </c>
      <c r="U6" s="9">
        <f>Q6+R6-S6</f>
        <v>3.999999999996362E-2</v>
      </c>
      <c r="V6" s="27">
        <f t="shared" si="17"/>
        <v>0</v>
      </c>
      <c r="W6" s="1">
        <v>0</v>
      </c>
      <c r="X6" s="1">
        <v>0</v>
      </c>
      <c r="Y6" s="27">
        <f t="shared" si="6"/>
        <v>0</v>
      </c>
      <c r="Z6" s="27">
        <f t="shared" si="18"/>
        <v>0</v>
      </c>
      <c r="AA6" s="1">
        <v>0</v>
      </c>
      <c r="AB6" s="1">
        <v>0</v>
      </c>
      <c r="AC6" s="27">
        <f t="shared" si="7"/>
        <v>0</v>
      </c>
      <c r="AD6" s="27">
        <f t="shared" si="19"/>
        <v>0</v>
      </c>
      <c r="AE6" s="1">
        <v>0</v>
      </c>
      <c r="AF6" s="1">
        <v>0</v>
      </c>
      <c r="AG6" s="27">
        <f t="shared" si="8"/>
        <v>0</v>
      </c>
      <c r="AH6" s="27">
        <f t="shared" si="20"/>
        <v>298.36</v>
      </c>
      <c r="AI6" s="26"/>
      <c r="AJ6" s="461">
        <f>AK6+'RAW MILL 2'!G6</f>
        <v>0</v>
      </c>
      <c r="AK6" s="26"/>
      <c r="AL6" s="27">
        <f t="shared" si="9"/>
        <v>298.36</v>
      </c>
      <c r="AM6" s="14">
        <f>D6+I6+M6+R6+W6+AA6+Cement!Q6+Cement!V6+AE6</f>
        <v>1221.08</v>
      </c>
      <c r="AN6" s="31">
        <f>E6+J6+N6+S6+X6+AB6+Clinker!E6+AF6+AK6</f>
        <v>3284</v>
      </c>
      <c r="AO6" s="1">
        <f>Production2!N6</f>
        <v>2751</v>
      </c>
      <c r="AP6" s="1">
        <f t="shared" si="10"/>
        <v>-533</v>
      </c>
      <c r="AQ6" s="293">
        <v>3290</v>
      </c>
      <c r="AR6" s="1"/>
      <c r="AS6" s="1"/>
      <c r="AT6" s="1"/>
      <c r="AU6" s="1"/>
      <c r="AV6" s="1">
        <f>D6+I6+M6+R6+Cement!Q6</f>
        <v>1221.08</v>
      </c>
      <c r="AW6" s="1">
        <f>AN6+Cement!R6-Clinker!E6</f>
        <v>3658.5800000042382</v>
      </c>
      <c r="AX6" s="1">
        <v>1108.96</v>
      </c>
      <c r="AY6" s="50">
        <f>AN6-Production2!N6</f>
        <v>533</v>
      </c>
      <c r="AZ6" s="52">
        <f t="shared" si="11"/>
        <v>3284</v>
      </c>
      <c r="BA6">
        <f t="shared" si="12"/>
        <v>3136</v>
      </c>
      <c r="BB6">
        <f t="shared" si="13"/>
        <v>1108.96</v>
      </c>
      <c r="BC6">
        <f t="shared" si="14"/>
        <v>-1097.6600000000003</v>
      </c>
      <c r="BD6">
        <v>2236.7600000000002</v>
      </c>
      <c r="BE6">
        <f>(AN6-Production2!N6)/'Mines (2)'!AN6</f>
        <v>0.16230207064555421</v>
      </c>
      <c r="BF6">
        <f t="shared" si="15"/>
        <v>16.230207064555422</v>
      </c>
      <c r="BG6">
        <f t="shared" si="16"/>
        <v>3136</v>
      </c>
    </row>
    <row r="7" spans="2:59">
      <c r="B7" s="4">
        <v>5</v>
      </c>
      <c r="C7" s="39">
        <f t="shared" si="0"/>
        <v>4742.8031800029712</v>
      </c>
      <c r="D7" s="1">
        <v>1960.4</v>
      </c>
      <c r="E7" s="269">
        <f>F7+'RAW MILL 2'!C7</f>
        <v>1777</v>
      </c>
      <c r="F7" s="1">
        <v>1587</v>
      </c>
      <c r="G7" s="9">
        <f t="shared" si="1"/>
        <v>4926.2031800029708</v>
      </c>
      <c r="H7" s="39">
        <f t="shared" si="2"/>
        <v>14675.608193434598</v>
      </c>
      <c r="I7" s="1">
        <v>1204.24</v>
      </c>
      <c r="J7" s="1">
        <v>1000</v>
      </c>
      <c r="K7" s="46">
        <f>H7+I7-J7-Cement!S7</f>
        <v>14417.202638089198</v>
      </c>
      <c r="L7" s="39">
        <f t="shared" si="3"/>
        <v>2975.6600000000003</v>
      </c>
      <c r="M7" s="1">
        <v>0</v>
      </c>
      <c r="N7" s="269">
        <f>O7+'RAW MILL 2'!D7</f>
        <v>58</v>
      </c>
      <c r="O7" s="1">
        <v>54</v>
      </c>
      <c r="P7" s="9">
        <f t="shared" si="4"/>
        <v>2917.6600000000003</v>
      </c>
      <c r="Q7" s="39">
        <f t="shared" si="5"/>
        <v>3.999999999996362E-2</v>
      </c>
      <c r="R7" s="1">
        <v>0</v>
      </c>
      <c r="S7" s="269">
        <f>T7+'RAW MILL 2'!E7</f>
        <v>0</v>
      </c>
      <c r="T7" s="1">
        <v>0</v>
      </c>
      <c r="U7" s="9">
        <f>Q7+R7-S7</f>
        <v>3.999999999996362E-2</v>
      </c>
      <c r="V7" s="27">
        <f t="shared" si="17"/>
        <v>0</v>
      </c>
      <c r="W7" s="1">
        <v>0</v>
      </c>
      <c r="X7" s="1">
        <v>0</v>
      </c>
      <c r="Y7" s="27">
        <f t="shared" si="6"/>
        <v>0</v>
      </c>
      <c r="Z7" s="27">
        <f t="shared" si="18"/>
        <v>0</v>
      </c>
      <c r="AA7" s="1">
        <v>0</v>
      </c>
      <c r="AB7" s="1">
        <v>0</v>
      </c>
      <c r="AC7" s="27">
        <f t="shared" si="7"/>
        <v>0</v>
      </c>
      <c r="AD7" s="27">
        <f t="shared" si="19"/>
        <v>0</v>
      </c>
      <c r="AE7" s="1">
        <v>0</v>
      </c>
      <c r="AF7" s="1">
        <v>0</v>
      </c>
      <c r="AG7" s="27">
        <f t="shared" si="8"/>
        <v>0</v>
      </c>
      <c r="AH7" s="27">
        <f t="shared" si="20"/>
        <v>298.36</v>
      </c>
      <c r="AI7" s="26"/>
      <c r="AJ7" s="461">
        <f>AK7+'RAW MILL 2'!G7</f>
        <v>0</v>
      </c>
      <c r="AK7" s="26"/>
      <c r="AL7" s="27">
        <f t="shared" si="9"/>
        <v>298.36</v>
      </c>
      <c r="AM7" s="31">
        <f>D7+I7+M7+R7+W7+AA7+Cement!Q7+Cement!V7+AE7</f>
        <v>3164.6400000000003</v>
      </c>
      <c r="AN7" s="31">
        <f>E7+J7+N7+S7+X7+AB7+Clinker!E7+AF7+AK7</f>
        <v>2908</v>
      </c>
      <c r="AO7" s="1">
        <f>Production2!N7</f>
        <v>2439</v>
      </c>
      <c r="AP7" s="1">
        <f t="shared" si="10"/>
        <v>-469</v>
      </c>
      <c r="AQ7" s="293">
        <v>3245</v>
      </c>
      <c r="AR7" s="1"/>
      <c r="AS7" s="1"/>
      <c r="AT7" s="1"/>
      <c r="AU7" s="1"/>
      <c r="AV7" s="1">
        <f>D7+I7+R7+Cement!Q7</f>
        <v>3164.6400000000003</v>
      </c>
      <c r="AW7" s="1">
        <f>AN7+Cement!R7-Clinker!E7</f>
        <v>3251.38099981086</v>
      </c>
      <c r="AX7" s="1">
        <v>0</v>
      </c>
      <c r="AY7" s="50">
        <f>AN7-Production2!N7</f>
        <v>469</v>
      </c>
      <c r="AZ7" s="52">
        <f t="shared" si="11"/>
        <v>2908</v>
      </c>
      <c r="BA7">
        <f t="shared" si="12"/>
        <v>2777</v>
      </c>
      <c r="BB7">
        <f t="shared" si="13"/>
        <v>-1960.4</v>
      </c>
      <c r="BC7">
        <f t="shared" si="14"/>
        <v>1204.24</v>
      </c>
      <c r="BD7">
        <v>0</v>
      </c>
      <c r="BE7">
        <f>(AN7-Production2!N7)/'Mines (2)'!AN7</f>
        <v>0.16127922971114167</v>
      </c>
      <c r="BF7">
        <f t="shared" si="15"/>
        <v>16.127922971114167</v>
      </c>
      <c r="BG7">
        <f t="shared" si="16"/>
        <v>2777</v>
      </c>
    </row>
    <row r="8" spans="2:59">
      <c r="B8" s="4">
        <v>6</v>
      </c>
      <c r="C8" s="39">
        <f t="shared" si="0"/>
        <v>4926.2031800029708</v>
      </c>
      <c r="D8" s="1">
        <v>1955.56</v>
      </c>
      <c r="E8" s="269">
        <f>F8+'RAW MILL 2'!C8</f>
        <v>1377</v>
      </c>
      <c r="F8" s="1">
        <v>1258</v>
      </c>
      <c r="G8" s="9">
        <f t="shared" si="1"/>
        <v>5504.7631800029703</v>
      </c>
      <c r="H8" s="39">
        <f t="shared" si="2"/>
        <v>14417.202638089198</v>
      </c>
      <c r="I8" s="1">
        <v>1362.52</v>
      </c>
      <c r="J8" s="1">
        <v>1000</v>
      </c>
      <c r="K8" s="46">
        <f>H8+I8-J8-Cement!S8</f>
        <v>14280.9837496032</v>
      </c>
      <c r="L8" s="39">
        <f t="shared" si="3"/>
        <v>2917.6600000000003</v>
      </c>
      <c r="M8" s="1">
        <v>0</v>
      </c>
      <c r="N8" s="269">
        <f>O8+'RAW MILL 2'!D8</f>
        <v>50</v>
      </c>
      <c r="O8" s="1">
        <v>47</v>
      </c>
      <c r="P8" s="9">
        <f t="shared" si="4"/>
        <v>2867.6600000000003</v>
      </c>
      <c r="Q8" s="39">
        <f t="shared" si="5"/>
        <v>3.999999999996362E-2</v>
      </c>
      <c r="R8" s="1">
        <v>0</v>
      </c>
      <c r="S8" s="269">
        <f>T8+'RAW MILL 2'!E8</f>
        <v>0</v>
      </c>
      <c r="T8" s="1">
        <v>0</v>
      </c>
      <c r="U8" s="9">
        <f t="shared" ref="U8:U33" si="21">Q8+R8-S8</f>
        <v>3.999999999996362E-2</v>
      </c>
      <c r="V8" s="27">
        <f t="shared" si="17"/>
        <v>0</v>
      </c>
      <c r="W8" s="1">
        <v>0</v>
      </c>
      <c r="X8" s="1">
        <v>0</v>
      </c>
      <c r="Y8" s="27">
        <f t="shared" si="6"/>
        <v>0</v>
      </c>
      <c r="Z8" s="27">
        <f t="shared" si="18"/>
        <v>0</v>
      </c>
      <c r="AA8" s="1">
        <v>0</v>
      </c>
      <c r="AB8" s="1">
        <v>0</v>
      </c>
      <c r="AC8" s="27">
        <f t="shared" si="7"/>
        <v>0</v>
      </c>
      <c r="AD8" s="27">
        <f t="shared" si="19"/>
        <v>0</v>
      </c>
      <c r="AE8" s="1">
        <v>0</v>
      </c>
      <c r="AF8" s="1">
        <v>0</v>
      </c>
      <c r="AG8" s="27">
        <f t="shared" si="8"/>
        <v>0</v>
      </c>
      <c r="AH8" s="27">
        <f t="shared" si="20"/>
        <v>298.36</v>
      </c>
      <c r="AI8" s="26"/>
      <c r="AJ8" s="461">
        <f>AK8+'RAW MILL 2'!G8</f>
        <v>0</v>
      </c>
      <c r="AK8" s="26"/>
      <c r="AL8" s="27">
        <f t="shared" si="9"/>
        <v>298.36</v>
      </c>
      <c r="AM8" s="15">
        <f>D8+I8+M8+R8+W8+AA8+Cement!Q8+Cement!V8+AE8</f>
        <v>3318.08</v>
      </c>
      <c r="AN8" s="31">
        <f>E8+J8+N8+S8+X8+AB8+Clinker!E8+AF8+AK8</f>
        <v>2489</v>
      </c>
      <c r="AO8" s="1">
        <f>Production2!N8</f>
        <v>2128</v>
      </c>
      <c r="AP8" s="1">
        <f t="shared" si="10"/>
        <v>-361</v>
      </c>
      <c r="AQ8" s="293">
        <v>3139</v>
      </c>
      <c r="AR8" s="1"/>
      <c r="AS8" s="1"/>
      <c r="AT8" s="1"/>
      <c r="AU8" s="1"/>
      <c r="AV8" s="1">
        <f>D8+I8+M8+R8+Cement!Q8</f>
        <v>3318.08</v>
      </c>
      <c r="AW8" s="1">
        <f>AN8+Cement!R8-Clinker!E8</f>
        <v>2875.8649996374002</v>
      </c>
      <c r="AX8" s="1">
        <v>1300</v>
      </c>
      <c r="AY8" s="50">
        <f>AN8-Production2!N8</f>
        <v>361</v>
      </c>
      <c r="AZ8" s="52">
        <f t="shared" si="11"/>
        <v>2489</v>
      </c>
      <c r="BA8">
        <f t="shared" si="12"/>
        <v>2377</v>
      </c>
      <c r="BB8">
        <f t="shared" si="13"/>
        <v>-655.56</v>
      </c>
      <c r="BC8">
        <f t="shared" si="14"/>
        <v>522.52</v>
      </c>
      <c r="BD8">
        <v>840</v>
      </c>
      <c r="BE8">
        <f>(AN8-Production2!N8)/'Mines (2)'!AN8</f>
        <v>0.14503816793893129</v>
      </c>
      <c r="BF8">
        <f t="shared" si="15"/>
        <v>14.503816793893129</v>
      </c>
      <c r="BG8">
        <f t="shared" si="16"/>
        <v>2377</v>
      </c>
    </row>
    <row r="9" spans="2:59">
      <c r="B9" s="4">
        <v>7</v>
      </c>
      <c r="C9" s="39">
        <f t="shared" si="0"/>
        <v>5504.7631800029703</v>
      </c>
      <c r="D9" s="1">
        <v>631.70000000000005</v>
      </c>
      <c r="E9" s="269">
        <f>F9+'RAW MILL 2'!C9</f>
        <v>1410</v>
      </c>
      <c r="F9" s="1">
        <v>1276</v>
      </c>
      <c r="G9" s="9">
        <f>C9+D9-E9</f>
        <v>4726.4631800029701</v>
      </c>
      <c r="H9" s="39">
        <f t="shared" si="2"/>
        <v>14280.9837496032</v>
      </c>
      <c r="I9" s="1">
        <v>1680.34</v>
      </c>
      <c r="J9" s="1">
        <v>1000</v>
      </c>
      <c r="K9" s="46">
        <f>H9+I9-J9-Cement!S9</f>
        <v>14664.434860714311</v>
      </c>
      <c r="L9" s="39">
        <f t="shared" si="3"/>
        <v>2867.6600000000003</v>
      </c>
      <c r="M9" s="1">
        <v>0</v>
      </c>
      <c r="N9" s="269">
        <f>O9+'RAW MILL 2'!D9</f>
        <v>77</v>
      </c>
      <c r="O9" s="1">
        <v>73</v>
      </c>
      <c r="P9" s="9">
        <f t="shared" si="4"/>
        <v>2790.6600000000003</v>
      </c>
      <c r="Q9" s="39">
        <f t="shared" si="5"/>
        <v>3.999999999996362E-2</v>
      </c>
      <c r="R9" s="1">
        <v>0</v>
      </c>
      <c r="S9" s="269">
        <f>T9+'RAW MILL 2'!E9</f>
        <v>0</v>
      </c>
      <c r="T9" s="1">
        <v>0</v>
      </c>
      <c r="U9" s="9">
        <f t="shared" si="21"/>
        <v>3.999999999996362E-2</v>
      </c>
      <c r="V9" s="27">
        <f t="shared" si="17"/>
        <v>0</v>
      </c>
      <c r="W9" s="1">
        <v>0</v>
      </c>
      <c r="X9" s="1">
        <v>0</v>
      </c>
      <c r="Y9" s="27">
        <f t="shared" si="6"/>
        <v>0</v>
      </c>
      <c r="Z9" s="27">
        <f t="shared" si="18"/>
        <v>0</v>
      </c>
      <c r="AA9" s="1">
        <v>0</v>
      </c>
      <c r="AB9" s="1">
        <v>0</v>
      </c>
      <c r="AC9" s="27">
        <f t="shared" si="7"/>
        <v>0</v>
      </c>
      <c r="AD9" s="27">
        <f t="shared" si="19"/>
        <v>0</v>
      </c>
      <c r="AE9" s="1">
        <v>0</v>
      </c>
      <c r="AF9" s="1">
        <v>0</v>
      </c>
      <c r="AG9" s="27">
        <f t="shared" si="8"/>
        <v>0</v>
      </c>
      <c r="AH9" s="27">
        <f t="shared" si="20"/>
        <v>298.36</v>
      </c>
      <c r="AI9" s="26"/>
      <c r="AJ9" s="461">
        <f>AK9+'RAW MILL 2'!G9</f>
        <v>0</v>
      </c>
      <c r="AK9" s="26"/>
      <c r="AL9" s="27">
        <f t="shared" si="9"/>
        <v>298.36</v>
      </c>
      <c r="AM9" s="14">
        <f>D9+I9+M9+R9+W9+AA9+Cement!Q9+Cement!V9+AE9</f>
        <v>2312.04</v>
      </c>
      <c r="AN9" s="31">
        <f>E9+J9+N9+S9+X9+AB9+Clinker!E9+AF9+AK9</f>
        <v>2564</v>
      </c>
      <c r="AO9" s="1">
        <f>Production2!N9</f>
        <v>2180</v>
      </c>
      <c r="AP9" s="1">
        <f t="shared" si="10"/>
        <v>-384</v>
      </c>
      <c r="AQ9" s="293">
        <v>1732</v>
      </c>
      <c r="AR9" s="1"/>
      <c r="AS9" s="1"/>
      <c r="AT9" s="1"/>
      <c r="AU9" s="1"/>
      <c r="AV9" s="1">
        <f>D9+I9+M9+R9+Cement!Q9</f>
        <v>2312.04</v>
      </c>
      <c r="AW9" s="1">
        <f>AN9+Cement!R9-Clinker!E9</f>
        <v>2754.2</v>
      </c>
      <c r="AX9" s="1">
        <v>480</v>
      </c>
      <c r="AY9" s="50">
        <f>AN9-Production2!N9</f>
        <v>384</v>
      </c>
      <c r="AZ9" s="52">
        <f t="shared" si="11"/>
        <v>2564</v>
      </c>
      <c r="BA9">
        <f t="shared" si="12"/>
        <v>2410</v>
      </c>
      <c r="BB9">
        <f t="shared" si="13"/>
        <v>-151.70000000000005</v>
      </c>
      <c r="BC9">
        <f t="shared" si="14"/>
        <v>-499.66000000000008</v>
      </c>
      <c r="BD9">
        <v>2180</v>
      </c>
      <c r="BE9">
        <f>(AN9-Production2!N9)/'Mines (2)'!AN9</f>
        <v>0.14976599063962559</v>
      </c>
      <c r="BF9">
        <f t="shared" si="15"/>
        <v>14.97659906396256</v>
      </c>
      <c r="BG9">
        <f t="shared" si="16"/>
        <v>2410</v>
      </c>
    </row>
    <row r="10" spans="2:59">
      <c r="B10" s="4">
        <v>8</v>
      </c>
      <c r="C10" s="39">
        <f t="shared" si="0"/>
        <v>4726.4631800029701</v>
      </c>
      <c r="D10" s="1">
        <v>754.74</v>
      </c>
      <c r="E10" s="269">
        <f>F10+'RAW MILL 2'!C10</f>
        <v>2283</v>
      </c>
      <c r="F10" s="1">
        <v>2124</v>
      </c>
      <c r="G10" s="9">
        <f t="shared" si="1"/>
        <v>3198.2031800029699</v>
      </c>
      <c r="H10" s="39">
        <f t="shared" si="2"/>
        <v>14664.434860714311</v>
      </c>
      <c r="I10" s="1">
        <v>2206.98</v>
      </c>
      <c r="J10" s="1">
        <v>0</v>
      </c>
      <c r="K10" s="46">
        <f>H10+I10-J10-Cement!S10</f>
        <v>16563.238749603199</v>
      </c>
      <c r="L10" s="39">
        <f t="shared" si="3"/>
        <v>2790.6600000000003</v>
      </c>
      <c r="M10" s="1">
        <v>43.14</v>
      </c>
      <c r="N10" s="269">
        <f>O10+'RAW MILL 2'!D10</f>
        <v>24</v>
      </c>
      <c r="O10" s="1">
        <v>22</v>
      </c>
      <c r="P10" s="9">
        <f t="shared" si="4"/>
        <v>2809.8</v>
      </c>
      <c r="Q10" s="39">
        <f t="shared" si="5"/>
        <v>3.999999999996362E-2</v>
      </c>
      <c r="R10" s="1">
        <v>0</v>
      </c>
      <c r="S10" s="269">
        <f>T10+'RAW MILL 2'!E10</f>
        <v>0</v>
      </c>
      <c r="T10" s="1">
        <v>0</v>
      </c>
      <c r="U10" s="9">
        <f t="shared" si="21"/>
        <v>3.999999999996362E-2</v>
      </c>
      <c r="V10" s="27">
        <f t="shared" si="17"/>
        <v>0</v>
      </c>
      <c r="W10" s="1">
        <v>0</v>
      </c>
      <c r="X10" s="1">
        <v>0</v>
      </c>
      <c r="Y10" s="27">
        <f t="shared" si="6"/>
        <v>0</v>
      </c>
      <c r="Z10" s="27">
        <f t="shared" si="18"/>
        <v>0</v>
      </c>
      <c r="AA10" s="1">
        <v>0</v>
      </c>
      <c r="AB10" s="1">
        <v>0</v>
      </c>
      <c r="AC10" s="27">
        <f t="shared" si="7"/>
        <v>0</v>
      </c>
      <c r="AD10" s="27">
        <f t="shared" si="19"/>
        <v>0</v>
      </c>
      <c r="AE10" s="1">
        <v>0</v>
      </c>
      <c r="AF10" s="1">
        <v>0</v>
      </c>
      <c r="AG10" s="27">
        <f t="shared" si="8"/>
        <v>0</v>
      </c>
      <c r="AH10" s="27">
        <f t="shared" si="20"/>
        <v>298.36</v>
      </c>
      <c r="AI10" s="26"/>
      <c r="AJ10" s="461">
        <f>AK10+'RAW MILL 2'!G10</f>
        <v>0</v>
      </c>
      <c r="AK10" s="26"/>
      <c r="AL10" s="27">
        <f t="shared" si="9"/>
        <v>298.36</v>
      </c>
      <c r="AM10" s="31">
        <f>D10+I10+M10+R10+W10+AA10+Cement!Q10+Cement!V10+AE10</f>
        <v>3004.86</v>
      </c>
      <c r="AN10" s="31">
        <f>E10+J10+N10+S10+X10+AB10+Clinker!E10+AF10+AK10</f>
        <v>2371</v>
      </c>
      <c r="AO10" s="1">
        <f>Production2!N10</f>
        <v>1986</v>
      </c>
      <c r="AP10" s="1">
        <f t="shared" si="10"/>
        <v>-385</v>
      </c>
      <c r="AQ10" s="293">
        <v>1959</v>
      </c>
      <c r="AR10" s="1"/>
      <c r="AS10" s="1"/>
      <c r="AT10" s="1"/>
      <c r="AU10" s="1"/>
      <c r="AV10" s="1">
        <f>D10+I10+M10+R10+Cement!Q10</f>
        <v>3004.86</v>
      </c>
      <c r="AW10" s="1">
        <f>AN10+Cement!R10-Clinker!E10</f>
        <v>2584.3584999999998</v>
      </c>
      <c r="AX10" s="1">
        <v>1612.0800000000002</v>
      </c>
      <c r="AY10" s="50">
        <f>AN10-Production2!N10</f>
        <v>385</v>
      </c>
      <c r="AZ10" s="52">
        <f t="shared" si="11"/>
        <v>2371</v>
      </c>
      <c r="BA10">
        <f t="shared" si="12"/>
        <v>2283</v>
      </c>
      <c r="BB10">
        <f t="shared" si="13"/>
        <v>857.34000000000015</v>
      </c>
      <c r="BC10">
        <f t="shared" si="14"/>
        <v>1566.98</v>
      </c>
      <c r="BD10">
        <v>640</v>
      </c>
      <c r="BE10">
        <f>(AN10-Production2!N10)/'Mines (2)'!AN10</f>
        <v>0.16237874314635176</v>
      </c>
      <c r="BF10">
        <f t="shared" si="15"/>
        <v>16.237874314635174</v>
      </c>
      <c r="BG10">
        <f t="shared" si="16"/>
        <v>2283</v>
      </c>
    </row>
    <row r="11" spans="2:59">
      <c r="B11" s="4">
        <v>9</v>
      </c>
      <c r="C11" s="39">
        <f t="shared" si="0"/>
        <v>3198.2031800029699</v>
      </c>
      <c r="D11" s="1">
        <v>2088.86</v>
      </c>
      <c r="E11" s="269">
        <f>F11+'RAW MILL 2'!C11</f>
        <v>2350</v>
      </c>
      <c r="F11" s="1">
        <v>2144</v>
      </c>
      <c r="G11" s="9">
        <f t="shared" si="1"/>
        <v>2937.0631800029696</v>
      </c>
      <c r="H11" s="39">
        <f t="shared" si="2"/>
        <v>16563.238749603199</v>
      </c>
      <c r="I11" s="1">
        <v>1077.6400000000001</v>
      </c>
      <c r="J11" s="1">
        <v>0</v>
      </c>
      <c r="K11" s="46">
        <f>H11+I11-J11-Cement!S11</f>
        <v>17345.734305158756</v>
      </c>
      <c r="L11" s="39">
        <f t="shared" si="3"/>
        <v>2809.8</v>
      </c>
      <c r="M11" s="1">
        <v>0</v>
      </c>
      <c r="N11" s="269">
        <f>O11+'RAW MILL 2'!D11</f>
        <v>37</v>
      </c>
      <c r="O11" s="1">
        <v>34</v>
      </c>
      <c r="P11" s="9">
        <f t="shared" si="4"/>
        <v>2772.8</v>
      </c>
      <c r="Q11" s="39">
        <f t="shared" si="5"/>
        <v>3.999999999996362E-2</v>
      </c>
      <c r="R11" s="1">
        <v>0</v>
      </c>
      <c r="S11" s="269">
        <f>T11+'RAW MILL 2'!E11</f>
        <v>0</v>
      </c>
      <c r="T11" s="1">
        <v>0</v>
      </c>
      <c r="U11" s="9">
        <f t="shared" si="21"/>
        <v>3.999999999996362E-2</v>
      </c>
      <c r="V11" s="27">
        <f t="shared" si="17"/>
        <v>0</v>
      </c>
      <c r="W11" s="1">
        <v>0</v>
      </c>
      <c r="X11" s="1">
        <v>0</v>
      </c>
      <c r="Y11" s="27">
        <f t="shared" si="6"/>
        <v>0</v>
      </c>
      <c r="Z11" s="27">
        <f t="shared" si="18"/>
        <v>0</v>
      </c>
      <c r="AA11" s="1">
        <v>0</v>
      </c>
      <c r="AB11" s="1">
        <v>0</v>
      </c>
      <c r="AC11" s="27">
        <f t="shared" si="7"/>
        <v>0</v>
      </c>
      <c r="AD11" s="27">
        <f t="shared" si="19"/>
        <v>0</v>
      </c>
      <c r="AE11" s="1">
        <v>0</v>
      </c>
      <c r="AF11" s="1">
        <v>0</v>
      </c>
      <c r="AG11" s="27">
        <f t="shared" si="8"/>
        <v>0</v>
      </c>
      <c r="AH11" s="27">
        <f t="shared" si="20"/>
        <v>298.36</v>
      </c>
      <c r="AI11" s="26"/>
      <c r="AJ11" s="461">
        <f>AK11+'RAW MILL 2'!G11</f>
        <v>0</v>
      </c>
      <c r="AK11" s="26"/>
      <c r="AL11" s="27">
        <f t="shared" si="9"/>
        <v>298.36</v>
      </c>
      <c r="AM11" s="31">
        <f>D11+I11+M11+R11+W11+AA11+Cement!Q11+Cement!V11+AE11</f>
        <v>3166.5</v>
      </c>
      <c r="AN11" s="31">
        <f>E11+J11+N11+S11+X11+AB11+Clinker!E11+AF11+AK11</f>
        <v>2460</v>
      </c>
      <c r="AO11" s="1">
        <f>Production2!N11</f>
        <v>2021</v>
      </c>
      <c r="AP11" s="1">
        <f t="shared" si="10"/>
        <v>-439</v>
      </c>
      <c r="AQ11" s="293">
        <v>3119</v>
      </c>
      <c r="AR11" s="1"/>
      <c r="AS11" s="1"/>
      <c r="AT11" s="1"/>
      <c r="AU11" s="1"/>
      <c r="AV11" s="1">
        <f>D11+I11+M11+R11+Cement!Q11</f>
        <v>3166.5</v>
      </c>
      <c r="AW11" s="1">
        <f>AN11+Cement!R11-Clinker!E11</f>
        <v>2652.6299999999992</v>
      </c>
      <c r="AX11" s="1">
        <v>2277.2599999999989</v>
      </c>
      <c r="AY11" s="50">
        <f>AN11-Production2!N11</f>
        <v>439</v>
      </c>
      <c r="AZ11" s="52">
        <f t="shared" si="11"/>
        <v>2460</v>
      </c>
      <c r="BA11">
        <f t="shared" si="12"/>
        <v>2350</v>
      </c>
      <c r="BB11">
        <f t="shared" si="13"/>
        <v>188.39999999999873</v>
      </c>
      <c r="BC11">
        <f t="shared" si="14"/>
        <v>459.86000000000024</v>
      </c>
      <c r="BD11">
        <v>617.77999999999986</v>
      </c>
      <c r="BE11">
        <f>(AN11-Production2!N11)/'Mines (2)'!AN11</f>
        <v>0.17845528455284554</v>
      </c>
      <c r="BF11">
        <f t="shared" si="15"/>
        <v>17.845528455284555</v>
      </c>
      <c r="BG11">
        <f t="shared" si="16"/>
        <v>2350</v>
      </c>
    </row>
    <row r="12" spans="2:59">
      <c r="B12" s="4">
        <v>10</v>
      </c>
      <c r="C12" s="39">
        <f t="shared" si="0"/>
        <v>2937.0631800029696</v>
      </c>
      <c r="D12" s="1">
        <v>2110.7399999999998</v>
      </c>
      <c r="E12" s="269">
        <f>F12+'RAW MILL 2'!C12</f>
        <v>1004</v>
      </c>
      <c r="F12" s="1">
        <v>828</v>
      </c>
      <c r="G12" s="9">
        <f t="shared" si="1"/>
        <v>4043.8031800029694</v>
      </c>
      <c r="H12" s="39">
        <f t="shared" si="2"/>
        <v>17345.734305158756</v>
      </c>
      <c r="I12" s="1">
        <v>993.96</v>
      </c>
      <c r="J12" s="1">
        <v>2000</v>
      </c>
      <c r="K12" s="46">
        <f>H12+I12-J12-Cement!S12</f>
        <v>15842.1054162652</v>
      </c>
      <c r="L12" s="39">
        <f t="shared" si="3"/>
        <v>2772.8</v>
      </c>
      <c r="M12" s="1">
        <v>292.89999999999998</v>
      </c>
      <c r="N12" s="269">
        <f>O12+'RAW MILL 2'!D12</f>
        <v>64</v>
      </c>
      <c r="O12" s="1">
        <v>60</v>
      </c>
      <c r="P12" s="9">
        <f t="shared" si="4"/>
        <v>3001.7000000000003</v>
      </c>
      <c r="Q12" s="39">
        <f t="shared" si="5"/>
        <v>3.999999999996362E-2</v>
      </c>
      <c r="R12" s="1">
        <v>0</v>
      </c>
      <c r="S12" s="269">
        <f>T12+'RAW MILL 2'!E12</f>
        <v>0</v>
      </c>
      <c r="T12" s="1">
        <v>0</v>
      </c>
      <c r="U12" s="9">
        <f t="shared" si="21"/>
        <v>3.999999999996362E-2</v>
      </c>
      <c r="V12" s="27">
        <f t="shared" si="17"/>
        <v>0</v>
      </c>
      <c r="W12" s="1">
        <v>0</v>
      </c>
      <c r="X12" s="1">
        <v>0</v>
      </c>
      <c r="Y12" s="27">
        <f t="shared" si="6"/>
        <v>0</v>
      </c>
      <c r="Z12" s="27">
        <f t="shared" si="18"/>
        <v>0</v>
      </c>
      <c r="AA12" s="1">
        <v>0</v>
      </c>
      <c r="AB12" s="1">
        <v>0</v>
      </c>
      <c r="AC12" s="27">
        <f t="shared" si="7"/>
        <v>0</v>
      </c>
      <c r="AD12" s="27">
        <f t="shared" si="19"/>
        <v>0</v>
      </c>
      <c r="AE12" s="1">
        <v>0</v>
      </c>
      <c r="AF12" s="1">
        <v>0</v>
      </c>
      <c r="AG12" s="27">
        <f t="shared" si="8"/>
        <v>0</v>
      </c>
      <c r="AH12" s="27">
        <f t="shared" si="20"/>
        <v>298.36</v>
      </c>
      <c r="AI12" s="26"/>
      <c r="AJ12" s="461">
        <f>AK12+'RAW MILL 2'!G12</f>
        <v>0</v>
      </c>
      <c r="AK12" s="26"/>
      <c r="AL12" s="27">
        <f t="shared" si="9"/>
        <v>298.36</v>
      </c>
      <c r="AM12" s="31">
        <f>D12+I12+M12+R12+W12+AA12+Cement!Q12+Cement!V12+AE12</f>
        <v>3397.6</v>
      </c>
      <c r="AN12" s="31">
        <f>E12+J12+N12+S12+X12+AB12+Clinker!E12+AF12+AK12</f>
        <v>3163</v>
      </c>
      <c r="AO12" s="1">
        <f>Production2!N12</f>
        <v>2681</v>
      </c>
      <c r="AP12" s="1">
        <f t="shared" si="10"/>
        <v>-482</v>
      </c>
      <c r="AQ12" s="293">
        <v>3017</v>
      </c>
      <c r="AR12" s="1"/>
      <c r="AS12" s="1"/>
      <c r="AT12" s="1"/>
      <c r="AU12" s="1"/>
      <c r="AV12" s="1">
        <f>D12+I12+M12+R12+Cement!Q12</f>
        <v>3397.6</v>
      </c>
      <c r="AW12" s="1">
        <f>AN12+Cement!R12-Clinker!E12</f>
        <v>3515.8300000041991</v>
      </c>
      <c r="AX12" s="1">
        <v>400.6400000000001</v>
      </c>
      <c r="AY12" s="50">
        <f>AN12-Production2!N12</f>
        <v>482</v>
      </c>
      <c r="AZ12" s="52">
        <f t="shared" si="11"/>
        <v>3163</v>
      </c>
      <c r="BA12">
        <f t="shared" si="12"/>
        <v>3004</v>
      </c>
      <c r="BB12">
        <f t="shared" si="13"/>
        <v>-1710.0999999999997</v>
      </c>
      <c r="BC12">
        <f t="shared" si="14"/>
        <v>-148.62000000000012</v>
      </c>
      <c r="BD12">
        <v>1142.5800000000002</v>
      </c>
      <c r="BE12">
        <f>(AN12-Production2!N12)/'Mines (2)'!AN12</f>
        <v>0.15238697439140056</v>
      </c>
      <c r="BF12">
        <f t="shared" si="15"/>
        <v>15.238697439140056</v>
      </c>
      <c r="BG12">
        <f t="shared" si="16"/>
        <v>3004</v>
      </c>
    </row>
    <row r="13" spans="2:59" ht="17.25" customHeight="1">
      <c r="B13" s="4">
        <v>11</v>
      </c>
      <c r="C13" s="39">
        <f t="shared" si="0"/>
        <v>4043.8031800029694</v>
      </c>
      <c r="D13" s="1">
        <v>1341.1</v>
      </c>
      <c r="E13" s="269">
        <f>F13+'RAW MILL 2'!C13</f>
        <v>1132</v>
      </c>
      <c r="F13" s="1">
        <v>944</v>
      </c>
      <c r="G13" s="9">
        <f t="shared" si="1"/>
        <v>4252.9031800029697</v>
      </c>
      <c r="H13" s="39">
        <f t="shared" si="2"/>
        <v>15842.1054162652</v>
      </c>
      <c r="I13" s="1">
        <v>1452.6</v>
      </c>
      <c r="J13" s="1">
        <v>1000</v>
      </c>
      <c r="K13" s="46">
        <f>H13+I13-J13-Cement!S13</f>
        <v>15772.483194042959</v>
      </c>
      <c r="L13" s="39">
        <f t="shared" si="3"/>
        <v>3001.7000000000003</v>
      </c>
      <c r="M13" s="1">
        <v>299.16000000000003</v>
      </c>
      <c r="N13" s="269">
        <f>O13+'RAW MILL 2'!D13</f>
        <v>54</v>
      </c>
      <c r="O13" s="1">
        <v>49</v>
      </c>
      <c r="P13" s="9">
        <f t="shared" si="4"/>
        <v>3246.86</v>
      </c>
      <c r="Q13" s="39">
        <f t="shared" si="5"/>
        <v>3.999999999996362E-2</v>
      </c>
      <c r="R13" s="1">
        <v>0</v>
      </c>
      <c r="S13" s="269">
        <f>T13+'RAW MILL 2'!E13</f>
        <v>0</v>
      </c>
      <c r="T13" s="1">
        <v>0</v>
      </c>
      <c r="U13" s="9">
        <f t="shared" si="21"/>
        <v>3.999999999996362E-2</v>
      </c>
      <c r="V13" s="27">
        <f t="shared" si="17"/>
        <v>0</v>
      </c>
      <c r="W13" s="1">
        <v>0</v>
      </c>
      <c r="X13" s="1">
        <v>0</v>
      </c>
      <c r="Y13" s="27">
        <f t="shared" si="6"/>
        <v>0</v>
      </c>
      <c r="Z13" s="27">
        <f t="shared" si="18"/>
        <v>0</v>
      </c>
      <c r="AA13" s="1">
        <v>0</v>
      </c>
      <c r="AB13" s="1">
        <v>0</v>
      </c>
      <c r="AC13" s="27">
        <f t="shared" si="7"/>
        <v>0</v>
      </c>
      <c r="AD13" s="27">
        <f t="shared" si="19"/>
        <v>0</v>
      </c>
      <c r="AE13" s="1">
        <v>0</v>
      </c>
      <c r="AF13" s="1">
        <v>0</v>
      </c>
      <c r="AG13" s="27">
        <f t="shared" si="8"/>
        <v>0</v>
      </c>
      <c r="AH13" s="27">
        <f t="shared" si="20"/>
        <v>298.36</v>
      </c>
      <c r="AI13" s="26"/>
      <c r="AJ13" s="461">
        <f>AK13+'RAW MILL 2'!G13</f>
        <v>0</v>
      </c>
      <c r="AK13" s="26"/>
      <c r="AL13" s="27">
        <f t="shared" si="9"/>
        <v>298.36</v>
      </c>
      <c r="AM13" s="31">
        <f>D13+I13+M13+R13+W13+AA13+Cement!Q13+Cement!V13+AE13</f>
        <v>3092.8599999999997</v>
      </c>
      <c r="AN13" s="31">
        <f>E13+J13+N13+S13+X13+AB13+Clinker!E13+AF13+AK13</f>
        <v>2233</v>
      </c>
      <c r="AO13" s="1">
        <f>Production2!N13</f>
        <v>1832</v>
      </c>
      <c r="AP13" s="1">
        <f t="shared" si="10"/>
        <v>-401</v>
      </c>
      <c r="AQ13" s="293">
        <v>3256</v>
      </c>
      <c r="AR13" s="1"/>
      <c r="AS13" s="1"/>
      <c r="AT13" s="1"/>
      <c r="AU13" s="1"/>
      <c r="AV13" s="1">
        <f>D13+I13+M13+R13+Cement!Q13</f>
        <v>3092.8599999999997</v>
      </c>
      <c r="AW13" s="1">
        <f>AN13+Cement!R13-Clinker!E13</f>
        <v>2656.0000000000146</v>
      </c>
      <c r="AX13" s="1">
        <v>1843.24</v>
      </c>
      <c r="AY13" s="50">
        <f>AN13-Production2!N13</f>
        <v>401</v>
      </c>
      <c r="AZ13" s="52">
        <f t="shared" si="11"/>
        <v>2233</v>
      </c>
      <c r="BA13">
        <f t="shared" si="12"/>
        <v>2132</v>
      </c>
      <c r="BB13">
        <f t="shared" si="13"/>
        <v>502.1400000000001</v>
      </c>
      <c r="BC13">
        <f t="shared" si="14"/>
        <v>359.11999999999966</v>
      </c>
      <c r="BD13">
        <v>1093.4800000000002</v>
      </c>
      <c r="BE13">
        <f>(AN13-Production2!N13)/'Mines (2)'!AN13</f>
        <v>0.17957904164800717</v>
      </c>
      <c r="BF13">
        <f t="shared" si="15"/>
        <v>17.957904164800716</v>
      </c>
      <c r="BG13">
        <f t="shared" si="16"/>
        <v>2132</v>
      </c>
    </row>
    <row r="14" spans="2:59">
      <c r="B14" s="4">
        <v>12</v>
      </c>
      <c r="C14" s="39">
        <f t="shared" si="0"/>
        <v>4252.9031800029697</v>
      </c>
      <c r="D14" s="1">
        <v>1398.06</v>
      </c>
      <c r="E14" s="269">
        <f>F14+'RAW MILL 2'!C14</f>
        <v>628</v>
      </c>
      <c r="F14" s="1">
        <v>458</v>
      </c>
      <c r="G14" s="9">
        <f t="shared" si="1"/>
        <v>5022.9631800029692</v>
      </c>
      <c r="H14" s="39">
        <f t="shared" si="2"/>
        <v>15772.483194042959</v>
      </c>
      <c r="I14" s="1">
        <v>1054.4000000000001</v>
      </c>
      <c r="J14" s="1">
        <v>2000</v>
      </c>
      <c r="K14" s="46">
        <f>H14+I14-J14-Cement!S14</f>
        <v>14342.587639822959</v>
      </c>
      <c r="L14" s="39">
        <f t="shared" si="3"/>
        <v>3246.86</v>
      </c>
      <c r="M14" s="1">
        <v>0</v>
      </c>
      <c r="N14" s="269">
        <f>O14+'RAW MILL 2'!D14</f>
        <v>67</v>
      </c>
      <c r="O14" s="1">
        <v>62</v>
      </c>
      <c r="P14" s="9">
        <f t="shared" si="4"/>
        <v>3179.86</v>
      </c>
      <c r="Q14" s="39">
        <f t="shared" si="5"/>
        <v>3.999999999996362E-2</v>
      </c>
      <c r="R14" s="1">
        <v>0</v>
      </c>
      <c r="S14" s="269">
        <f>T14+'RAW MILL 2'!E14</f>
        <v>0</v>
      </c>
      <c r="T14" s="1">
        <v>0</v>
      </c>
      <c r="U14" s="9">
        <f t="shared" si="21"/>
        <v>3.999999999996362E-2</v>
      </c>
      <c r="V14" s="27">
        <f t="shared" si="17"/>
        <v>0</v>
      </c>
      <c r="W14" s="1">
        <v>0</v>
      </c>
      <c r="X14" s="1">
        <v>0</v>
      </c>
      <c r="Y14" s="27">
        <f t="shared" si="6"/>
        <v>0</v>
      </c>
      <c r="Z14" s="27">
        <f t="shared" si="18"/>
        <v>0</v>
      </c>
      <c r="AA14" s="1">
        <v>0</v>
      </c>
      <c r="AB14" s="1">
        <v>0</v>
      </c>
      <c r="AC14" s="27">
        <f t="shared" si="7"/>
        <v>0</v>
      </c>
      <c r="AD14" s="27">
        <f t="shared" si="19"/>
        <v>0</v>
      </c>
      <c r="AE14" s="1">
        <v>0</v>
      </c>
      <c r="AF14" s="1">
        <v>0</v>
      </c>
      <c r="AG14" s="27">
        <f t="shared" si="8"/>
        <v>0</v>
      </c>
      <c r="AH14" s="27">
        <f t="shared" si="20"/>
        <v>298.36</v>
      </c>
      <c r="AI14" s="26"/>
      <c r="AJ14" s="461">
        <f>AK14+'RAW MILL 2'!G14</f>
        <v>0</v>
      </c>
      <c r="AK14" s="26"/>
      <c r="AL14" s="27">
        <f t="shared" si="9"/>
        <v>298.36</v>
      </c>
      <c r="AM14" s="31">
        <f>D14+I14+M14+R14+W14+AA14+Cement!Q14+Cement!V14+AE14</f>
        <v>2452.46</v>
      </c>
      <c r="AN14" s="31">
        <f>E14+J14+N14+S14+X14+AB14+Clinker!E14+AF14+AK14</f>
        <v>2754</v>
      </c>
      <c r="AO14" s="1">
        <f>Production2!N14</f>
        <v>2318</v>
      </c>
      <c r="AP14" s="1">
        <f t="shared" si="10"/>
        <v>-436</v>
      </c>
      <c r="AQ14" s="293">
        <v>3209</v>
      </c>
      <c r="AR14" s="1"/>
      <c r="AS14" s="1"/>
      <c r="AT14" s="1"/>
      <c r="AU14" s="1"/>
      <c r="AV14" s="1">
        <f>D14+I14+M14+R14+Cement!Q14</f>
        <v>2452.46</v>
      </c>
      <c r="AW14" s="1">
        <f>AN14+Cement!R14-Clinker!E14</f>
        <v>3130.865998798</v>
      </c>
      <c r="AX14" s="1">
        <v>665.75999999999988</v>
      </c>
      <c r="AY14" s="50">
        <f>AN14-Production2!N14</f>
        <v>436</v>
      </c>
      <c r="AZ14" s="52">
        <f t="shared" si="11"/>
        <v>2754</v>
      </c>
      <c r="BA14">
        <f t="shared" si="12"/>
        <v>2628</v>
      </c>
      <c r="BB14">
        <f t="shared" si="13"/>
        <v>-732.30000000000007</v>
      </c>
      <c r="BC14">
        <f t="shared" si="14"/>
        <v>-131.02000000000021</v>
      </c>
      <c r="BD14">
        <v>1185.4200000000003</v>
      </c>
      <c r="BE14">
        <f>(AN14-Production2!N14)/'Mines (2)'!AN14</f>
        <v>0.15831517792302105</v>
      </c>
      <c r="BF14">
        <f t="shared" si="15"/>
        <v>15.831517792302105</v>
      </c>
      <c r="BG14">
        <f t="shared" si="16"/>
        <v>2628</v>
      </c>
    </row>
    <row r="15" spans="2:59">
      <c r="B15" s="4">
        <v>13</v>
      </c>
      <c r="C15" s="39">
        <f t="shared" si="0"/>
        <v>5022.9631800029692</v>
      </c>
      <c r="D15" s="1">
        <v>717.94</v>
      </c>
      <c r="E15" s="269">
        <f>F15+'RAW MILL 2'!C15</f>
        <v>1071</v>
      </c>
      <c r="F15" s="1">
        <v>930</v>
      </c>
      <c r="G15" s="9">
        <f t="shared" si="1"/>
        <v>4669.9031800029697</v>
      </c>
      <c r="H15" s="39">
        <f t="shared" si="2"/>
        <v>14342.587639822959</v>
      </c>
      <c r="I15" s="1">
        <v>1817.94</v>
      </c>
      <c r="J15" s="1">
        <v>1000</v>
      </c>
      <c r="K15" s="46">
        <f>H15+I15-J15-Cement!S15</f>
        <v>14625.63875249496</v>
      </c>
      <c r="L15" s="39">
        <f t="shared" si="3"/>
        <v>3179.86</v>
      </c>
      <c r="M15" s="1">
        <v>0</v>
      </c>
      <c r="N15" s="269">
        <f>O15+'RAW MILL 2'!D15</f>
        <v>54</v>
      </c>
      <c r="O15" s="1">
        <v>50</v>
      </c>
      <c r="P15" s="9">
        <f t="shared" si="4"/>
        <v>3125.86</v>
      </c>
      <c r="Q15" s="39">
        <f t="shared" si="5"/>
        <v>3.999999999996362E-2</v>
      </c>
      <c r="R15" s="1">
        <v>0</v>
      </c>
      <c r="S15" s="269">
        <f>T15+'RAW MILL 2'!E15</f>
        <v>0</v>
      </c>
      <c r="T15" s="1">
        <v>0</v>
      </c>
      <c r="U15" s="9">
        <f t="shared" si="21"/>
        <v>3.999999999996362E-2</v>
      </c>
      <c r="V15" s="27">
        <f t="shared" si="17"/>
        <v>0</v>
      </c>
      <c r="W15" s="1">
        <v>0</v>
      </c>
      <c r="X15" s="1">
        <v>0</v>
      </c>
      <c r="Y15" s="27">
        <f t="shared" si="6"/>
        <v>0</v>
      </c>
      <c r="Z15" s="27">
        <f t="shared" si="18"/>
        <v>0</v>
      </c>
      <c r="AA15" s="1">
        <v>0</v>
      </c>
      <c r="AB15" s="1">
        <v>0</v>
      </c>
      <c r="AC15" s="27">
        <f t="shared" si="7"/>
        <v>0</v>
      </c>
      <c r="AD15" s="27">
        <f t="shared" si="19"/>
        <v>0</v>
      </c>
      <c r="AE15" s="1">
        <v>0</v>
      </c>
      <c r="AF15" s="1">
        <v>0</v>
      </c>
      <c r="AG15" s="27">
        <f t="shared" si="8"/>
        <v>0</v>
      </c>
      <c r="AH15" s="27">
        <f t="shared" si="20"/>
        <v>298.36</v>
      </c>
      <c r="AI15" s="26"/>
      <c r="AJ15" s="461">
        <f>AK15+'RAW MILL 2'!G15</f>
        <v>0</v>
      </c>
      <c r="AK15" s="26"/>
      <c r="AL15" s="27">
        <f t="shared" si="9"/>
        <v>298.36</v>
      </c>
      <c r="AM15" s="31">
        <f>D15+I15+M15+R15+W15+AA15+Cement!Q15+Cement!V15+AE15</f>
        <v>2535.88</v>
      </c>
      <c r="AN15" s="31">
        <f>E15+J15+N15+S15+X15+AB15+Clinker!E15+AF15+AK15</f>
        <v>2171</v>
      </c>
      <c r="AO15" s="1">
        <f>Production2!N15</f>
        <v>1820</v>
      </c>
      <c r="AP15" s="1">
        <f t="shared" si="10"/>
        <v>-351</v>
      </c>
      <c r="AQ15" s="293">
        <v>3075</v>
      </c>
      <c r="AR15" s="1"/>
      <c r="AS15" s="1"/>
      <c r="AT15" s="1"/>
      <c r="AU15" s="1"/>
      <c r="AV15" s="1">
        <f>D15+I15+M15+R15+Cement!Q15</f>
        <v>2535.88</v>
      </c>
      <c r="AW15" s="1">
        <f>AN15+Cement!R15-Clinker!E15</f>
        <v>2606.3999985952</v>
      </c>
      <c r="AX15" s="1">
        <v>776.72</v>
      </c>
      <c r="AY15" s="50">
        <f>AN15-Production2!N15</f>
        <v>351</v>
      </c>
      <c r="AZ15" s="52">
        <f t="shared" si="11"/>
        <v>2171</v>
      </c>
      <c r="BA15">
        <f t="shared" si="12"/>
        <v>2071</v>
      </c>
      <c r="BB15">
        <f t="shared" si="13"/>
        <v>58.779999999999973</v>
      </c>
      <c r="BC15">
        <f t="shared" si="14"/>
        <v>597.42000000000053</v>
      </c>
      <c r="BD15">
        <v>1220.5199999999995</v>
      </c>
      <c r="BE15">
        <f>(AN15-Production2!N15)/'Mines (2)'!AN15</f>
        <v>0.16167664670658682</v>
      </c>
      <c r="BF15">
        <f t="shared" si="15"/>
        <v>16.167664670658681</v>
      </c>
      <c r="BG15">
        <f t="shared" si="16"/>
        <v>2071</v>
      </c>
    </row>
    <row r="16" spans="2:59">
      <c r="B16" s="4">
        <v>14</v>
      </c>
      <c r="C16" s="39">
        <f t="shared" si="0"/>
        <v>4669.9031800029697</v>
      </c>
      <c r="D16" s="1">
        <v>1782.02</v>
      </c>
      <c r="E16" s="269">
        <f>F16+'RAW MILL 2'!C16</f>
        <v>1135</v>
      </c>
      <c r="F16" s="1">
        <v>967</v>
      </c>
      <c r="G16" s="9">
        <f t="shared" si="1"/>
        <v>5316.9231800029702</v>
      </c>
      <c r="H16" s="39">
        <f t="shared" si="2"/>
        <v>14625.63875249496</v>
      </c>
      <c r="I16" s="1">
        <v>2027.96</v>
      </c>
      <c r="J16" s="1">
        <v>1000</v>
      </c>
      <c r="K16" s="46">
        <f>H16+I16-J16-Cement!S16</f>
        <v>15166.243196940261</v>
      </c>
      <c r="L16" s="39">
        <f t="shared" si="3"/>
        <v>3125.86</v>
      </c>
      <c r="M16" s="1">
        <v>0</v>
      </c>
      <c r="N16" s="269">
        <f>O16+'RAW MILL 2'!D16</f>
        <v>49</v>
      </c>
      <c r="O16" s="1">
        <v>45</v>
      </c>
      <c r="P16" s="9">
        <f t="shared" si="4"/>
        <v>3076.86</v>
      </c>
      <c r="Q16" s="39">
        <f t="shared" si="5"/>
        <v>3.999999999996362E-2</v>
      </c>
      <c r="R16" s="1">
        <v>0</v>
      </c>
      <c r="S16" s="269">
        <f>T16+'RAW MILL 2'!E16</f>
        <v>0</v>
      </c>
      <c r="T16" s="1">
        <v>0</v>
      </c>
      <c r="U16" s="9">
        <f t="shared" si="21"/>
        <v>3.999999999996362E-2</v>
      </c>
      <c r="V16" s="27">
        <f t="shared" si="17"/>
        <v>0</v>
      </c>
      <c r="W16" s="1">
        <v>0</v>
      </c>
      <c r="X16" s="1">
        <v>0</v>
      </c>
      <c r="Y16" s="27">
        <f t="shared" si="6"/>
        <v>0</v>
      </c>
      <c r="Z16" s="27">
        <f t="shared" si="18"/>
        <v>0</v>
      </c>
      <c r="AA16" s="1">
        <v>0</v>
      </c>
      <c r="AB16" s="1">
        <v>0</v>
      </c>
      <c r="AC16" s="27">
        <f t="shared" si="7"/>
        <v>0</v>
      </c>
      <c r="AD16" s="27">
        <f t="shared" si="19"/>
        <v>0</v>
      </c>
      <c r="AE16" s="1">
        <v>0</v>
      </c>
      <c r="AF16" s="1">
        <v>0</v>
      </c>
      <c r="AG16" s="27">
        <f t="shared" si="8"/>
        <v>0</v>
      </c>
      <c r="AH16" s="27">
        <f t="shared" si="20"/>
        <v>298.36</v>
      </c>
      <c r="AI16" s="26"/>
      <c r="AJ16" s="461">
        <f>AK16+'RAW MILL 2'!G16</f>
        <v>0</v>
      </c>
      <c r="AK16" s="26"/>
      <c r="AL16" s="27">
        <f t="shared" si="9"/>
        <v>298.36</v>
      </c>
      <c r="AM16" s="31">
        <f>D16+I16+M16+R16+W16+AA16+Cement!Q16+Cement!V16+AE16</f>
        <v>3809.98</v>
      </c>
      <c r="AN16" s="31">
        <f>E16+J16+N16+S16+X16+AB16+Clinker!E16+AF16+AK16</f>
        <v>2245</v>
      </c>
      <c r="AO16" s="1">
        <f>Production2!N16</f>
        <v>1862</v>
      </c>
      <c r="AP16" s="1">
        <f>AO16-AN16</f>
        <v>-383</v>
      </c>
      <c r="AQ16" s="293">
        <v>2456</v>
      </c>
      <c r="AR16" s="1"/>
      <c r="AS16" s="1"/>
      <c r="AT16" s="1"/>
      <c r="AU16" s="1"/>
      <c r="AV16" s="1">
        <f>D16+I16+M16+R16+Cement!Q16</f>
        <v>3809.98</v>
      </c>
      <c r="AW16" s="1">
        <f>AN16+Cement!R16-Clinker!E16</f>
        <v>2622.6199999992295</v>
      </c>
      <c r="AX16" s="1">
        <v>1682.0600000000006</v>
      </c>
      <c r="AY16" s="50">
        <f>AN16-Production2!N16</f>
        <v>383</v>
      </c>
      <c r="AZ16" s="52">
        <f t="shared" si="11"/>
        <v>2245</v>
      </c>
      <c r="BA16">
        <f t="shared" si="12"/>
        <v>2135</v>
      </c>
      <c r="BB16">
        <f t="shared" si="13"/>
        <v>-99.959999999999354</v>
      </c>
      <c r="BC16">
        <f t="shared" si="14"/>
        <v>969.80000000000018</v>
      </c>
      <c r="BD16">
        <v>1058.1599999999999</v>
      </c>
      <c r="BE16">
        <f>(AN16-Production2!N16)/'Mines (2)'!AN16</f>
        <v>0.17060133630289531</v>
      </c>
      <c r="BF16">
        <f t="shared" si="15"/>
        <v>17.060133630289531</v>
      </c>
      <c r="BG16">
        <f t="shared" si="16"/>
        <v>2135</v>
      </c>
    </row>
    <row r="17" spans="2:59">
      <c r="B17" s="4">
        <v>15</v>
      </c>
      <c r="C17" s="39">
        <f t="shared" si="0"/>
        <v>5316.9231800029702</v>
      </c>
      <c r="D17" s="1">
        <v>1714.3</v>
      </c>
      <c r="E17" s="269">
        <f>F17+'RAW MILL 2'!C17</f>
        <v>455</v>
      </c>
      <c r="F17" s="1">
        <v>388</v>
      </c>
      <c r="G17" s="9">
        <f t="shared" si="1"/>
        <v>6576.2231800029704</v>
      </c>
      <c r="H17" s="39">
        <f t="shared" si="2"/>
        <v>15166.243196940261</v>
      </c>
      <c r="I17" s="1">
        <v>1977.68</v>
      </c>
      <c r="J17" s="1">
        <v>2000</v>
      </c>
      <c r="K17" s="46">
        <f>H17+I17-J17-Cement!S17</f>
        <v>14709.156530273596</v>
      </c>
      <c r="L17" s="39">
        <f t="shared" si="3"/>
        <v>3076.86</v>
      </c>
      <c r="M17" s="1">
        <v>182.56</v>
      </c>
      <c r="N17" s="269">
        <f>O17+'RAW MILL 2'!D17</f>
        <v>48</v>
      </c>
      <c r="O17" s="1">
        <v>47</v>
      </c>
      <c r="P17" s="9">
        <f t="shared" si="4"/>
        <v>3211.42</v>
      </c>
      <c r="Q17" s="39">
        <f t="shared" si="5"/>
        <v>3.999999999996362E-2</v>
      </c>
      <c r="R17" s="1">
        <v>0</v>
      </c>
      <c r="S17" s="269">
        <f>T17+'RAW MILL 2'!E17</f>
        <v>0</v>
      </c>
      <c r="T17" s="1">
        <v>0</v>
      </c>
      <c r="U17" s="9">
        <f t="shared" si="21"/>
        <v>3.999999999996362E-2</v>
      </c>
      <c r="V17" s="27">
        <f t="shared" si="17"/>
        <v>0</v>
      </c>
      <c r="W17" s="1">
        <v>0</v>
      </c>
      <c r="X17" s="1">
        <v>0</v>
      </c>
      <c r="Y17" s="27">
        <f t="shared" si="6"/>
        <v>0</v>
      </c>
      <c r="Z17" s="27">
        <f t="shared" si="18"/>
        <v>0</v>
      </c>
      <c r="AA17" s="1">
        <v>0</v>
      </c>
      <c r="AB17" s="1">
        <v>0</v>
      </c>
      <c r="AC17" s="27">
        <f t="shared" si="7"/>
        <v>0</v>
      </c>
      <c r="AD17" s="27">
        <f t="shared" si="19"/>
        <v>0</v>
      </c>
      <c r="AE17" s="1">
        <v>0</v>
      </c>
      <c r="AF17" s="1">
        <v>0</v>
      </c>
      <c r="AG17" s="27">
        <f t="shared" si="8"/>
        <v>0</v>
      </c>
      <c r="AH17" s="27">
        <f t="shared" si="20"/>
        <v>298.36</v>
      </c>
      <c r="AI17" s="26"/>
      <c r="AJ17" s="461">
        <f>AK17+'RAW MILL 2'!G17</f>
        <v>0</v>
      </c>
      <c r="AK17" s="26"/>
      <c r="AL17" s="27">
        <f t="shared" si="9"/>
        <v>298.36</v>
      </c>
      <c r="AM17" s="31">
        <f>D17+I17+M17+R17+W17+AA17+Cement!Q17+Cement!V17+AE17</f>
        <v>3874.54</v>
      </c>
      <c r="AN17" s="31">
        <f>E17+J17+N17+S17+X17+AB17+Clinker!E17+AF17+AK17</f>
        <v>2566</v>
      </c>
      <c r="AO17" s="1">
        <f>Production2!N17</f>
        <v>2247</v>
      </c>
      <c r="AP17" s="1">
        <f t="shared" ref="AP17:AP32" si="22">AO17-AN17</f>
        <v>-319</v>
      </c>
      <c r="AQ17" s="293">
        <v>2956</v>
      </c>
      <c r="AR17" s="1">
        <f>E17/AO17</f>
        <v>0.20249221183800623</v>
      </c>
      <c r="AS17" s="1">
        <f>J17/AO17</f>
        <v>0.89007565643079667</v>
      </c>
      <c r="AT17" s="1">
        <f>N17/AO17</f>
        <v>2.1361815754339118E-2</v>
      </c>
      <c r="AU17" s="1">
        <f>S17/AO17</f>
        <v>0</v>
      </c>
      <c r="AV17" s="1">
        <f>D17+I17+M17+R17+Cement!Q17</f>
        <v>3874.54</v>
      </c>
      <c r="AW17" s="1">
        <f>AN17+Cement!R17-Clinker!E17</f>
        <v>2894.2899999999986</v>
      </c>
      <c r="AX17" s="1">
        <v>593.67999999999995</v>
      </c>
      <c r="AY17" s="50">
        <f>AN17-Production2!N17</f>
        <v>319</v>
      </c>
      <c r="AZ17" s="52">
        <f t="shared" si="11"/>
        <v>2566</v>
      </c>
      <c r="BA17">
        <f t="shared" si="12"/>
        <v>2455</v>
      </c>
      <c r="BB17">
        <f t="shared" si="13"/>
        <v>-1120.6199999999999</v>
      </c>
      <c r="BC17">
        <f t="shared" si="14"/>
        <v>1406.76</v>
      </c>
      <c r="BD17">
        <v>570.92000000000007</v>
      </c>
      <c r="BE17">
        <f>(AN17-Production2!N17)/'Mines (2)'!AN17</f>
        <v>0.12431800467653936</v>
      </c>
      <c r="BF17">
        <f t="shared" si="15"/>
        <v>12.431800467653936</v>
      </c>
      <c r="BG17">
        <f t="shared" si="16"/>
        <v>2455</v>
      </c>
    </row>
    <row r="18" spans="2:59">
      <c r="B18" s="4">
        <v>16</v>
      </c>
      <c r="C18" s="39">
        <f t="shared" si="0"/>
        <v>6576.2231800029704</v>
      </c>
      <c r="D18" s="1">
        <v>873.52</v>
      </c>
      <c r="E18" s="269">
        <f>F18+'RAW MILL 2'!C18</f>
        <v>547</v>
      </c>
      <c r="F18" s="1">
        <v>547</v>
      </c>
      <c r="G18" s="9">
        <f t="shared" si="1"/>
        <v>6902.7431800029699</v>
      </c>
      <c r="H18" s="39">
        <f t="shared" si="2"/>
        <v>14709.156530273596</v>
      </c>
      <c r="I18" s="1">
        <v>1328.24</v>
      </c>
      <c r="J18" s="1">
        <v>2000</v>
      </c>
      <c r="K18" s="46">
        <f>H18+I18-J18-Cement!S18</f>
        <v>13529.552085829153</v>
      </c>
      <c r="L18" s="39">
        <f t="shared" si="3"/>
        <v>3211.42</v>
      </c>
      <c r="M18" s="1">
        <v>133.88</v>
      </c>
      <c r="N18" s="269">
        <f>O18+'RAW MILL 2'!D18</f>
        <v>56</v>
      </c>
      <c r="O18" s="1">
        <v>56</v>
      </c>
      <c r="P18" s="9">
        <f t="shared" si="4"/>
        <v>3289.3</v>
      </c>
      <c r="Q18" s="39">
        <f t="shared" si="5"/>
        <v>3.999999999996362E-2</v>
      </c>
      <c r="R18" s="1">
        <v>0</v>
      </c>
      <c r="S18" s="269">
        <f>T18+'RAW MILL 2'!E18</f>
        <v>0</v>
      </c>
      <c r="T18" s="1">
        <v>0</v>
      </c>
      <c r="U18" s="9">
        <f t="shared" si="21"/>
        <v>3.999999999996362E-2</v>
      </c>
      <c r="V18" s="27">
        <f t="shared" si="17"/>
        <v>0</v>
      </c>
      <c r="W18" s="1">
        <v>0</v>
      </c>
      <c r="X18" s="1">
        <v>0</v>
      </c>
      <c r="Y18" s="27">
        <f t="shared" si="6"/>
        <v>0</v>
      </c>
      <c r="Z18" s="27">
        <f t="shared" si="18"/>
        <v>0</v>
      </c>
      <c r="AA18" s="1">
        <v>0</v>
      </c>
      <c r="AB18" s="1">
        <v>0</v>
      </c>
      <c r="AC18" s="27">
        <f t="shared" si="7"/>
        <v>0</v>
      </c>
      <c r="AD18" s="27">
        <f t="shared" si="19"/>
        <v>0</v>
      </c>
      <c r="AE18" s="1">
        <v>0</v>
      </c>
      <c r="AF18" s="1">
        <v>0</v>
      </c>
      <c r="AG18" s="27">
        <f t="shared" si="8"/>
        <v>0</v>
      </c>
      <c r="AH18" s="27">
        <f t="shared" si="20"/>
        <v>298.36</v>
      </c>
      <c r="AI18" s="26"/>
      <c r="AJ18" s="461">
        <f>AK18+'RAW MILL 2'!G18</f>
        <v>0</v>
      </c>
      <c r="AK18" s="26"/>
      <c r="AL18" s="27">
        <f t="shared" si="9"/>
        <v>298.36</v>
      </c>
      <c r="AM18" s="31">
        <f>D18+I18+M18+R18+W18+AA18+Cement!Q18+Cement!V18+AE18</f>
        <v>2335.6400000000003</v>
      </c>
      <c r="AN18" s="31">
        <f>E18+J18+N18+S18+X18+AB18+Clinker!E18+AF18+AK18</f>
        <v>2675</v>
      </c>
      <c r="AO18" s="1">
        <f>Production2!N18</f>
        <v>2409.66</v>
      </c>
      <c r="AP18" s="1">
        <f t="shared" si="22"/>
        <v>-265.34000000000015</v>
      </c>
      <c r="AQ18" s="293">
        <v>3022</v>
      </c>
      <c r="AR18" s="1">
        <f t="shared" ref="AR18:AR32" si="23">E18/AO18</f>
        <v>0.22700297967348093</v>
      </c>
      <c r="AS18" s="1">
        <f t="shared" ref="AS18:AS32" si="24">J18/AO18</f>
        <v>0.82999261306574379</v>
      </c>
      <c r="AT18" s="1">
        <f t="shared" ref="AT18:AT32" si="25">N18/AO18</f>
        <v>2.3239793165840825E-2</v>
      </c>
      <c r="AU18" s="1">
        <f t="shared" ref="AU18:AU32" si="26">S18/AO18</f>
        <v>0</v>
      </c>
      <c r="AV18" s="1">
        <f>D18+I18+M18+R18+Cement!Q18</f>
        <v>2335.6400000000003</v>
      </c>
      <c r="AW18" s="1">
        <f>AN18+Cement!R18-Clinker!E18</f>
        <v>3060.0599999999995</v>
      </c>
      <c r="AX18" s="1">
        <v>1924.0200000000004</v>
      </c>
      <c r="AY18" s="50">
        <f>AN18-Production2!N18</f>
        <v>265.34000000000015</v>
      </c>
      <c r="AZ18" s="52">
        <f t="shared" si="11"/>
        <v>2675</v>
      </c>
      <c r="BA18">
        <f t="shared" si="12"/>
        <v>2547</v>
      </c>
      <c r="BB18">
        <f t="shared" si="13"/>
        <v>1050.5000000000005</v>
      </c>
      <c r="BC18">
        <f t="shared" si="14"/>
        <v>-600.33999999999969</v>
      </c>
      <c r="BD18">
        <v>1928.5799999999997</v>
      </c>
      <c r="BE18">
        <f>(AN18-Production2!N18)/'Mines (2)'!AN18</f>
        <v>9.9192523364486029E-2</v>
      </c>
      <c r="BF18">
        <f t="shared" si="15"/>
        <v>9.9192523364486025</v>
      </c>
      <c r="BG18">
        <f t="shared" si="16"/>
        <v>2547</v>
      </c>
    </row>
    <row r="19" spans="2:59">
      <c r="B19" s="4">
        <v>17</v>
      </c>
      <c r="C19" s="39">
        <f t="shared" si="0"/>
        <v>6902.7431800029699</v>
      </c>
      <c r="D19" s="1">
        <v>1513.74</v>
      </c>
      <c r="E19" s="269">
        <f>F19+'RAW MILL 2'!C19</f>
        <v>1727</v>
      </c>
      <c r="F19" s="1">
        <v>1727</v>
      </c>
      <c r="G19" s="9">
        <f t="shared" si="1"/>
        <v>6689.4831800029697</v>
      </c>
      <c r="H19" s="39">
        <f t="shared" si="2"/>
        <v>13529.552085829153</v>
      </c>
      <c r="I19" s="1">
        <v>450.96</v>
      </c>
      <c r="J19" s="1">
        <v>0</v>
      </c>
      <c r="K19" s="46">
        <f>H19+I19-J19-Cement!S19</f>
        <v>13419.889863607103</v>
      </c>
      <c r="L19" s="39">
        <f t="shared" si="3"/>
        <v>3289.3</v>
      </c>
      <c r="M19" s="1">
        <v>0</v>
      </c>
      <c r="N19" s="269">
        <f>O19+'RAW MILL 2'!D19</f>
        <v>24</v>
      </c>
      <c r="O19" s="1">
        <v>24</v>
      </c>
      <c r="P19" s="9">
        <f t="shared" si="4"/>
        <v>3265.3</v>
      </c>
      <c r="Q19" s="39">
        <f t="shared" si="5"/>
        <v>3.999999999996362E-2</v>
      </c>
      <c r="R19" s="1">
        <v>0</v>
      </c>
      <c r="S19" s="269">
        <f>T19+'RAW MILL 2'!E19</f>
        <v>0</v>
      </c>
      <c r="T19" s="1">
        <v>0</v>
      </c>
      <c r="U19" s="9">
        <f t="shared" si="21"/>
        <v>3.999999999996362E-2</v>
      </c>
      <c r="V19" s="27">
        <f t="shared" si="17"/>
        <v>0</v>
      </c>
      <c r="W19" s="1">
        <v>0</v>
      </c>
      <c r="X19" s="1">
        <v>0</v>
      </c>
      <c r="Y19" s="27">
        <f t="shared" si="6"/>
        <v>0</v>
      </c>
      <c r="Z19" s="27">
        <f t="shared" si="18"/>
        <v>0</v>
      </c>
      <c r="AA19" s="1">
        <v>0</v>
      </c>
      <c r="AB19" s="1">
        <v>0</v>
      </c>
      <c r="AC19" s="27">
        <f t="shared" si="7"/>
        <v>0</v>
      </c>
      <c r="AD19" s="27">
        <f t="shared" si="19"/>
        <v>0</v>
      </c>
      <c r="AE19" s="1">
        <v>0</v>
      </c>
      <c r="AF19" s="1">
        <v>0</v>
      </c>
      <c r="AG19" s="27">
        <f t="shared" si="8"/>
        <v>0</v>
      </c>
      <c r="AH19" s="27">
        <f t="shared" si="20"/>
        <v>298.36</v>
      </c>
      <c r="AI19" s="26"/>
      <c r="AJ19" s="461">
        <f>AK19+'RAW MILL 2'!G19</f>
        <v>0</v>
      </c>
      <c r="AK19" s="26"/>
      <c r="AL19" s="27">
        <f t="shared" si="9"/>
        <v>298.36</v>
      </c>
      <c r="AM19" s="31">
        <f>D19+I19+M19+R19+W19+AA19+Cement!Q19+Cement!V19+AE19</f>
        <v>1964.7</v>
      </c>
      <c r="AN19" s="31">
        <f>E19+J19+N19+S19+X19+AB19+Clinker!E19+AF19+AK19</f>
        <v>1798</v>
      </c>
      <c r="AO19" s="1">
        <f>Production2!N19</f>
        <v>1619.61</v>
      </c>
      <c r="AP19" s="1">
        <f t="shared" si="22"/>
        <v>-178.3900000000001</v>
      </c>
      <c r="AQ19" s="294">
        <v>2379</v>
      </c>
      <c r="AR19" s="1">
        <f t="shared" si="23"/>
        <v>1.0663060860330573</v>
      </c>
      <c r="AS19" s="1">
        <f t="shared" si="24"/>
        <v>0</v>
      </c>
      <c r="AT19" s="1">
        <f t="shared" si="25"/>
        <v>1.4818382203122975E-2</v>
      </c>
      <c r="AU19" s="1">
        <f t="shared" si="26"/>
        <v>0</v>
      </c>
      <c r="AV19" s="1">
        <f>D19+I19+M19+R19+Cement!Q19</f>
        <v>1964.7</v>
      </c>
      <c r="AW19" s="1">
        <f>AN19+Cement!R19-Clinker!E19</f>
        <v>2255.5599999998449</v>
      </c>
      <c r="AX19" s="1">
        <v>2200</v>
      </c>
      <c r="AY19" s="50">
        <f>AN19-Production2!N19</f>
        <v>178.3900000000001</v>
      </c>
      <c r="AZ19" s="52">
        <f t="shared" si="11"/>
        <v>1798</v>
      </c>
      <c r="BA19">
        <f t="shared" si="12"/>
        <v>1727</v>
      </c>
      <c r="BB19">
        <f t="shared" si="13"/>
        <v>686.26</v>
      </c>
      <c r="BC19">
        <f t="shared" si="14"/>
        <v>-449.04</v>
      </c>
      <c r="BD19">
        <v>900</v>
      </c>
      <c r="BE19">
        <f>(AN19-Production2!N19)/'Mines (2)'!AN19</f>
        <v>9.9215795328142439E-2</v>
      </c>
      <c r="BF19">
        <f t="shared" si="15"/>
        <v>9.9215795328142438</v>
      </c>
      <c r="BG19">
        <f t="shared" si="16"/>
        <v>1727</v>
      </c>
    </row>
    <row r="20" spans="2:59">
      <c r="B20" s="4">
        <v>18</v>
      </c>
      <c r="C20" s="39">
        <f t="shared" si="0"/>
        <v>6689.4831800029697</v>
      </c>
      <c r="D20" s="1">
        <v>1953.68</v>
      </c>
      <c r="E20" s="269">
        <f>F20+'RAW MILL 2'!C20</f>
        <v>1148</v>
      </c>
      <c r="F20" s="1">
        <v>1148</v>
      </c>
      <c r="G20" s="9">
        <f t="shared" si="1"/>
        <v>7495.16318000297</v>
      </c>
      <c r="H20" s="39">
        <f t="shared" si="2"/>
        <v>13419.889863607103</v>
      </c>
      <c r="I20" s="1">
        <v>702.66</v>
      </c>
      <c r="J20" s="1">
        <v>1000</v>
      </c>
      <c r="K20" s="46">
        <f>H20+I20-J20-Cement!S20</f>
        <v>12637.016530273771</v>
      </c>
      <c r="L20" s="39">
        <f t="shared" si="3"/>
        <v>3265.3</v>
      </c>
      <c r="M20" s="1">
        <v>113.7</v>
      </c>
      <c r="N20" s="269">
        <f>O20+'RAW MILL 2'!D20</f>
        <v>73</v>
      </c>
      <c r="O20" s="1">
        <v>73</v>
      </c>
      <c r="P20" s="9">
        <f t="shared" si="4"/>
        <v>3306</v>
      </c>
      <c r="Q20" s="39">
        <f t="shared" si="5"/>
        <v>3.999999999996362E-2</v>
      </c>
      <c r="R20" s="1">
        <v>0</v>
      </c>
      <c r="S20" s="269">
        <f>T20+'RAW MILL 2'!E20</f>
        <v>0</v>
      </c>
      <c r="T20" s="1">
        <v>0</v>
      </c>
      <c r="U20" s="9">
        <f t="shared" si="21"/>
        <v>3.999999999996362E-2</v>
      </c>
      <c r="V20" s="27">
        <f t="shared" si="17"/>
        <v>0</v>
      </c>
      <c r="W20" s="1">
        <v>0</v>
      </c>
      <c r="X20" s="1">
        <v>0</v>
      </c>
      <c r="Y20" s="27">
        <f t="shared" si="6"/>
        <v>0</v>
      </c>
      <c r="Z20" s="27">
        <f t="shared" si="18"/>
        <v>0</v>
      </c>
      <c r="AA20" s="1">
        <v>0</v>
      </c>
      <c r="AB20" s="1">
        <v>0</v>
      </c>
      <c r="AC20" s="27">
        <f t="shared" si="7"/>
        <v>0</v>
      </c>
      <c r="AD20" s="27">
        <f t="shared" si="19"/>
        <v>0</v>
      </c>
      <c r="AE20" s="1">
        <v>0</v>
      </c>
      <c r="AF20" s="1">
        <v>0</v>
      </c>
      <c r="AG20" s="27">
        <f t="shared" si="8"/>
        <v>0</v>
      </c>
      <c r="AH20" s="27">
        <f t="shared" si="20"/>
        <v>298.36</v>
      </c>
      <c r="AI20" s="26"/>
      <c r="AJ20" s="461">
        <f>AK20+'RAW MILL 2'!G20</f>
        <v>0</v>
      </c>
      <c r="AK20" s="26"/>
      <c r="AL20" s="27">
        <f t="shared" si="9"/>
        <v>298.36</v>
      </c>
      <c r="AM20" s="31">
        <f>D20+I20+M20+R20+W20+AA20+Cement!Q20+Cement!V20+AE20</f>
        <v>2770.04</v>
      </c>
      <c r="AN20" s="31">
        <f>E20+J20+N20+S20+X20+AB20+Clinker!E20+AF20+AK20</f>
        <v>2309</v>
      </c>
      <c r="AO20" s="1">
        <f>Production2!N20</f>
        <v>2080.7399999999998</v>
      </c>
      <c r="AP20" s="1">
        <f t="shared" si="22"/>
        <v>-228.26000000000022</v>
      </c>
      <c r="AQ20" s="293">
        <v>3157</v>
      </c>
      <c r="AR20" s="1">
        <f t="shared" si="23"/>
        <v>0.55172678950757914</v>
      </c>
      <c r="AS20" s="1">
        <f t="shared" si="24"/>
        <v>0.4805982486999818</v>
      </c>
      <c r="AT20" s="1">
        <f t="shared" si="25"/>
        <v>3.5083672155098673E-2</v>
      </c>
      <c r="AU20" s="1">
        <f t="shared" si="26"/>
        <v>0</v>
      </c>
      <c r="AV20" s="1">
        <f>D20+I20+M20+R20+Cement!Q20</f>
        <v>2770.04</v>
      </c>
      <c r="AW20" s="1">
        <f>AN20+Cement!R20-Clinker!E20</f>
        <v>2657.9799999999987</v>
      </c>
      <c r="AX20" s="1">
        <v>1275.5599999999997</v>
      </c>
      <c r="AY20" s="50">
        <f>AN20-Production2!N20</f>
        <v>228.26000000000022</v>
      </c>
      <c r="AZ20" s="52">
        <f t="shared" si="11"/>
        <v>2309</v>
      </c>
      <c r="BA20">
        <f t="shared" si="12"/>
        <v>2148</v>
      </c>
      <c r="BB20">
        <f t="shared" si="13"/>
        <v>-678.12000000000035</v>
      </c>
      <c r="BC20">
        <f t="shared" si="14"/>
        <v>121.33999999999992</v>
      </c>
      <c r="BD20">
        <v>581.32000000000005</v>
      </c>
      <c r="BE20">
        <f>(AN20-Production2!N20)/'Mines (2)'!AN20</f>
        <v>9.8856647899523697E-2</v>
      </c>
      <c r="BF20">
        <f t="shared" si="15"/>
        <v>9.8856647899523704</v>
      </c>
      <c r="BG20">
        <f t="shared" si="16"/>
        <v>2148</v>
      </c>
    </row>
    <row r="21" spans="2:59" s="319" customFormat="1">
      <c r="B21" s="346">
        <v>19</v>
      </c>
      <c r="C21" s="347">
        <f t="shared" si="0"/>
        <v>7495.16318000297</v>
      </c>
      <c r="D21" s="1">
        <v>1942.1600000000003</v>
      </c>
      <c r="E21" s="348">
        <f>F21+'RAW MILL 2'!C21</f>
        <v>954</v>
      </c>
      <c r="F21" s="1">
        <v>954</v>
      </c>
      <c r="G21" s="349">
        <f t="shared" si="1"/>
        <v>8483.3231800029698</v>
      </c>
      <c r="H21" s="347">
        <f t="shared" si="2"/>
        <v>12637.016530273771</v>
      </c>
      <c r="I21" s="1">
        <v>1218.9199999999996</v>
      </c>
      <c r="J21" s="1">
        <v>1000</v>
      </c>
      <c r="K21" s="46">
        <f>H21+I21-J21-Cement!S21</f>
        <v>12358.713198349771</v>
      </c>
      <c r="L21" s="347">
        <f t="shared" si="3"/>
        <v>3306</v>
      </c>
      <c r="M21" s="1">
        <v>0</v>
      </c>
      <c r="N21" s="348">
        <f>O21+'RAW MILL 2'!D21</f>
        <v>67</v>
      </c>
      <c r="O21" s="1">
        <v>67</v>
      </c>
      <c r="P21" s="349">
        <f t="shared" si="4"/>
        <v>3239</v>
      </c>
      <c r="Q21" s="347">
        <f t="shared" si="5"/>
        <v>3.999999999996362E-2</v>
      </c>
      <c r="R21" s="1">
        <v>0</v>
      </c>
      <c r="S21" s="348">
        <f>T21+'RAW MILL 2'!E21</f>
        <v>0</v>
      </c>
      <c r="T21" s="1">
        <v>0</v>
      </c>
      <c r="U21" s="349">
        <f t="shared" si="21"/>
        <v>3.999999999996362E-2</v>
      </c>
      <c r="V21" s="363">
        <f t="shared" si="17"/>
        <v>0</v>
      </c>
      <c r="W21" s="1">
        <v>0</v>
      </c>
      <c r="X21" s="320">
        <v>0</v>
      </c>
      <c r="Y21" s="363">
        <f t="shared" si="6"/>
        <v>0</v>
      </c>
      <c r="Z21" s="363">
        <f t="shared" si="18"/>
        <v>0</v>
      </c>
      <c r="AA21" s="320">
        <v>321.88</v>
      </c>
      <c r="AB21" s="320">
        <v>0</v>
      </c>
      <c r="AC21" s="363">
        <f t="shared" si="7"/>
        <v>321.88</v>
      </c>
      <c r="AD21" s="363">
        <f t="shared" si="19"/>
        <v>0</v>
      </c>
      <c r="AE21" s="320">
        <v>0</v>
      </c>
      <c r="AF21" s="320">
        <v>0</v>
      </c>
      <c r="AG21" s="363">
        <f t="shared" si="8"/>
        <v>0</v>
      </c>
      <c r="AH21" s="27">
        <f t="shared" si="20"/>
        <v>298.36</v>
      </c>
      <c r="AI21" s="353"/>
      <c r="AJ21" s="461">
        <f>AK21+'RAW MILL 2'!G21</f>
        <v>0</v>
      </c>
      <c r="AK21" s="353"/>
      <c r="AL21" s="27">
        <f t="shared" si="9"/>
        <v>298.36</v>
      </c>
      <c r="AM21" s="364">
        <f>D21+I21+M21+R21+W21+AA21+Cement!Q21+Cement!V21+AE21</f>
        <v>3482.96</v>
      </c>
      <c r="AN21" s="31">
        <f>E21+J21+N21+S21+X21+AB21+Clinker!E21+AF21+AK21</f>
        <v>2101</v>
      </c>
      <c r="AO21" s="320">
        <f>Production2!N21</f>
        <v>1893.3</v>
      </c>
      <c r="AP21" s="320">
        <f t="shared" si="22"/>
        <v>-207.70000000000005</v>
      </c>
      <c r="AQ21" s="365">
        <v>2838</v>
      </c>
      <c r="AR21" s="320">
        <f t="shared" si="23"/>
        <v>0.50388211060053878</v>
      </c>
      <c r="AS21" s="320">
        <f t="shared" si="24"/>
        <v>0.52817831299846829</v>
      </c>
      <c r="AT21" s="320">
        <f t="shared" si="25"/>
        <v>3.5387946970897373E-2</v>
      </c>
      <c r="AU21" s="320">
        <f t="shared" si="26"/>
        <v>0</v>
      </c>
      <c r="AV21" s="320">
        <f>D21+I21+M21+R21+Cement!Q21</f>
        <v>3161.08</v>
      </c>
      <c r="AW21" s="320">
        <f>AN21+Cement!R21-Clinker!E21</f>
        <v>2468.5009987315998</v>
      </c>
      <c r="AX21" s="320">
        <v>244.67999999999998</v>
      </c>
      <c r="AY21" s="366">
        <f>AN21-Production2!N21</f>
        <v>207.70000000000005</v>
      </c>
      <c r="AZ21" s="367">
        <f t="shared" si="11"/>
        <v>2101</v>
      </c>
      <c r="BA21" s="319">
        <f t="shared" si="12"/>
        <v>1954</v>
      </c>
      <c r="BB21" s="319">
        <f t="shared" si="13"/>
        <v>-1697.4800000000002</v>
      </c>
      <c r="BC21" s="319">
        <f t="shared" si="14"/>
        <v>-161.19999999999959</v>
      </c>
      <c r="BD21" s="319">
        <v>1380.1199999999992</v>
      </c>
      <c r="BE21" s="319">
        <f>(AN21-Production2!N21)/'Mines (2)'!AN21</f>
        <v>9.8857686815802023E-2</v>
      </c>
      <c r="BF21" s="319">
        <f t="shared" si="15"/>
        <v>9.8857686815802026</v>
      </c>
      <c r="BG21">
        <f t="shared" si="16"/>
        <v>1954</v>
      </c>
    </row>
    <row r="22" spans="2:59" s="395" customFormat="1">
      <c r="B22" s="378">
        <v>20</v>
      </c>
      <c r="C22" s="379">
        <f t="shared" si="0"/>
        <v>8483.3231800029698</v>
      </c>
      <c r="D22" s="1">
        <v>252.16</v>
      </c>
      <c r="E22" s="381">
        <f>F22+'RAW MILL 2'!C22</f>
        <v>664</v>
      </c>
      <c r="F22" s="1">
        <v>664</v>
      </c>
      <c r="G22" s="382">
        <f t="shared" si="1"/>
        <v>8071.4831800029697</v>
      </c>
      <c r="H22" s="379">
        <f t="shared" si="2"/>
        <v>12358.713198349771</v>
      </c>
      <c r="I22" s="1">
        <v>1673.04</v>
      </c>
      <c r="J22" s="1">
        <v>1000</v>
      </c>
      <c r="K22" s="46">
        <f>H22+I22-J22-Cement!S22</f>
        <v>12577.014311343772</v>
      </c>
      <c r="L22" s="379">
        <f t="shared" si="3"/>
        <v>3239</v>
      </c>
      <c r="M22" s="1">
        <v>0</v>
      </c>
      <c r="N22" s="381">
        <f>O22+'RAW MILL 2'!D22</f>
        <v>57</v>
      </c>
      <c r="O22" s="1">
        <v>57</v>
      </c>
      <c r="P22" s="382">
        <f t="shared" si="4"/>
        <v>3182</v>
      </c>
      <c r="Q22" s="379">
        <f t="shared" si="5"/>
        <v>3.999999999996362E-2</v>
      </c>
      <c r="R22" s="1">
        <v>0</v>
      </c>
      <c r="S22" s="381">
        <f>T22+'RAW MILL 2'!E22</f>
        <v>0</v>
      </c>
      <c r="T22" s="1">
        <v>0</v>
      </c>
      <c r="U22" s="382">
        <f t="shared" si="21"/>
        <v>3.999999999996362E-2</v>
      </c>
      <c r="V22" s="397">
        <f t="shared" si="17"/>
        <v>0</v>
      </c>
      <c r="W22" s="1">
        <v>0</v>
      </c>
      <c r="X22" s="380">
        <v>0</v>
      </c>
      <c r="Y22" s="397">
        <f t="shared" si="6"/>
        <v>0</v>
      </c>
      <c r="Z22" s="397">
        <f t="shared" si="18"/>
        <v>321.88</v>
      </c>
      <c r="AA22" s="380">
        <v>156.24</v>
      </c>
      <c r="AB22" s="380">
        <v>0</v>
      </c>
      <c r="AC22" s="397">
        <f t="shared" si="7"/>
        <v>478.12</v>
      </c>
      <c r="AD22" s="397">
        <f t="shared" si="19"/>
        <v>0</v>
      </c>
      <c r="AE22" s="380">
        <v>0</v>
      </c>
      <c r="AF22" s="380">
        <v>0</v>
      </c>
      <c r="AG22" s="397">
        <f t="shared" si="8"/>
        <v>0</v>
      </c>
      <c r="AH22" s="27">
        <f t="shared" si="20"/>
        <v>298.36</v>
      </c>
      <c r="AI22" s="386"/>
      <c r="AJ22" s="461">
        <f>AK22+'RAW MILL 2'!G22</f>
        <v>0</v>
      </c>
      <c r="AK22" s="386"/>
      <c r="AL22" s="27">
        <f t="shared" si="9"/>
        <v>298.36</v>
      </c>
      <c r="AM22" s="398">
        <f>D22+I22+M22+R22+W22+AA22+Cement!Q22+Cement!V22+AE22</f>
        <v>2081.44</v>
      </c>
      <c r="AN22" s="31">
        <f>E22+J22+N22+S22+X22+AB22+Clinker!E22+AF22+AK22</f>
        <v>1789</v>
      </c>
      <c r="AO22" s="380">
        <f>Production2!N22</f>
        <v>1612.14</v>
      </c>
      <c r="AP22" s="380">
        <f t="shared" si="22"/>
        <v>-176.8599999999999</v>
      </c>
      <c r="AQ22" s="399">
        <v>3051</v>
      </c>
      <c r="AR22" s="380">
        <f t="shared" si="23"/>
        <v>0.41187489920230252</v>
      </c>
      <c r="AS22" s="380">
        <f t="shared" si="24"/>
        <v>0.62029352289503392</v>
      </c>
      <c r="AT22" s="380">
        <f t="shared" si="25"/>
        <v>3.5356730805016931E-2</v>
      </c>
      <c r="AU22" s="380">
        <f t="shared" si="26"/>
        <v>0</v>
      </c>
      <c r="AV22" s="380">
        <f>D22+I22+M22+R22+Cement!Q22</f>
        <v>1925.2</v>
      </c>
      <c r="AW22" s="380">
        <f>AN22+Cement!R22-Clinker!E22</f>
        <v>2130.2649983053998</v>
      </c>
      <c r="AX22" s="380">
        <v>841.18</v>
      </c>
      <c r="AY22" s="400">
        <f>AN22-Production2!N22</f>
        <v>176.8599999999999</v>
      </c>
      <c r="AZ22" s="401">
        <f t="shared" si="11"/>
        <v>1789</v>
      </c>
      <c r="BA22" s="395">
        <f t="shared" si="12"/>
        <v>1664</v>
      </c>
      <c r="BB22" s="395">
        <f t="shared" si="13"/>
        <v>589.02</v>
      </c>
      <c r="BC22" s="395">
        <f t="shared" si="14"/>
        <v>72.239999999999327</v>
      </c>
      <c r="BD22" s="395">
        <v>1600.8000000000006</v>
      </c>
      <c r="BE22" s="395">
        <f>(AN22-Production2!N22)/'Mines (2)'!AN22</f>
        <v>9.8859698155394013E-2</v>
      </c>
      <c r="BF22" s="395">
        <f t="shared" si="15"/>
        <v>9.8859698155394007</v>
      </c>
    </row>
    <row r="23" spans="2:59" s="319" customFormat="1">
      <c r="B23" s="346">
        <v>21</v>
      </c>
      <c r="C23" s="347">
        <f>G22</f>
        <v>8071.4831800029697</v>
      </c>
      <c r="D23" s="1">
        <v>2063.6</v>
      </c>
      <c r="E23" s="348">
        <f>F23+'RAW MILL 2'!C23</f>
        <v>1906</v>
      </c>
      <c r="F23" s="1">
        <v>1906</v>
      </c>
      <c r="G23" s="349">
        <f t="shared" si="1"/>
        <v>8229.08318000297</v>
      </c>
      <c r="H23" s="347">
        <f t="shared" si="2"/>
        <v>12577.014311343772</v>
      </c>
      <c r="I23" s="1">
        <v>1306.8800000000001</v>
      </c>
      <c r="J23" s="1">
        <v>0</v>
      </c>
      <c r="K23" s="46">
        <f>H23+I23-J23-Cement!S23</f>
        <v>13466.716533565994</v>
      </c>
      <c r="L23" s="347">
        <f t="shared" si="3"/>
        <v>3182</v>
      </c>
      <c r="M23" s="1">
        <v>0</v>
      </c>
      <c r="N23" s="348">
        <f>O23+'RAW MILL 2'!D23</f>
        <v>41</v>
      </c>
      <c r="O23" s="1">
        <v>41</v>
      </c>
      <c r="P23" s="349">
        <f t="shared" si="4"/>
        <v>3141</v>
      </c>
      <c r="Q23" s="347">
        <f t="shared" si="5"/>
        <v>3.999999999996362E-2</v>
      </c>
      <c r="R23" s="1">
        <v>0</v>
      </c>
      <c r="S23" s="348">
        <f>T23+'RAW MILL 2'!E23</f>
        <v>0</v>
      </c>
      <c r="T23" s="1">
        <v>0</v>
      </c>
      <c r="U23" s="349">
        <f t="shared" si="21"/>
        <v>3.999999999996362E-2</v>
      </c>
      <c r="V23" s="363">
        <f t="shared" si="17"/>
        <v>0</v>
      </c>
      <c r="W23" s="1">
        <v>0</v>
      </c>
      <c r="X23" s="320">
        <v>0</v>
      </c>
      <c r="Y23" s="363">
        <f t="shared" si="6"/>
        <v>0</v>
      </c>
      <c r="Z23" s="363">
        <f t="shared" si="18"/>
        <v>478.12</v>
      </c>
      <c r="AA23" s="320">
        <v>0</v>
      </c>
      <c r="AB23" s="320">
        <v>0</v>
      </c>
      <c r="AC23" s="363">
        <f t="shared" si="7"/>
        <v>478.12</v>
      </c>
      <c r="AD23" s="363">
        <f t="shared" si="19"/>
        <v>0</v>
      </c>
      <c r="AE23" s="320">
        <v>0</v>
      </c>
      <c r="AF23" s="320">
        <v>0</v>
      </c>
      <c r="AG23" s="363">
        <f t="shared" si="8"/>
        <v>0</v>
      </c>
      <c r="AH23" s="27">
        <f t="shared" si="20"/>
        <v>298.36</v>
      </c>
      <c r="AI23" s="353">
        <v>0</v>
      </c>
      <c r="AJ23" s="461">
        <f>AK23+'RAW MILL 2'!G23</f>
        <v>20</v>
      </c>
      <c r="AK23" s="353">
        <v>20</v>
      </c>
      <c r="AL23" s="27">
        <f t="shared" si="9"/>
        <v>278.36</v>
      </c>
      <c r="AM23" s="364">
        <f>D23+I23+M23+R23+W23+AA23+Cement!Q23+Cement!V23+AE23</f>
        <v>3370.48</v>
      </c>
      <c r="AN23" s="31">
        <f>E23+J23+N23+S23+X23+AB23+Clinker!E23+AF23+AK23</f>
        <v>2009</v>
      </c>
      <c r="AO23" s="320">
        <f>Production2!N23</f>
        <v>1809.96</v>
      </c>
      <c r="AP23" s="320">
        <f t="shared" si="22"/>
        <v>-199.03999999999996</v>
      </c>
      <c r="AQ23" s="365">
        <v>2232</v>
      </c>
      <c r="AR23" s="320">
        <f>E23/AO23</f>
        <v>1.0530619461203563</v>
      </c>
      <c r="AS23" s="320">
        <f t="shared" si="24"/>
        <v>0</v>
      </c>
      <c r="AT23" s="320">
        <f t="shared" si="25"/>
        <v>2.2652434307940505E-2</v>
      </c>
      <c r="AU23" s="320">
        <f t="shared" si="26"/>
        <v>0</v>
      </c>
      <c r="AV23" s="320" t="e">
        <f>D23+I23+R23+#REF!+Cement!Q23</f>
        <v>#REF!</v>
      </c>
      <c r="AW23" s="320">
        <f>AN23+Cement!R23-Clinker!E23</f>
        <v>2342.4599999999991</v>
      </c>
      <c r="AX23" s="320">
        <v>0</v>
      </c>
      <c r="AY23" s="366">
        <f>AN23-Production2!N23</f>
        <v>199.03999999999996</v>
      </c>
      <c r="AZ23" s="367">
        <f t="shared" si="11"/>
        <v>2009</v>
      </c>
      <c r="BA23" s="319">
        <f t="shared" si="12"/>
        <v>1906</v>
      </c>
      <c r="BB23" s="319">
        <f t="shared" si="13"/>
        <v>-2063.6</v>
      </c>
      <c r="BC23" s="319">
        <f t="shared" si="14"/>
        <v>279.30000000000018</v>
      </c>
      <c r="BD23" s="319">
        <v>1027.58</v>
      </c>
      <c r="BE23" s="319">
        <f>(AN23-Production2!N23)/'Mines (2)'!AN23</f>
        <v>9.9074166251866588E-2</v>
      </c>
      <c r="BF23" s="319">
        <f t="shared" si="15"/>
        <v>9.9074166251866593</v>
      </c>
    </row>
    <row r="24" spans="2:59" s="319" customFormat="1">
      <c r="B24" s="346">
        <v>22</v>
      </c>
      <c r="C24" s="347">
        <f t="shared" si="0"/>
        <v>8229.08318000297</v>
      </c>
      <c r="D24" s="1">
        <v>1013.84</v>
      </c>
      <c r="E24" s="348">
        <f>F24+'RAW MILL 2'!C24</f>
        <v>1587</v>
      </c>
      <c r="F24" s="1">
        <v>1587</v>
      </c>
      <c r="G24" s="349">
        <f t="shared" si="1"/>
        <v>7655.9231800029702</v>
      </c>
      <c r="H24" s="347">
        <f t="shared" si="2"/>
        <v>13466.716533565994</v>
      </c>
      <c r="I24" s="1">
        <v>1524.44</v>
      </c>
      <c r="J24" s="1">
        <v>0</v>
      </c>
      <c r="K24" s="46">
        <f>H24+I24-J24-Cement!S24</f>
        <v>14558.847644657884</v>
      </c>
      <c r="L24" s="347">
        <f t="shared" si="3"/>
        <v>3141</v>
      </c>
      <c r="M24" s="1">
        <v>120.46</v>
      </c>
      <c r="N24" s="348">
        <f>O24+'RAW MILL 2'!D24</f>
        <v>17</v>
      </c>
      <c r="O24" s="1">
        <v>17</v>
      </c>
      <c r="P24" s="349">
        <f t="shared" si="4"/>
        <v>3244.46</v>
      </c>
      <c r="Q24" s="347">
        <f t="shared" si="5"/>
        <v>3.999999999996362E-2</v>
      </c>
      <c r="R24" s="1">
        <v>0</v>
      </c>
      <c r="S24" s="348">
        <f>T24+'RAW MILL 2'!E24</f>
        <v>0</v>
      </c>
      <c r="T24" s="1">
        <v>0</v>
      </c>
      <c r="U24" s="349">
        <f t="shared" si="21"/>
        <v>3.999999999996362E-2</v>
      </c>
      <c r="V24" s="363">
        <f>Y23</f>
        <v>0</v>
      </c>
      <c r="W24" s="1">
        <v>0</v>
      </c>
      <c r="X24" s="320">
        <v>0</v>
      </c>
      <c r="Y24" s="363">
        <f t="shared" si="6"/>
        <v>0</v>
      </c>
      <c r="Z24" s="363">
        <f>AC23</f>
        <v>478.12</v>
      </c>
      <c r="AA24" s="320">
        <v>0</v>
      </c>
      <c r="AB24" s="320">
        <v>0</v>
      </c>
      <c r="AC24" s="363">
        <f t="shared" si="7"/>
        <v>478.12</v>
      </c>
      <c r="AD24" s="363">
        <f>AG23</f>
        <v>0</v>
      </c>
      <c r="AE24" s="320">
        <v>0</v>
      </c>
      <c r="AF24" s="320">
        <v>0</v>
      </c>
      <c r="AG24" s="363">
        <f t="shared" si="8"/>
        <v>0</v>
      </c>
      <c r="AH24" s="27">
        <f t="shared" si="20"/>
        <v>278.36</v>
      </c>
      <c r="AI24" s="353">
        <v>90.7</v>
      </c>
      <c r="AJ24" s="461">
        <f>AK24+'RAW MILL 2'!G24</f>
        <v>16</v>
      </c>
      <c r="AK24" s="353">
        <v>16</v>
      </c>
      <c r="AL24" s="27">
        <f t="shared" si="9"/>
        <v>353.06</v>
      </c>
      <c r="AM24" s="364">
        <f>D24+I24+M24+R24+W24+AA24+Cement!Q24+Cement!V24+AE24</f>
        <v>2658.7400000000002</v>
      </c>
      <c r="AN24" s="31">
        <f>E24+J24+N24+S24+X24+AB24+Clinker!E24+AF24+AK24</f>
        <v>1675</v>
      </c>
      <c r="AO24" s="320">
        <f>Production2!N24</f>
        <v>1509.63</v>
      </c>
      <c r="AP24" s="320">
        <f t="shared" si="22"/>
        <v>-165.36999999999989</v>
      </c>
      <c r="AQ24" s="365"/>
      <c r="AR24" s="320">
        <f t="shared" si="23"/>
        <v>1.0512509687804297</v>
      </c>
      <c r="AS24" s="320">
        <f t="shared" si="24"/>
        <v>0</v>
      </c>
      <c r="AT24" s="320">
        <f t="shared" si="25"/>
        <v>1.1261037472758225E-2</v>
      </c>
      <c r="AU24" s="320">
        <f t="shared" si="26"/>
        <v>0</v>
      </c>
      <c r="AV24" s="320">
        <f>D24+I24+M24+R24+Cement!Q24</f>
        <v>2658.7400000000002</v>
      </c>
      <c r="AW24" s="320">
        <f>AN24+Cement!R24-Clinker!E24</f>
        <v>2009.0780000172995</v>
      </c>
      <c r="AX24" s="320"/>
      <c r="AY24" s="366">
        <f>AN24-Production2!N24</f>
        <v>165.36999999999989</v>
      </c>
      <c r="AZ24" s="367">
        <f t="shared" si="11"/>
        <v>1675</v>
      </c>
      <c r="BA24" s="319">
        <f t="shared" si="12"/>
        <v>1587</v>
      </c>
      <c r="BB24" s="319">
        <f t="shared" si="13"/>
        <v>-1013.84</v>
      </c>
      <c r="BC24" s="319">
        <f t="shared" si="14"/>
        <v>1524.44</v>
      </c>
      <c r="BD24" s="319">
        <v>0</v>
      </c>
      <c r="BE24" s="319">
        <f>(AN24-Production2!N24)/'Mines (2)'!AN24</f>
        <v>9.8728358208955161E-2</v>
      </c>
      <c r="BF24" s="319">
        <f t="shared" si="15"/>
        <v>9.8728358208955154</v>
      </c>
    </row>
    <row r="25" spans="2:59" s="319" customFormat="1">
      <c r="B25" s="346">
        <v>23</v>
      </c>
      <c r="C25" s="347">
        <f t="shared" si="0"/>
        <v>7655.9231800029702</v>
      </c>
      <c r="D25" s="1">
        <v>800.58</v>
      </c>
      <c r="E25" s="348">
        <f>F25+'RAW MILL 2'!C25</f>
        <v>0</v>
      </c>
      <c r="F25" s="1">
        <v>0</v>
      </c>
      <c r="G25" s="349">
        <f t="shared" si="1"/>
        <v>8456.5031800029701</v>
      </c>
      <c r="H25" s="347">
        <f t="shared" si="2"/>
        <v>14558.847644657884</v>
      </c>
      <c r="I25" s="1">
        <v>1822.7</v>
      </c>
      <c r="J25" s="1">
        <v>0</v>
      </c>
      <c r="K25" s="46">
        <f>H25+I25-J25-Cement!S25</f>
        <v>15980.935422436631</v>
      </c>
      <c r="L25" s="347">
        <f t="shared" si="3"/>
        <v>3244.46</v>
      </c>
      <c r="M25" s="1">
        <v>0</v>
      </c>
      <c r="N25" s="348">
        <f>O25+'RAW MILL 2'!D25</f>
        <v>0</v>
      </c>
      <c r="O25" s="1">
        <v>0</v>
      </c>
      <c r="P25" s="349">
        <f t="shared" si="4"/>
        <v>3244.46</v>
      </c>
      <c r="Q25" s="347">
        <f t="shared" si="5"/>
        <v>3.999999999996362E-2</v>
      </c>
      <c r="R25" s="1">
        <v>0</v>
      </c>
      <c r="S25" s="348">
        <f>T25+'RAW MILL 2'!E25</f>
        <v>0</v>
      </c>
      <c r="T25" s="1">
        <v>0</v>
      </c>
      <c r="U25" s="349">
        <f t="shared" si="21"/>
        <v>3.999999999996362E-2</v>
      </c>
      <c r="V25" s="363">
        <f t="shared" ref="V25:V32" si="27">Y24</f>
        <v>0</v>
      </c>
      <c r="W25" s="1">
        <v>0</v>
      </c>
      <c r="X25" s="320">
        <v>0</v>
      </c>
      <c r="Y25" s="363">
        <f t="shared" ref="Y25:Y33" si="28">V25+W25-X25</f>
        <v>0</v>
      </c>
      <c r="Z25" s="363">
        <f t="shared" ref="Z25:Z33" si="29">AC24</f>
        <v>478.12</v>
      </c>
      <c r="AA25" s="320">
        <v>250.08</v>
      </c>
      <c r="AB25" s="320">
        <v>0</v>
      </c>
      <c r="AC25" s="363">
        <f t="shared" si="7"/>
        <v>728.2</v>
      </c>
      <c r="AD25" s="363">
        <f t="shared" ref="AD25:AD33" si="30">AG24</f>
        <v>0</v>
      </c>
      <c r="AE25" s="320">
        <v>0</v>
      </c>
      <c r="AF25" s="320">
        <v>0</v>
      </c>
      <c r="AG25" s="363">
        <f t="shared" si="8"/>
        <v>0</v>
      </c>
      <c r="AH25" s="27">
        <f t="shared" si="20"/>
        <v>353.06</v>
      </c>
      <c r="AI25" s="353">
        <v>30.38</v>
      </c>
      <c r="AJ25" s="461">
        <f>AK25+'RAW MILL 2'!G25</f>
        <v>0</v>
      </c>
      <c r="AK25" s="353">
        <v>0</v>
      </c>
      <c r="AL25" s="27">
        <f t="shared" si="9"/>
        <v>383.44</v>
      </c>
      <c r="AM25" s="364">
        <f>D25+I25+M25+R25+W25+AA25+Cement!Q25+Cement!V25+AE25</f>
        <v>2873.36</v>
      </c>
      <c r="AN25" s="31">
        <f>E25+J25+N25+S25+X25+AB25+Clinker!E25+AF25+AK25</f>
        <v>0</v>
      </c>
      <c r="AO25" s="320">
        <f>Production2!N25</f>
        <v>0</v>
      </c>
      <c r="AP25" s="320">
        <f t="shared" si="22"/>
        <v>0</v>
      </c>
      <c r="AQ25" s="365"/>
      <c r="AR25" s="320" t="e">
        <f t="shared" si="23"/>
        <v>#DIV/0!</v>
      </c>
      <c r="AS25" s="320" t="e">
        <f t="shared" si="24"/>
        <v>#DIV/0!</v>
      </c>
      <c r="AT25" s="320" t="e">
        <f t="shared" si="25"/>
        <v>#DIV/0!</v>
      </c>
      <c r="AU25" s="320" t="e">
        <f t="shared" si="26"/>
        <v>#DIV/0!</v>
      </c>
      <c r="AV25" s="320">
        <f>D25+I25+M25+R25+Cement!Q25</f>
        <v>2623.28</v>
      </c>
      <c r="AW25" s="320">
        <f>AN25+Cement!R25-Clinker!E25</f>
        <v>360.55099999912875</v>
      </c>
      <c r="AX25" s="320"/>
      <c r="AY25" s="366">
        <f>AN25-Production2!N25</f>
        <v>0</v>
      </c>
      <c r="AZ25" s="367">
        <f t="shared" si="11"/>
        <v>0</v>
      </c>
      <c r="BA25" s="319">
        <f t="shared" si="12"/>
        <v>0</v>
      </c>
      <c r="BB25" s="319">
        <f t="shared" si="13"/>
        <v>-800.58</v>
      </c>
      <c r="BC25" s="319">
        <f t="shared" si="14"/>
        <v>1822.7</v>
      </c>
      <c r="BD25" s="319">
        <v>0</v>
      </c>
      <c r="BE25" s="319" t="e">
        <f>(AN25-Production2!N25)/'Mines (2)'!AN25</f>
        <v>#DIV/0!</v>
      </c>
      <c r="BF25" s="319" t="e">
        <f t="shared" si="15"/>
        <v>#DIV/0!</v>
      </c>
    </row>
    <row r="26" spans="2:59" s="319" customFormat="1">
      <c r="B26" s="346">
        <v>24</v>
      </c>
      <c r="C26" s="347">
        <f t="shared" si="0"/>
        <v>8456.5031800029701</v>
      </c>
      <c r="D26" s="1">
        <v>938.74</v>
      </c>
      <c r="E26" s="348">
        <f>F26+'RAW MILL 2'!C26</f>
        <v>1614</v>
      </c>
      <c r="F26" s="1">
        <v>1614</v>
      </c>
      <c r="G26" s="349">
        <f t="shared" si="1"/>
        <v>7781.2431800029699</v>
      </c>
      <c r="H26" s="347">
        <f t="shared" si="2"/>
        <v>15980.935422436631</v>
      </c>
      <c r="I26" s="1">
        <v>1305.0999999999999</v>
      </c>
      <c r="J26" s="1">
        <v>0</v>
      </c>
      <c r="K26" s="46">
        <f>H26+I26-J26-Cement!S26</f>
        <v>16881.313200214412</v>
      </c>
      <c r="L26" s="347">
        <f t="shared" si="3"/>
        <v>3244.46</v>
      </c>
      <c r="M26" s="1">
        <v>0</v>
      </c>
      <c r="N26" s="348">
        <f>O26+'RAW MILL 2'!D26</f>
        <v>19</v>
      </c>
      <c r="O26" s="1">
        <v>19</v>
      </c>
      <c r="P26" s="349">
        <f t="shared" si="4"/>
        <v>3225.46</v>
      </c>
      <c r="Q26" s="347">
        <f t="shared" si="5"/>
        <v>3.999999999996362E-2</v>
      </c>
      <c r="R26" s="1">
        <v>0</v>
      </c>
      <c r="S26" s="348">
        <f>T26+'RAW MILL 2'!E26</f>
        <v>0</v>
      </c>
      <c r="T26" s="1">
        <v>0</v>
      </c>
      <c r="U26" s="349">
        <f t="shared" si="21"/>
        <v>3.999999999996362E-2</v>
      </c>
      <c r="V26" s="363">
        <f t="shared" si="27"/>
        <v>0</v>
      </c>
      <c r="W26" s="1">
        <v>0</v>
      </c>
      <c r="X26" s="320">
        <v>0</v>
      </c>
      <c r="Y26" s="363">
        <f t="shared" si="28"/>
        <v>0</v>
      </c>
      <c r="Z26" s="363">
        <f t="shared" si="29"/>
        <v>728.2</v>
      </c>
      <c r="AA26" s="320">
        <v>0</v>
      </c>
      <c r="AB26" s="320">
        <v>0</v>
      </c>
      <c r="AC26" s="363">
        <f t="shared" si="7"/>
        <v>728.2</v>
      </c>
      <c r="AD26" s="363">
        <f t="shared" si="30"/>
        <v>0</v>
      </c>
      <c r="AE26" s="320">
        <v>0</v>
      </c>
      <c r="AF26" s="320">
        <v>0</v>
      </c>
      <c r="AG26" s="363">
        <f t="shared" si="8"/>
        <v>0</v>
      </c>
      <c r="AH26" s="27">
        <f t="shared" si="20"/>
        <v>383.44</v>
      </c>
      <c r="AI26" s="353">
        <v>0</v>
      </c>
      <c r="AJ26" s="461">
        <f>AK26+'RAW MILL 2'!G26</f>
        <v>17</v>
      </c>
      <c r="AK26" s="353">
        <v>17</v>
      </c>
      <c r="AL26" s="27">
        <f t="shared" si="9"/>
        <v>366.44</v>
      </c>
      <c r="AM26" s="415">
        <f>D26+I26+M26+R26+W26+AA26+Cement!Q26+Cement!V26+AE26</f>
        <v>2243.84</v>
      </c>
      <c r="AN26" s="31">
        <f>E26+J26+N26+S26+X26+AB26+Clinker!E26+AF26+AK26</f>
        <v>1687</v>
      </c>
      <c r="AO26" s="320">
        <f>Production2!N26</f>
        <v>1519.92</v>
      </c>
      <c r="AP26" s="320">
        <f t="shared" si="22"/>
        <v>-167.07999999999993</v>
      </c>
      <c r="AQ26" s="365"/>
      <c r="AR26" s="320">
        <f t="shared" si="23"/>
        <v>1.0618979946312963</v>
      </c>
      <c r="AS26" s="320">
        <f t="shared" si="24"/>
        <v>0</v>
      </c>
      <c r="AT26" s="320">
        <f t="shared" si="25"/>
        <v>1.2500657929364703E-2</v>
      </c>
      <c r="AU26" s="320">
        <f t="shared" si="26"/>
        <v>0</v>
      </c>
      <c r="AV26" s="320">
        <f>D26+I26+M26+R26+Cement!Q26</f>
        <v>2243.84</v>
      </c>
      <c r="AW26" s="320">
        <f>AN26+Cement!R26-Clinker!E26</f>
        <v>2014.2499999999982</v>
      </c>
      <c r="AX26" s="320"/>
      <c r="AY26" s="366">
        <f>AN26-Production2!N26</f>
        <v>167.07999999999993</v>
      </c>
      <c r="AZ26" s="367">
        <f t="shared" si="11"/>
        <v>1687</v>
      </c>
      <c r="BA26" s="319">
        <f t="shared" si="12"/>
        <v>1614</v>
      </c>
      <c r="BB26" s="319">
        <f t="shared" si="13"/>
        <v>-938.74</v>
      </c>
      <c r="BC26" s="319">
        <f t="shared" ref="BC26" si="31">D26-BD26</f>
        <v>938.74</v>
      </c>
      <c r="BD26" s="319">
        <v>0</v>
      </c>
      <c r="BE26" s="319">
        <f>(AN26-Production2!N26)/'Mines (2)'!AN26</f>
        <v>9.9039715471250692E-2</v>
      </c>
      <c r="BF26" s="319">
        <f t="shared" si="15"/>
        <v>9.9039715471250691</v>
      </c>
    </row>
    <row r="27" spans="2:59" s="319" customFormat="1">
      <c r="B27" s="346">
        <v>25</v>
      </c>
      <c r="C27" s="347">
        <f t="shared" si="0"/>
        <v>7781.2431800029699</v>
      </c>
      <c r="D27" s="1">
        <v>1172.54</v>
      </c>
      <c r="E27" s="348">
        <f>F27+'RAW MILL 2'!C27</f>
        <v>2600</v>
      </c>
      <c r="F27" s="1">
        <v>2393</v>
      </c>
      <c r="G27" s="349">
        <f t="shared" si="1"/>
        <v>6353.7831800029708</v>
      </c>
      <c r="H27" s="347">
        <f t="shared" si="2"/>
        <v>16881.313200214412</v>
      </c>
      <c r="I27" s="1">
        <v>1021.82</v>
      </c>
      <c r="J27" s="1">
        <v>0</v>
      </c>
      <c r="K27" s="46">
        <f>H27+I27-J27-Cement!S27</f>
        <v>17465.66875576997</v>
      </c>
      <c r="L27" s="347">
        <f t="shared" si="3"/>
        <v>3225.46</v>
      </c>
      <c r="M27" s="1">
        <v>0</v>
      </c>
      <c r="N27" s="348">
        <f>O27+'RAW MILL 2'!D27</f>
        <v>17</v>
      </c>
      <c r="O27" s="1">
        <v>16</v>
      </c>
      <c r="P27" s="349">
        <f t="shared" si="4"/>
        <v>3208.46</v>
      </c>
      <c r="Q27" s="347">
        <f t="shared" si="5"/>
        <v>3.999999999996362E-2</v>
      </c>
      <c r="R27" s="1">
        <v>0</v>
      </c>
      <c r="S27" s="348">
        <f>T27+'RAW MILL 2'!E27</f>
        <v>0</v>
      </c>
      <c r="T27" s="1">
        <v>0</v>
      </c>
      <c r="U27" s="349">
        <f t="shared" si="21"/>
        <v>3.999999999996362E-2</v>
      </c>
      <c r="V27" s="363">
        <f t="shared" si="27"/>
        <v>0</v>
      </c>
      <c r="W27" s="1">
        <v>0</v>
      </c>
      <c r="X27" s="320">
        <v>0</v>
      </c>
      <c r="Y27" s="363">
        <f t="shared" si="28"/>
        <v>0</v>
      </c>
      <c r="Z27" s="363">
        <f t="shared" si="29"/>
        <v>728.2</v>
      </c>
      <c r="AA27" s="320">
        <v>0</v>
      </c>
      <c r="AB27" s="320">
        <v>0</v>
      </c>
      <c r="AC27" s="363">
        <f t="shared" si="7"/>
        <v>728.2</v>
      </c>
      <c r="AD27" s="363">
        <f t="shared" si="30"/>
        <v>0</v>
      </c>
      <c r="AE27" s="320">
        <v>0</v>
      </c>
      <c r="AF27" s="320">
        <v>0</v>
      </c>
      <c r="AG27" s="363">
        <f t="shared" si="8"/>
        <v>0</v>
      </c>
      <c r="AH27" s="27">
        <f t="shared" si="20"/>
        <v>366.44</v>
      </c>
      <c r="AI27" s="353">
        <v>0</v>
      </c>
      <c r="AJ27" s="461">
        <f>AK27+'RAW MILL 2'!G27</f>
        <v>26</v>
      </c>
      <c r="AK27" s="353">
        <v>24</v>
      </c>
      <c r="AL27" s="27">
        <f t="shared" si="9"/>
        <v>340.44</v>
      </c>
      <c r="AM27" s="364">
        <f>D27+I27+M27+R27+W27+AA27+Cement!Q27+Cement!V27+AE27</f>
        <v>2194.36</v>
      </c>
      <c r="AN27" s="31">
        <f>E27+J27+N27+S27+X27+AB27+Clinker!E27+AF27+AK27</f>
        <v>2692</v>
      </c>
      <c r="AO27" s="320">
        <f>Production2!N27</f>
        <v>2232</v>
      </c>
      <c r="AP27" s="320">
        <f t="shared" si="22"/>
        <v>-460</v>
      </c>
      <c r="AQ27" s="365"/>
      <c r="AR27" s="320">
        <f t="shared" si="23"/>
        <v>1.1648745519713262</v>
      </c>
      <c r="AS27" s="320">
        <f t="shared" si="24"/>
        <v>0</v>
      </c>
      <c r="AT27" s="320">
        <f t="shared" si="25"/>
        <v>7.6164874551971325E-3</v>
      </c>
      <c r="AU27" s="320">
        <f t="shared" si="26"/>
        <v>0</v>
      </c>
      <c r="AV27" s="320">
        <f>D27+I27+M27+R27+Cement!Q27</f>
        <v>2194.36</v>
      </c>
      <c r="AW27" s="320">
        <f>AN27+Cement!R27-Clinker!E27</f>
        <v>3034.7179999999994</v>
      </c>
      <c r="AX27" s="320"/>
      <c r="AY27" s="366">
        <f>AN27-Production2!N27</f>
        <v>460</v>
      </c>
      <c r="AZ27" s="367">
        <f t="shared" si="11"/>
        <v>2692</v>
      </c>
      <c r="BA27" s="319">
        <v>25</v>
      </c>
      <c r="BD27" s="319">
        <v>0</v>
      </c>
      <c r="BE27" s="319">
        <f>(AN27-Production2!N27)/'Mines (2)'!AN27</f>
        <v>0.17087667161961367</v>
      </c>
      <c r="BF27" s="319">
        <f t="shared" si="15"/>
        <v>17.087667161961367</v>
      </c>
    </row>
    <row r="28" spans="2:59" s="319" customFormat="1">
      <c r="B28" s="346">
        <v>26</v>
      </c>
      <c r="C28" s="347">
        <f t="shared" ref="C28:C33" si="32">G27</f>
        <v>6353.7831800029708</v>
      </c>
      <c r="D28" s="1">
        <v>1281.98</v>
      </c>
      <c r="E28" s="348">
        <f>F28+'RAW MILL 2'!C28</f>
        <v>675</v>
      </c>
      <c r="F28" s="1">
        <v>488</v>
      </c>
      <c r="G28" s="349">
        <f t="shared" si="1"/>
        <v>6960.7631800029703</v>
      </c>
      <c r="H28" s="347">
        <f t="shared" ref="H28:H33" si="33">K27</f>
        <v>17465.66875576997</v>
      </c>
      <c r="I28" s="1">
        <v>1341.18</v>
      </c>
      <c r="J28" s="1">
        <v>2000</v>
      </c>
      <c r="K28" s="46">
        <f>H28+I28-J28-Cement!S28</f>
        <v>16368.42431225797</v>
      </c>
      <c r="L28" s="347">
        <f t="shared" ref="L28:L33" si="34">P27</f>
        <v>3208.46</v>
      </c>
      <c r="M28" s="1">
        <v>73.12</v>
      </c>
      <c r="N28" s="348">
        <f>O28+'RAW MILL 2'!D28</f>
        <v>18</v>
      </c>
      <c r="O28" s="1">
        <v>17</v>
      </c>
      <c r="P28" s="349">
        <f t="shared" si="4"/>
        <v>3263.58</v>
      </c>
      <c r="Q28" s="347">
        <f t="shared" ref="Q28:Q33" si="35">U27</f>
        <v>3.999999999996362E-2</v>
      </c>
      <c r="R28" s="1">
        <v>0</v>
      </c>
      <c r="S28" s="348">
        <f>T28+'RAW MILL 2'!E28</f>
        <v>0</v>
      </c>
      <c r="T28" s="1">
        <v>0</v>
      </c>
      <c r="U28" s="349">
        <f t="shared" si="21"/>
        <v>3.999999999996362E-2</v>
      </c>
      <c r="V28" s="363">
        <f t="shared" si="27"/>
        <v>0</v>
      </c>
      <c r="W28" s="1">
        <v>0</v>
      </c>
      <c r="X28" s="320">
        <v>0</v>
      </c>
      <c r="Y28" s="363">
        <f t="shared" si="28"/>
        <v>0</v>
      </c>
      <c r="Z28" s="363">
        <f t="shared" si="29"/>
        <v>728.2</v>
      </c>
      <c r="AA28" s="320">
        <v>0</v>
      </c>
      <c r="AB28" s="320">
        <v>0</v>
      </c>
      <c r="AC28" s="363">
        <f t="shared" si="7"/>
        <v>728.2</v>
      </c>
      <c r="AD28" s="363">
        <f t="shared" si="30"/>
        <v>0</v>
      </c>
      <c r="AE28" s="320">
        <v>0</v>
      </c>
      <c r="AF28" s="320">
        <v>0</v>
      </c>
      <c r="AG28" s="363">
        <f t="shared" si="8"/>
        <v>0</v>
      </c>
      <c r="AH28" s="27">
        <f t="shared" si="20"/>
        <v>340.44</v>
      </c>
      <c r="AI28" s="353">
        <v>0</v>
      </c>
      <c r="AJ28" s="461">
        <f>AK28+'RAW MILL 2'!G28</f>
        <v>28</v>
      </c>
      <c r="AK28" s="353">
        <v>26</v>
      </c>
      <c r="AL28" s="27">
        <f t="shared" si="9"/>
        <v>312.44</v>
      </c>
      <c r="AM28" s="364">
        <f>D28+I28+M28+R28+W28+AA28+Cement!Q28+Cement!V28+AE28</f>
        <v>2696.2799999999997</v>
      </c>
      <c r="AN28" s="31">
        <f>E28+J28+N28+S28+X28+AB28+Clinker!E28+AF28+AK28</f>
        <v>2769</v>
      </c>
      <c r="AO28" s="320">
        <f>Production2!N28</f>
        <v>2320</v>
      </c>
      <c r="AP28" s="320">
        <f t="shared" si="22"/>
        <v>-449</v>
      </c>
      <c r="AQ28" s="365"/>
      <c r="AR28" s="320">
        <f t="shared" si="23"/>
        <v>0.29094827586206895</v>
      </c>
      <c r="AS28" s="320">
        <f t="shared" si="24"/>
        <v>0.86206896551724133</v>
      </c>
      <c r="AT28" s="320">
        <f t="shared" si="25"/>
        <v>7.7586206896551723E-3</v>
      </c>
      <c r="AU28" s="320">
        <f t="shared" si="26"/>
        <v>0</v>
      </c>
      <c r="AV28" s="320">
        <f>D28+I28+M28+R28+Cement!Q28</f>
        <v>2696.2799999999997</v>
      </c>
      <c r="AW28" s="320">
        <f>AN28+Cement!R28-Clinker!E28</f>
        <v>3113.5819991608</v>
      </c>
      <c r="AX28" s="320"/>
      <c r="AY28" s="366">
        <f>AN28-Production2!N28</f>
        <v>449</v>
      </c>
      <c r="AZ28" s="367">
        <f t="shared" si="11"/>
        <v>2769</v>
      </c>
      <c r="BA28" s="319">
        <v>26</v>
      </c>
      <c r="BD28" s="319">
        <v>0</v>
      </c>
      <c r="BE28" s="319">
        <f>(AN28-Production2!N28)/'Mines (2)'!AN28</f>
        <v>0.16215240158902131</v>
      </c>
      <c r="BF28" s="319">
        <f t="shared" si="15"/>
        <v>16.21524015890213</v>
      </c>
    </row>
    <row r="29" spans="2:59">
      <c r="B29" s="4">
        <v>27</v>
      </c>
      <c r="C29" s="39">
        <f t="shared" si="32"/>
        <v>6960.7631800029703</v>
      </c>
      <c r="D29" s="1">
        <v>573.82000000000005</v>
      </c>
      <c r="E29" s="269">
        <f>F29+'RAW MILL 2'!C29</f>
        <v>197</v>
      </c>
      <c r="F29" s="1">
        <v>49</v>
      </c>
      <c r="G29" s="9">
        <f t="shared" si="1"/>
        <v>7337.58318000297</v>
      </c>
      <c r="H29" s="39">
        <f t="shared" si="33"/>
        <v>16368.42431225797</v>
      </c>
      <c r="I29" s="1">
        <v>1963.58</v>
      </c>
      <c r="J29" s="1">
        <v>2000</v>
      </c>
      <c r="K29" s="46">
        <f>H29+I29-J29-Cement!S29</f>
        <v>15968.65653564997</v>
      </c>
      <c r="L29" s="39">
        <f t="shared" si="34"/>
        <v>3263.58</v>
      </c>
      <c r="M29" s="1">
        <v>382.08</v>
      </c>
      <c r="N29" s="269">
        <f>O29+'RAW MILL 2'!D29</f>
        <v>16</v>
      </c>
      <c r="O29" s="1">
        <v>15</v>
      </c>
      <c r="P29" s="9">
        <f t="shared" si="4"/>
        <v>3629.66</v>
      </c>
      <c r="Q29" s="39">
        <f t="shared" si="35"/>
        <v>3.999999999996362E-2</v>
      </c>
      <c r="R29" s="1">
        <v>0</v>
      </c>
      <c r="S29" s="269">
        <f>T29+'RAW MILL 2'!E29</f>
        <v>0</v>
      </c>
      <c r="T29" s="1">
        <v>0</v>
      </c>
      <c r="U29" s="9">
        <f t="shared" si="21"/>
        <v>3.999999999996362E-2</v>
      </c>
      <c r="V29" s="27">
        <f t="shared" si="27"/>
        <v>0</v>
      </c>
      <c r="W29" s="1">
        <v>0</v>
      </c>
      <c r="X29" s="1">
        <v>0</v>
      </c>
      <c r="Y29" s="27">
        <f t="shared" si="28"/>
        <v>0</v>
      </c>
      <c r="Z29" s="27">
        <f t="shared" si="29"/>
        <v>728.2</v>
      </c>
      <c r="AA29" s="1">
        <v>0</v>
      </c>
      <c r="AB29" s="1">
        <v>0</v>
      </c>
      <c r="AC29" s="27">
        <f t="shared" si="7"/>
        <v>728.2</v>
      </c>
      <c r="AD29" s="27">
        <f t="shared" si="30"/>
        <v>0</v>
      </c>
      <c r="AE29" s="1">
        <v>0</v>
      </c>
      <c r="AF29" s="1">
        <v>0</v>
      </c>
      <c r="AG29" s="27">
        <f t="shared" si="8"/>
        <v>0</v>
      </c>
      <c r="AH29" s="27">
        <f t="shared" si="20"/>
        <v>312.44</v>
      </c>
      <c r="AI29" s="353">
        <v>0</v>
      </c>
      <c r="AJ29" s="461">
        <f>AK29+'RAW MILL 2'!G29</f>
        <v>23</v>
      </c>
      <c r="AK29" s="353">
        <v>21</v>
      </c>
      <c r="AL29" s="27">
        <f t="shared" si="9"/>
        <v>289.44</v>
      </c>
      <c r="AM29" s="31">
        <f>D29+I29+M29+R29+W29+AA29+Cement!Q29+Cement!V29+AE29</f>
        <v>2919.48</v>
      </c>
      <c r="AN29" s="31">
        <f>E29+J29+N29+S29+X29+AB29+Clinker!E29+AF29+AK29</f>
        <v>2274</v>
      </c>
      <c r="AO29" s="1">
        <f>Production2!N29</f>
        <v>1910</v>
      </c>
      <c r="AP29" s="1">
        <f t="shared" si="22"/>
        <v>-364</v>
      </c>
      <c r="AQ29" s="293"/>
      <c r="AR29" s="1">
        <f>E29/AO29</f>
        <v>0.10314136125654451</v>
      </c>
      <c r="AS29" s="1">
        <f t="shared" si="24"/>
        <v>1.0471204188481675</v>
      </c>
      <c r="AT29" s="1">
        <f t="shared" si="25"/>
        <v>8.3769633507853412E-3</v>
      </c>
      <c r="AU29" s="1">
        <f t="shared" si="26"/>
        <v>0</v>
      </c>
      <c r="AV29" s="1"/>
      <c r="AW29" s="1">
        <f>AN29+Cement!R29-Clinker!E29</f>
        <v>2561.0129989471998</v>
      </c>
      <c r="AX29" s="1"/>
      <c r="AY29" s="50">
        <f>AN29-Production2!N29</f>
        <v>364</v>
      </c>
      <c r="AZ29" s="52">
        <f t="shared" si="11"/>
        <v>2274</v>
      </c>
      <c r="BA29">
        <v>27</v>
      </c>
      <c r="BD29">
        <v>0</v>
      </c>
      <c r="BE29">
        <f>(AN29-Production2!N29)/'Mines (2)'!AN29</f>
        <v>0.16007036059806509</v>
      </c>
      <c r="BF29">
        <f t="shared" si="15"/>
        <v>16.007036059806509</v>
      </c>
    </row>
    <row r="30" spans="2:59">
      <c r="B30" s="4">
        <v>28</v>
      </c>
      <c r="C30" s="39">
        <f t="shared" si="32"/>
        <v>7337.58318000297</v>
      </c>
      <c r="D30" s="1">
        <v>1262.1600000000001</v>
      </c>
      <c r="E30" s="269">
        <f>F30+'RAW MILL 2'!C30</f>
        <v>571</v>
      </c>
      <c r="F30" s="1">
        <v>385</v>
      </c>
      <c r="G30" s="9">
        <f t="shared" si="1"/>
        <v>8028.7431800029699</v>
      </c>
      <c r="H30" s="39">
        <f t="shared" si="33"/>
        <v>15968.65653564997</v>
      </c>
      <c r="I30" s="1">
        <v>1537.4</v>
      </c>
      <c r="J30" s="1">
        <v>2000</v>
      </c>
      <c r="K30" s="46">
        <f>H30+I30-J30-Cement!S30</f>
        <v>15089.049868981218</v>
      </c>
      <c r="L30" s="39">
        <f t="shared" si="34"/>
        <v>3629.66</v>
      </c>
      <c r="M30" s="1">
        <v>267.62</v>
      </c>
      <c r="N30" s="269">
        <f>O30+'RAW MILL 2'!D30</f>
        <v>18</v>
      </c>
      <c r="O30" s="1">
        <v>17</v>
      </c>
      <c r="P30" s="9">
        <f t="shared" si="4"/>
        <v>3879.2799999999997</v>
      </c>
      <c r="Q30" s="39">
        <f t="shared" si="35"/>
        <v>3.999999999996362E-2</v>
      </c>
      <c r="R30" s="1">
        <v>0</v>
      </c>
      <c r="S30" s="269">
        <f>T30+'RAW MILL 2'!E30</f>
        <v>0</v>
      </c>
      <c r="T30" s="1">
        <v>0</v>
      </c>
      <c r="U30" s="9">
        <f t="shared" si="21"/>
        <v>3.999999999996362E-2</v>
      </c>
      <c r="V30" s="27">
        <f t="shared" si="27"/>
        <v>0</v>
      </c>
      <c r="W30" s="1">
        <v>0</v>
      </c>
      <c r="X30" s="1">
        <v>0</v>
      </c>
      <c r="Y30" s="27">
        <f t="shared" si="28"/>
        <v>0</v>
      </c>
      <c r="Z30" s="27">
        <f t="shared" si="29"/>
        <v>728.2</v>
      </c>
      <c r="AA30" s="1">
        <v>0</v>
      </c>
      <c r="AB30" s="1">
        <v>0</v>
      </c>
      <c r="AC30" s="27">
        <f t="shared" si="7"/>
        <v>728.2</v>
      </c>
      <c r="AD30" s="27">
        <f t="shared" si="30"/>
        <v>0</v>
      </c>
      <c r="AE30" s="1">
        <v>0</v>
      </c>
      <c r="AF30" s="1">
        <v>0</v>
      </c>
      <c r="AG30" s="27">
        <f t="shared" si="8"/>
        <v>0</v>
      </c>
      <c r="AH30" s="27">
        <f t="shared" si="20"/>
        <v>289.44</v>
      </c>
      <c r="AI30" s="353">
        <v>0</v>
      </c>
      <c r="AJ30" s="461">
        <f>AK30+'RAW MILL 2'!G30</f>
        <v>23</v>
      </c>
      <c r="AK30" s="353">
        <v>22</v>
      </c>
      <c r="AL30" s="27">
        <f t="shared" si="9"/>
        <v>266.44</v>
      </c>
      <c r="AM30" s="31">
        <f>D30+I30+M30+R30+W30+AA30+Cement!Q30+Cement!V30+AE30</f>
        <v>3067.1800000000003</v>
      </c>
      <c r="AN30" s="31">
        <f>E30+J30+N30+S30+X30+AB30+Clinker!E30+AF30+AK30</f>
        <v>2645</v>
      </c>
      <c r="AO30" s="1">
        <f>Production2!N30</f>
        <v>2210</v>
      </c>
      <c r="AP30" s="1">
        <f t="shared" si="22"/>
        <v>-435</v>
      </c>
      <c r="AQ30" s="293"/>
      <c r="AR30" s="1">
        <f t="shared" si="23"/>
        <v>0.25837104072398193</v>
      </c>
      <c r="AS30" s="1">
        <f t="shared" si="24"/>
        <v>0.90497737556561086</v>
      </c>
      <c r="AT30" s="1">
        <f t="shared" si="25"/>
        <v>8.1447963800904983E-3</v>
      </c>
      <c r="AU30" s="1">
        <f t="shared" si="26"/>
        <v>0</v>
      </c>
      <c r="AV30" s="1"/>
      <c r="AW30" s="1">
        <f>AN30+Cement!R30-Clinker!E30</f>
        <v>2986.3060000018791</v>
      </c>
      <c r="AX30" s="1"/>
      <c r="AY30" s="50">
        <f>AN30-Production2!N30</f>
        <v>435</v>
      </c>
      <c r="AZ30" s="52">
        <f t="shared" si="11"/>
        <v>2645</v>
      </c>
      <c r="BA30">
        <v>28</v>
      </c>
      <c r="BD30">
        <v>0</v>
      </c>
      <c r="BE30">
        <f>(AN30-Production2!N30)/'Mines (2)'!AN30</f>
        <v>0.16446124763705103</v>
      </c>
      <c r="BF30">
        <f t="shared" si="15"/>
        <v>16.446124763705104</v>
      </c>
    </row>
    <row r="31" spans="2:59">
      <c r="B31" s="4">
        <v>29</v>
      </c>
      <c r="C31" s="39">
        <f t="shared" si="32"/>
        <v>8028.7431800029699</v>
      </c>
      <c r="D31" s="1">
        <v>2360.6999999999998</v>
      </c>
      <c r="E31" s="269">
        <f>F31+'RAW MILL 2'!C31</f>
        <v>626</v>
      </c>
      <c r="F31" s="1">
        <v>466</v>
      </c>
      <c r="G31" s="9">
        <f t="shared" si="1"/>
        <v>9763.4431800029706</v>
      </c>
      <c r="H31" s="39">
        <f t="shared" si="33"/>
        <v>15089.049868981218</v>
      </c>
      <c r="I31" s="1">
        <v>1259.26</v>
      </c>
      <c r="J31" s="1">
        <v>2000</v>
      </c>
      <c r="K31" s="46">
        <f>H31+I31-J31-Cement!S31</f>
        <v>13983.84320240522</v>
      </c>
      <c r="L31" s="39">
        <f t="shared" si="34"/>
        <v>3879.2799999999997</v>
      </c>
      <c r="M31" s="1">
        <v>0</v>
      </c>
      <c r="N31" s="269">
        <f>O31+'RAW MILL 2'!D31</f>
        <v>14</v>
      </c>
      <c r="O31" s="1">
        <v>13</v>
      </c>
      <c r="P31" s="9">
        <f t="shared" si="4"/>
        <v>3865.2799999999997</v>
      </c>
      <c r="Q31" s="39">
        <f t="shared" si="35"/>
        <v>3.999999999996362E-2</v>
      </c>
      <c r="R31" s="1">
        <v>0</v>
      </c>
      <c r="S31" s="269">
        <f>T31+'RAW MILL 2'!E31</f>
        <v>0</v>
      </c>
      <c r="T31" s="1">
        <v>0</v>
      </c>
      <c r="U31" s="9">
        <f t="shared" si="21"/>
        <v>3.999999999996362E-2</v>
      </c>
      <c r="V31" s="27">
        <f t="shared" si="27"/>
        <v>0</v>
      </c>
      <c r="W31" s="1">
        <v>0</v>
      </c>
      <c r="X31" s="1">
        <v>0</v>
      </c>
      <c r="Y31" s="27">
        <f t="shared" si="28"/>
        <v>0</v>
      </c>
      <c r="Z31" s="27">
        <f t="shared" si="29"/>
        <v>728.2</v>
      </c>
      <c r="AA31" s="1">
        <v>0</v>
      </c>
      <c r="AB31" s="1">
        <v>0</v>
      </c>
      <c r="AC31" s="27">
        <f t="shared" si="7"/>
        <v>728.2</v>
      </c>
      <c r="AD31" s="27">
        <f t="shared" si="30"/>
        <v>0</v>
      </c>
      <c r="AE31" s="1">
        <v>0</v>
      </c>
      <c r="AF31" s="1">
        <v>0</v>
      </c>
      <c r="AG31" s="27">
        <f t="shared" si="8"/>
        <v>0</v>
      </c>
      <c r="AH31" s="27">
        <f t="shared" si="20"/>
        <v>266.44</v>
      </c>
      <c r="AI31" s="353">
        <v>31.06</v>
      </c>
      <c r="AJ31" s="461">
        <f>AK31+'RAW MILL 2'!G31</f>
        <v>26</v>
      </c>
      <c r="AK31" s="353">
        <v>25</v>
      </c>
      <c r="AL31" s="27">
        <f t="shared" si="9"/>
        <v>271.5</v>
      </c>
      <c r="AM31" s="31">
        <f>D31+I31+M31+R31+W31+AA31+Cement!Q31+Cement!V31+AE31</f>
        <v>3619.96</v>
      </c>
      <c r="AN31" s="31">
        <f>E31+J31+N31+S31+X31+AB31+Clinker!E31+AF31+AK31</f>
        <v>2742</v>
      </c>
      <c r="AO31" s="1">
        <f>Production2!N31</f>
        <v>2320</v>
      </c>
      <c r="AP31" s="1">
        <f t="shared" si="22"/>
        <v>-422</v>
      </c>
      <c r="AQ31" s="293"/>
      <c r="AR31" s="1">
        <f t="shared" si="23"/>
        <v>0.26982758620689656</v>
      </c>
      <c r="AS31" s="1">
        <f t="shared" si="24"/>
        <v>0.86206896551724133</v>
      </c>
      <c r="AT31" s="1">
        <f t="shared" si="25"/>
        <v>6.0344827586206896E-3</v>
      </c>
      <c r="AU31" s="1">
        <f t="shared" si="26"/>
        <v>0</v>
      </c>
      <c r="AV31" s="1"/>
      <c r="AW31" s="1">
        <f>AN31+Cement!R31-Clinker!E31</f>
        <v>2993.0199999183988</v>
      </c>
      <c r="AX31" s="1"/>
      <c r="AY31" s="50">
        <f>AN31-Production2!N31</f>
        <v>422</v>
      </c>
      <c r="AZ31" s="175">
        <f t="shared" si="11"/>
        <v>2742</v>
      </c>
      <c r="BA31">
        <v>29</v>
      </c>
      <c r="BD31">
        <v>0</v>
      </c>
      <c r="BE31">
        <f>(AN31-Production2!N31)/'Mines (2)'!AN31</f>
        <v>0.15390226112326769</v>
      </c>
      <c r="BF31">
        <f t="shared" si="15"/>
        <v>15.390226112326769</v>
      </c>
    </row>
    <row r="32" spans="2:59">
      <c r="B32" s="4">
        <v>30</v>
      </c>
      <c r="C32" s="39">
        <f t="shared" si="32"/>
        <v>9763.4431800029706</v>
      </c>
      <c r="D32" s="1">
        <v>1731.64</v>
      </c>
      <c r="E32" s="269">
        <f>F32+'RAW MILL 2'!C32</f>
        <v>1628</v>
      </c>
      <c r="F32" s="1">
        <v>1538</v>
      </c>
      <c r="G32" s="9">
        <f t="shared" si="1"/>
        <v>9867.08318000297</v>
      </c>
      <c r="H32" s="39">
        <f t="shared" si="33"/>
        <v>13983.84320240522</v>
      </c>
      <c r="I32" s="1">
        <v>526.22</v>
      </c>
      <c r="J32" s="1">
        <v>0</v>
      </c>
      <c r="K32" s="46">
        <f>H32+I32-J32-Cement!S32</f>
        <v>14102.210979948331</v>
      </c>
      <c r="L32" s="39">
        <f t="shared" si="34"/>
        <v>3865.2799999999997</v>
      </c>
      <c r="M32" s="1">
        <v>0</v>
      </c>
      <c r="N32" s="269">
        <f>O32+'RAW MILL 2'!D32</f>
        <v>46</v>
      </c>
      <c r="O32" s="1">
        <v>43</v>
      </c>
      <c r="P32" s="9">
        <f t="shared" si="4"/>
        <v>3819.2799999999997</v>
      </c>
      <c r="Q32" s="39">
        <f t="shared" si="35"/>
        <v>3.999999999996362E-2</v>
      </c>
      <c r="R32" s="1">
        <v>0</v>
      </c>
      <c r="S32" s="269">
        <f>T32+'RAW MILL 2'!E32</f>
        <v>0</v>
      </c>
      <c r="T32" s="1">
        <v>0</v>
      </c>
      <c r="U32" s="9">
        <f t="shared" si="21"/>
        <v>3.999999999996362E-2</v>
      </c>
      <c r="V32" s="27">
        <f t="shared" si="27"/>
        <v>0</v>
      </c>
      <c r="W32" s="1">
        <v>0</v>
      </c>
      <c r="X32" s="1">
        <v>0</v>
      </c>
      <c r="Y32" s="27">
        <f t="shared" si="28"/>
        <v>0</v>
      </c>
      <c r="Z32" s="27">
        <f t="shared" si="29"/>
        <v>728.2</v>
      </c>
      <c r="AA32" s="1">
        <v>0</v>
      </c>
      <c r="AB32" s="1">
        <v>0</v>
      </c>
      <c r="AC32" s="27">
        <f t="shared" si="7"/>
        <v>728.2</v>
      </c>
      <c r="AD32" s="27">
        <f t="shared" si="30"/>
        <v>0</v>
      </c>
      <c r="AE32" s="1">
        <v>0</v>
      </c>
      <c r="AF32" s="1">
        <v>0</v>
      </c>
      <c r="AG32" s="27">
        <f t="shared" si="8"/>
        <v>0</v>
      </c>
      <c r="AH32" s="27">
        <f t="shared" si="20"/>
        <v>271.5</v>
      </c>
      <c r="AI32" s="353">
        <v>65.2</v>
      </c>
      <c r="AJ32" s="461">
        <f>AK32+'RAW MILL 2'!G32</f>
        <v>19</v>
      </c>
      <c r="AK32" s="353">
        <v>18</v>
      </c>
      <c r="AL32" s="27">
        <f t="shared" si="9"/>
        <v>317.7</v>
      </c>
      <c r="AM32" s="31">
        <f>D32+I32+M32+R32+W32+AA32+Cement!Q32+Cement!V32+AE32</f>
        <v>2257.86</v>
      </c>
      <c r="AN32" s="31">
        <f>E32+J32+N32+S32+X32+AB32+Clinker!E32+AF32+AK32</f>
        <v>1735</v>
      </c>
      <c r="AO32" s="1">
        <f>Production2!N32</f>
        <v>1476</v>
      </c>
      <c r="AP32" s="1">
        <f t="shared" si="22"/>
        <v>-259</v>
      </c>
      <c r="AQ32" s="293"/>
      <c r="AR32" s="1">
        <f t="shared" si="23"/>
        <v>1.102981029810298</v>
      </c>
      <c r="AS32" s="1">
        <f t="shared" si="24"/>
        <v>0</v>
      </c>
      <c r="AT32" s="1">
        <f t="shared" si="25"/>
        <v>3.1165311653116531E-2</v>
      </c>
      <c r="AU32" s="1">
        <f t="shared" si="26"/>
        <v>0</v>
      </c>
      <c r="AV32" s="1"/>
      <c r="AW32" s="1">
        <f>AN32+Cement!R32-Clinker!E32</f>
        <v>2059.0670002111988</v>
      </c>
      <c r="AX32" s="1"/>
      <c r="AY32" s="52">
        <f>AN32-Production2!N32</f>
        <v>259</v>
      </c>
      <c r="AZ32" s="175">
        <f t="shared" si="11"/>
        <v>1735</v>
      </c>
      <c r="BA32">
        <v>30</v>
      </c>
      <c r="BD32">
        <v>0</v>
      </c>
      <c r="BE32">
        <f>(AN32-Production2!N32)/'Mines (2)'!AN32</f>
        <v>0.14927953890489915</v>
      </c>
    </row>
    <row r="33" spans="2:53" s="160" customFormat="1">
      <c r="B33" s="155">
        <v>31</v>
      </c>
      <c r="C33" s="156">
        <f t="shared" si="32"/>
        <v>9867.08318000297</v>
      </c>
      <c r="D33" s="1">
        <v>0</v>
      </c>
      <c r="E33" s="269">
        <f>F33+'RAW MILL 2'!C33</f>
        <v>0</v>
      </c>
      <c r="F33" s="1">
        <v>0</v>
      </c>
      <c r="G33" s="9">
        <f t="shared" si="1"/>
        <v>9867.08318000297</v>
      </c>
      <c r="H33" s="156">
        <f t="shared" si="33"/>
        <v>14102.210979948331</v>
      </c>
      <c r="I33" s="1">
        <v>0</v>
      </c>
      <c r="J33" s="1">
        <v>0</v>
      </c>
      <c r="K33" s="46">
        <f>H33+I33-J33-Cement!S33</f>
        <v>14102.210979948331</v>
      </c>
      <c r="L33" s="156">
        <f t="shared" si="34"/>
        <v>3819.2799999999997</v>
      </c>
      <c r="M33" s="1">
        <v>0</v>
      </c>
      <c r="N33" s="269">
        <f>O33+'RAW MILL 2'!D33</f>
        <v>0</v>
      </c>
      <c r="O33" s="1">
        <v>0</v>
      </c>
      <c r="P33" s="9">
        <f t="shared" si="4"/>
        <v>3819.2799999999997</v>
      </c>
      <c r="Q33" s="156">
        <f t="shared" si="35"/>
        <v>3.999999999996362E-2</v>
      </c>
      <c r="R33" s="1">
        <v>0</v>
      </c>
      <c r="S33" s="269">
        <f>T33+'RAW MILL 2'!E33</f>
        <v>0</v>
      </c>
      <c r="T33" s="1">
        <v>0</v>
      </c>
      <c r="U33" s="9">
        <f t="shared" si="21"/>
        <v>3.999999999996362E-2</v>
      </c>
      <c r="V33" s="159">
        <f t="shared" ref="V33" si="36">Y32</f>
        <v>0</v>
      </c>
      <c r="W33" s="1">
        <v>0</v>
      </c>
      <c r="X33" s="1">
        <v>0</v>
      </c>
      <c r="Y33" s="27">
        <f t="shared" si="28"/>
        <v>0</v>
      </c>
      <c r="Z33" s="159">
        <f t="shared" si="29"/>
        <v>728.2</v>
      </c>
      <c r="AA33" s="1">
        <v>0</v>
      </c>
      <c r="AB33" s="1">
        <v>0</v>
      </c>
      <c r="AC33" s="27">
        <f t="shared" si="7"/>
        <v>728.2</v>
      </c>
      <c r="AD33" s="159">
        <f t="shared" si="30"/>
        <v>0</v>
      </c>
      <c r="AE33" s="1">
        <v>0</v>
      </c>
      <c r="AF33" s="1">
        <v>0</v>
      </c>
      <c r="AG33" s="27">
        <f t="shared" si="8"/>
        <v>0</v>
      </c>
      <c r="AH33" s="27">
        <f t="shared" si="20"/>
        <v>317.7</v>
      </c>
      <c r="AI33" s="353">
        <v>0</v>
      </c>
      <c r="AJ33" s="461">
        <f>AK33+'RAW MILL 2'!G33</f>
        <v>0</v>
      </c>
      <c r="AK33" s="353">
        <v>0</v>
      </c>
      <c r="AL33" s="27">
        <f t="shared" si="9"/>
        <v>317.7</v>
      </c>
      <c r="AM33" s="31">
        <f>D33+I33+M33+R33+W33+AA33+Cement!Q33+Cement!V33+AE33</f>
        <v>0</v>
      </c>
      <c r="AN33" s="31">
        <f>E33+J33+N33+S33+X33+AB33+Clinker!E33+AF33+AK33</f>
        <v>0</v>
      </c>
      <c r="AO33" s="157"/>
      <c r="AP33" s="157"/>
      <c r="AQ33" s="293"/>
      <c r="AR33" s="157"/>
      <c r="AS33" s="157"/>
      <c r="AT33" s="157"/>
      <c r="AU33" s="157"/>
      <c r="AV33" s="157"/>
      <c r="AW33" s="157"/>
      <c r="AX33" s="157"/>
      <c r="AY33" s="175">
        <f>AN33-Production2!N33</f>
        <v>0</v>
      </c>
    </row>
    <row r="34" spans="2:53" ht="15.75" thickBot="1">
      <c r="B34" s="5" t="s">
        <v>27</v>
      </c>
      <c r="C34" s="8"/>
      <c r="D34" s="8">
        <f>SUM(D3:D33)</f>
        <v>43393.3</v>
      </c>
      <c r="E34" s="8">
        <f>SUM(E3:E33)</f>
        <v>41049</v>
      </c>
      <c r="F34" s="8"/>
      <c r="G34" s="10"/>
      <c r="H34" s="8"/>
      <c r="I34" s="8">
        <f>SUM(I3:I33)</f>
        <v>41400.44</v>
      </c>
      <c r="J34" s="8">
        <f>SUM(J3:J33)</f>
        <v>26000</v>
      </c>
      <c r="K34" s="9"/>
      <c r="L34" s="8"/>
      <c r="M34" s="8">
        <f>SUM(M3:M33)</f>
        <v>2130.84</v>
      </c>
      <c r="N34" s="8">
        <f>SUM(N3:N33)</f>
        <v>1223</v>
      </c>
      <c r="O34" s="8">
        <f>SUM(O3:O33)</f>
        <v>1164</v>
      </c>
      <c r="P34" s="10"/>
      <c r="Q34" s="8"/>
      <c r="R34" s="8">
        <f>SUM(R3:R33)</f>
        <v>0</v>
      </c>
      <c r="S34" s="8">
        <f>SUM(S3:S33)</f>
        <v>0</v>
      </c>
      <c r="T34" s="8">
        <f>SUM(T3:T33)</f>
        <v>0</v>
      </c>
      <c r="U34" s="8">
        <f t="shared" ref="U34:Y34" si="37">SUM(U3:U33)</f>
        <v>1.2399999999988722</v>
      </c>
      <c r="V34" s="8">
        <f t="shared" si="37"/>
        <v>0</v>
      </c>
      <c r="W34" s="8">
        <f t="shared" si="37"/>
        <v>0</v>
      </c>
      <c r="X34" s="8">
        <f t="shared" si="37"/>
        <v>0</v>
      </c>
      <c r="Y34" s="8">
        <f t="shared" si="37"/>
        <v>0</v>
      </c>
      <c r="Z34" s="8">
        <f t="shared" ref="Z34:AC34" si="38">SUM(Z3:Z33)</f>
        <v>7581.8399999999983</v>
      </c>
      <c r="AA34" s="8">
        <f t="shared" si="38"/>
        <v>728.2</v>
      </c>
      <c r="AB34" s="8">
        <f t="shared" si="38"/>
        <v>0</v>
      </c>
      <c r="AC34" s="8">
        <f t="shared" si="38"/>
        <v>8310.0399999999991</v>
      </c>
      <c r="AD34" s="8">
        <f t="shared" ref="AD34:AG34" si="39">SUM(AD3:AD33)</f>
        <v>0</v>
      </c>
      <c r="AE34" s="8">
        <f t="shared" si="39"/>
        <v>0</v>
      </c>
      <c r="AF34" s="8">
        <f t="shared" si="39"/>
        <v>0</v>
      </c>
      <c r="AG34" s="8">
        <f t="shared" si="39"/>
        <v>0</v>
      </c>
      <c r="AH34" s="458"/>
      <c r="AI34" s="458">
        <f>SUM(AI3:AI33)</f>
        <v>217.33999999999997</v>
      </c>
      <c r="AJ34" s="458">
        <f t="shared" ref="AJ34:AK34" si="40">SUM(AJ3:AJ33)</f>
        <v>198</v>
      </c>
      <c r="AK34" s="458">
        <f t="shared" si="40"/>
        <v>189</v>
      </c>
      <c r="AL34" s="458"/>
      <c r="AM34" s="1"/>
      <c r="AN34" s="1">
        <f>SUM(AN3:AN33)</f>
        <v>70215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2:53">
      <c r="B35" t="s">
        <v>28</v>
      </c>
      <c r="D35" s="17">
        <f>D36+SUM(D3:D33)</f>
        <v>132051.02000000002</v>
      </c>
      <c r="E35" s="17">
        <f>E36+SUM(E3:E33)</f>
        <v>131690</v>
      </c>
      <c r="F35" s="17"/>
      <c r="G35" s="17"/>
      <c r="H35" s="17"/>
      <c r="I35" s="17">
        <f>I36+SUM(I3:I33)</f>
        <v>109610</v>
      </c>
      <c r="J35" s="17">
        <f>J36+SUM(J3:J33)</f>
        <v>75390</v>
      </c>
      <c r="K35" s="17"/>
      <c r="L35" s="17"/>
      <c r="M35" s="17">
        <f>M36+SUM(M3:M33)</f>
        <v>7400.2400000000016</v>
      </c>
      <c r="N35" s="17">
        <f>N36+SUM(N3:N33)</f>
        <v>3705</v>
      </c>
      <c r="O35" s="17">
        <f>O36+SUM(O3:O33)</f>
        <v>3554</v>
      </c>
      <c r="P35" s="17"/>
      <c r="Q35" s="17"/>
      <c r="R35" s="17">
        <f>R36+SUM(R3:R33)</f>
        <v>137.76</v>
      </c>
      <c r="S35" s="17">
        <f>S36+SUM(S3:S33)</f>
        <v>738</v>
      </c>
      <c r="T35" s="17">
        <f>T36+SUM(T3:T33)</f>
        <v>705</v>
      </c>
      <c r="W35" s="17">
        <f>W36+SUM(W3:W33)</f>
        <v>0</v>
      </c>
      <c r="X35" s="17">
        <f>X36+SUM(X3:X33)</f>
        <v>0</v>
      </c>
      <c r="AA35" s="17">
        <f>AA36+SUM(AA3:AA33)</f>
        <v>728.2</v>
      </c>
      <c r="AB35" s="17">
        <f>AB36+SUM(AB3:AB33)</f>
        <v>0</v>
      </c>
      <c r="AE35" s="17">
        <f>AE36+SUM(AE3:AE33)</f>
        <v>0</v>
      </c>
      <c r="AF35" s="17">
        <f t="shared" ref="AF35:AK35" si="41">AF36+SUM(AF3:AF33)</f>
        <v>0</v>
      </c>
      <c r="AG35" s="17"/>
      <c r="AH35" s="17"/>
      <c r="AI35" s="17">
        <f>AI36+SUM(AI3:AI33)</f>
        <v>217.33999999999997</v>
      </c>
      <c r="AJ35" s="17">
        <f>AJ36+SUM(AJ3:AJ33)</f>
        <v>198</v>
      </c>
      <c r="AK35" s="17">
        <f t="shared" si="41"/>
        <v>189</v>
      </c>
      <c r="AL35" s="17"/>
      <c r="AP35" s="1"/>
      <c r="AQ35" s="1"/>
    </row>
    <row r="36" spans="2:53">
      <c r="B36" t="s">
        <v>28</v>
      </c>
      <c r="D36" s="17">
        <v>88657.72</v>
      </c>
      <c r="E36" s="17">
        <v>90641</v>
      </c>
      <c r="F36" s="17"/>
      <c r="G36" s="17"/>
      <c r="H36" s="17"/>
      <c r="I36" s="17">
        <v>68209.56</v>
      </c>
      <c r="J36" s="17">
        <v>49390</v>
      </c>
      <c r="K36" s="17"/>
      <c r="L36" s="17"/>
      <c r="M36" s="17">
        <v>5269.4000000000015</v>
      </c>
      <c r="N36" s="17">
        <v>2482</v>
      </c>
      <c r="O36" s="17">
        <v>2390</v>
      </c>
      <c r="P36" s="17"/>
      <c r="Q36" s="17"/>
      <c r="R36" s="17">
        <v>137.76</v>
      </c>
      <c r="S36" s="17">
        <v>738</v>
      </c>
      <c r="T36" s="17">
        <v>705</v>
      </c>
      <c r="W36" s="17">
        <v>0</v>
      </c>
      <c r="X36" s="17">
        <v>0</v>
      </c>
      <c r="AA36" s="17">
        <v>0</v>
      </c>
      <c r="AB36" s="17">
        <v>0</v>
      </c>
      <c r="AE36" s="17">
        <v>0</v>
      </c>
      <c r="AF36" s="17">
        <v>0</v>
      </c>
      <c r="AI36" s="319">
        <v>0</v>
      </c>
      <c r="AJ36">
        <v>0</v>
      </c>
      <c r="AK36" s="319">
        <v>0</v>
      </c>
      <c r="AP36" s="1"/>
      <c r="AQ36" s="1"/>
    </row>
    <row r="39" spans="2:53">
      <c r="I39">
        <f>D36+I36+W36+AA36+Cement!Q36+Cement!V36</f>
        <v>156867.28</v>
      </c>
      <c r="J39">
        <f>E36+J36+X36+AB36+Cement!R36+Cement!W36</f>
        <v>159423.93299062591</v>
      </c>
      <c r="Q39" s="292">
        <v>3103</v>
      </c>
      <c r="R39" s="293">
        <v>3286</v>
      </c>
      <c r="S39" s="293">
        <v>2899</v>
      </c>
      <c r="T39" s="293">
        <v>2899</v>
      </c>
      <c r="U39" s="293">
        <v>3290</v>
      </c>
      <c r="V39" s="293">
        <v>3245</v>
      </c>
      <c r="W39" s="293">
        <v>3139</v>
      </c>
      <c r="X39" s="293">
        <v>1732</v>
      </c>
      <c r="Y39" s="293">
        <v>1959</v>
      </c>
      <c r="Z39" s="293">
        <v>3119</v>
      </c>
      <c r="AA39" s="293">
        <v>3017</v>
      </c>
      <c r="AB39" s="293">
        <v>3256</v>
      </c>
      <c r="AC39" s="293">
        <v>3209</v>
      </c>
      <c r="AD39" s="293">
        <v>3075</v>
      </c>
      <c r="AE39" s="293">
        <v>2456</v>
      </c>
      <c r="AF39" s="293">
        <v>2956</v>
      </c>
      <c r="AG39" s="293">
        <v>3022</v>
      </c>
      <c r="AH39" s="293"/>
      <c r="AI39" s="293"/>
      <c r="AJ39" s="293"/>
      <c r="AK39" s="293"/>
      <c r="AL39" s="293"/>
      <c r="AM39" s="294">
        <v>2379</v>
      </c>
      <c r="AN39" s="293">
        <v>3157</v>
      </c>
      <c r="AO39" s="293">
        <v>2838</v>
      </c>
      <c r="AP39" s="293">
        <v>3051</v>
      </c>
      <c r="AQ39" s="293">
        <v>2232</v>
      </c>
      <c r="AR39" s="293"/>
      <c r="AS39" s="293"/>
      <c r="AT39" s="293"/>
      <c r="AU39" s="293"/>
      <c r="AV39" s="293"/>
      <c r="AW39" s="293"/>
      <c r="AX39" s="293"/>
      <c r="AY39" s="293"/>
      <c r="AZ39" s="293"/>
      <c r="BA39" s="293"/>
    </row>
  </sheetData>
  <mergeCells count="8">
    <mergeCell ref="AH1:AL1"/>
    <mergeCell ref="AD1:AG1"/>
    <mergeCell ref="Z1:AC1"/>
    <mergeCell ref="C1:G1"/>
    <mergeCell ref="H1:K1"/>
    <mergeCell ref="L1:P1"/>
    <mergeCell ref="Q1:U1"/>
    <mergeCell ref="V1:Y1"/>
  </mergeCells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FL40"/>
  <sheetViews>
    <sheetView zoomScale="60" zoomScaleNormal="60" workbookViewId="0">
      <pane xSplit="2" ySplit="2" topLeftCell="AV3" activePane="bottomRight" state="frozen"/>
      <selection pane="bottomRight" activeCell="BD31" sqref="BD31"/>
      <selection pane="bottomLeft" activeCell="A3" sqref="A3"/>
      <selection pane="topRight" activeCell="C1" sqref="C1"/>
    </sheetView>
  </sheetViews>
  <sheetFormatPr defaultRowHeight="1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style="268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8.42578125" bestFit="1" customWidth="1"/>
    <col min="11" max="11" width="15.140625" bestFit="1" customWidth="1"/>
    <col min="12" max="12" width="16.28515625" bestFit="1" customWidth="1"/>
    <col min="13" max="13" width="12.7109375" bestFit="1" customWidth="1"/>
    <col min="14" max="15" width="12.7109375" customWidth="1"/>
    <col min="16" max="16" width="15.140625" bestFit="1" customWidth="1"/>
    <col min="17" max="17" width="15.5703125" bestFit="1" customWidth="1"/>
    <col min="18" max="18" width="16.28515625" bestFit="1" customWidth="1"/>
    <col min="19" max="19" width="12.7109375" bestFit="1" customWidth="1"/>
    <col min="20" max="20" width="21.140625" bestFit="1" customWidth="1"/>
    <col min="21" max="21" width="15.42578125" bestFit="1" customWidth="1"/>
    <col min="22" max="22" width="21.28515625" bestFit="1" customWidth="1"/>
    <col min="23" max="23" width="15.5703125" bestFit="1" customWidth="1"/>
    <col min="24" max="24" width="16.28515625" bestFit="1" customWidth="1"/>
    <col min="25" max="25" width="12.7109375" bestFit="1" customWidth="1"/>
    <col min="26" max="26" width="12.7109375" customWidth="1"/>
    <col min="27" max="27" width="15.140625" bestFit="1" customWidth="1"/>
    <col min="28" max="28" width="15.5703125" bestFit="1" customWidth="1"/>
    <col min="29" max="29" width="16.28515625" bestFit="1" customWidth="1"/>
    <col min="30" max="30" width="12.7109375" bestFit="1" customWidth="1"/>
    <col min="31" max="31" width="15.140625" bestFit="1" customWidth="1"/>
    <col min="32" max="32" width="15.5703125" bestFit="1" customWidth="1"/>
    <col min="33" max="33" width="16.28515625" bestFit="1" customWidth="1"/>
    <col min="34" max="34" width="12.7109375" bestFit="1" customWidth="1"/>
    <col min="35" max="35" width="12.7109375" customWidth="1"/>
    <col min="36" max="36" width="15.140625" bestFit="1" customWidth="1"/>
    <col min="37" max="37" width="15.5703125" bestFit="1" customWidth="1"/>
    <col min="38" max="139" width="15.5703125" customWidth="1"/>
    <col min="140" max="140" width="16.28515625" bestFit="1" customWidth="1"/>
    <col min="141" max="141" width="12.7109375" bestFit="1" customWidth="1"/>
    <col min="142" max="142" width="15.140625" bestFit="1" customWidth="1"/>
    <col min="143" max="143" width="15.5703125" bestFit="1" customWidth="1"/>
    <col min="144" max="144" width="12" customWidth="1"/>
    <col min="145" max="145" width="9.140625" customWidth="1"/>
    <col min="146" max="147" width="18" customWidth="1"/>
    <col min="148" max="148" width="9.7109375" bestFit="1" customWidth="1"/>
  </cols>
  <sheetData>
    <row r="1" spans="2:155">
      <c r="B1" s="3" t="s">
        <v>29</v>
      </c>
      <c r="C1" s="596" t="s">
        <v>30</v>
      </c>
      <c r="D1" s="597"/>
      <c r="E1" s="597"/>
      <c r="F1" s="599"/>
      <c r="G1" s="598"/>
      <c r="H1" s="596" t="s">
        <v>31</v>
      </c>
      <c r="I1" s="597"/>
      <c r="J1" s="597"/>
      <c r="K1" s="597"/>
      <c r="L1" s="596" t="s">
        <v>32</v>
      </c>
      <c r="M1" s="597"/>
      <c r="N1" s="597"/>
      <c r="O1" s="597"/>
      <c r="P1" s="597"/>
      <c r="Q1" s="598"/>
      <c r="R1" s="596" t="s">
        <v>33</v>
      </c>
      <c r="S1" s="597"/>
      <c r="T1" s="597"/>
      <c r="U1" s="599"/>
      <c r="V1" s="599"/>
      <c r="W1" s="598"/>
      <c r="X1" s="606" t="s">
        <v>34</v>
      </c>
      <c r="Y1" s="607"/>
      <c r="Z1" s="607"/>
      <c r="AA1" s="607"/>
      <c r="AB1" s="608"/>
      <c r="AC1" s="605" t="s">
        <v>35</v>
      </c>
      <c r="AD1" s="603"/>
      <c r="AE1" s="603"/>
      <c r="AF1" s="604"/>
      <c r="AG1" s="606" t="s">
        <v>36</v>
      </c>
      <c r="AH1" s="607"/>
      <c r="AI1" s="607"/>
      <c r="AJ1" s="607"/>
      <c r="AK1" s="608"/>
      <c r="AL1" s="605" t="s">
        <v>37</v>
      </c>
      <c r="AM1" s="603"/>
      <c r="AN1" s="603"/>
      <c r="AO1" s="604"/>
      <c r="AP1" s="605" t="s">
        <v>38</v>
      </c>
      <c r="AQ1" s="603"/>
      <c r="AR1" s="603"/>
      <c r="AS1" s="603"/>
      <c r="AT1" s="604"/>
      <c r="AU1" s="605" t="s">
        <v>39</v>
      </c>
      <c r="AV1" s="603"/>
      <c r="AW1" s="603"/>
      <c r="AX1" s="603"/>
      <c r="AY1" s="604"/>
      <c r="AZ1" s="609" t="s">
        <v>40</v>
      </c>
      <c r="BA1" s="610"/>
      <c r="BB1" s="610"/>
      <c r="BC1" s="610"/>
      <c r="BD1" s="611"/>
      <c r="BE1" s="605" t="s">
        <v>41</v>
      </c>
      <c r="BF1" s="603"/>
      <c r="BG1" s="603"/>
      <c r="BH1" s="603"/>
      <c r="BI1" s="604"/>
      <c r="BJ1" s="605" t="s">
        <v>42</v>
      </c>
      <c r="BK1" s="603"/>
      <c r="BL1" s="603"/>
      <c r="BM1" s="603"/>
      <c r="BN1" s="604"/>
      <c r="BO1" s="605" t="s">
        <v>43</v>
      </c>
      <c r="BP1" s="603"/>
      <c r="BQ1" s="603"/>
      <c r="BR1" s="604"/>
      <c r="BS1" s="173"/>
      <c r="BT1" s="603" t="s">
        <v>44</v>
      </c>
      <c r="BU1" s="603"/>
      <c r="BV1" s="603"/>
      <c r="BW1" s="603"/>
      <c r="BX1" s="603"/>
      <c r="BY1" s="603" t="s">
        <v>45</v>
      </c>
      <c r="BZ1" s="603"/>
      <c r="CA1" s="603"/>
      <c r="CB1" s="603"/>
      <c r="CC1" s="603"/>
      <c r="CD1" s="612" t="s">
        <v>46</v>
      </c>
      <c r="CE1" s="612"/>
      <c r="CF1" s="612"/>
      <c r="CG1" s="612"/>
      <c r="CH1" s="612"/>
      <c r="CI1" s="603" t="s">
        <v>47</v>
      </c>
      <c r="CJ1" s="603"/>
      <c r="CK1" s="603"/>
      <c r="CL1" s="603"/>
      <c r="CM1" s="603"/>
      <c r="CN1" s="613" t="s">
        <v>48</v>
      </c>
      <c r="CO1" s="613"/>
      <c r="CP1" s="613"/>
      <c r="CQ1" s="613"/>
      <c r="CR1" s="613"/>
      <c r="CS1" s="603" t="s">
        <v>49</v>
      </c>
      <c r="CT1" s="603"/>
      <c r="CU1" s="603"/>
      <c r="CV1" s="603"/>
      <c r="CW1" s="603"/>
      <c r="CX1" s="603" t="s">
        <v>50</v>
      </c>
      <c r="CY1" s="603"/>
      <c r="CZ1" s="603"/>
      <c r="DA1" s="603"/>
      <c r="DB1" s="603"/>
      <c r="DC1" s="603" t="s">
        <v>51</v>
      </c>
      <c r="DD1" s="603"/>
      <c r="DE1" s="603"/>
      <c r="DF1" s="603"/>
      <c r="DG1" s="603"/>
      <c r="DH1" s="603" t="s">
        <v>52</v>
      </c>
      <c r="DI1" s="603"/>
      <c r="DJ1" s="603"/>
      <c r="DK1" s="603"/>
      <c r="DL1" s="603"/>
      <c r="DM1" s="603" t="s">
        <v>53</v>
      </c>
      <c r="DN1" s="603"/>
      <c r="DO1" s="603"/>
      <c r="DP1" s="603"/>
      <c r="DQ1" s="603"/>
      <c r="DR1" s="602" t="s">
        <v>54</v>
      </c>
      <c r="DS1" s="602"/>
      <c r="DT1" s="602"/>
      <c r="DU1" s="602"/>
      <c r="DV1" s="602"/>
      <c r="DW1" s="603" t="s">
        <v>55</v>
      </c>
      <c r="DX1" s="603"/>
      <c r="DY1" s="603"/>
      <c r="DZ1" s="603"/>
      <c r="EA1" s="603"/>
      <c r="EB1" s="603" t="s">
        <v>56</v>
      </c>
      <c r="EC1" s="603"/>
      <c r="ED1" s="603"/>
      <c r="EE1" s="604"/>
      <c r="EF1" s="605" t="s">
        <v>57</v>
      </c>
      <c r="EG1" s="603"/>
      <c r="EH1" s="603"/>
      <c r="EI1" s="604"/>
      <c r="EJ1" s="11" t="s">
        <v>58</v>
      </c>
      <c r="EK1" s="12"/>
      <c r="EL1" s="12"/>
      <c r="EM1" s="13"/>
      <c r="EN1" s="1"/>
      <c r="EO1" s="1"/>
      <c r="EP1" s="600" t="s">
        <v>59</v>
      </c>
      <c r="EQ1" s="601"/>
    </row>
    <row r="2" spans="2:155">
      <c r="B2" s="4" t="s">
        <v>10</v>
      </c>
      <c r="C2" s="6" t="s">
        <v>11</v>
      </c>
      <c r="D2" s="1" t="s">
        <v>12</v>
      </c>
      <c r="E2" s="269" t="s">
        <v>60</v>
      </c>
      <c r="F2" s="26"/>
      <c r="G2" s="7" t="s">
        <v>15</v>
      </c>
      <c r="H2" s="6" t="s">
        <v>11</v>
      </c>
      <c r="I2" s="1" t="s">
        <v>12</v>
      </c>
      <c r="J2" s="1" t="s">
        <v>61</v>
      </c>
      <c r="K2" s="1" t="s">
        <v>15</v>
      </c>
      <c r="L2" s="6" t="s">
        <v>11</v>
      </c>
      <c r="M2" s="1" t="s">
        <v>12</v>
      </c>
      <c r="N2" s="1" t="s">
        <v>62</v>
      </c>
      <c r="O2" s="1" t="s">
        <v>63</v>
      </c>
      <c r="P2" s="1" t="s">
        <v>16</v>
      </c>
      <c r="Q2" s="7" t="s">
        <v>15</v>
      </c>
      <c r="R2" s="6" t="s">
        <v>11</v>
      </c>
      <c r="S2" s="1" t="s">
        <v>12</v>
      </c>
      <c r="T2" s="1" t="s">
        <v>64</v>
      </c>
      <c r="U2" s="26" t="s">
        <v>65</v>
      </c>
      <c r="V2" s="26" t="s">
        <v>13</v>
      </c>
      <c r="W2" s="7" t="s">
        <v>15</v>
      </c>
      <c r="X2" s="6" t="s">
        <v>11</v>
      </c>
      <c r="Y2" s="1" t="s">
        <v>12</v>
      </c>
      <c r="Z2" s="1" t="s">
        <v>62</v>
      </c>
      <c r="AA2" s="1" t="s">
        <v>16</v>
      </c>
      <c r="AB2" s="7" t="s">
        <v>15</v>
      </c>
      <c r="AC2" s="6" t="s">
        <v>11</v>
      </c>
      <c r="AD2" s="1" t="s">
        <v>12</v>
      </c>
      <c r="AE2" s="1" t="s">
        <v>16</v>
      </c>
      <c r="AF2" s="7" t="s">
        <v>15</v>
      </c>
      <c r="AG2" s="6" t="s">
        <v>11</v>
      </c>
      <c r="AH2" s="192" t="s">
        <v>12</v>
      </c>
      <c r="AI2" s="192" t="s">
        <v>66</v>
      </c>
      <c r="AJ2" s="1" t="s">
        <v>16</v>
      </c>
      <c r="AK2" s="7" t="s">
        <v>15</v>
      </c>
      <c r="AL2" s="6" t="s">
        <v>11</v>
      </c>
      <c r="AM2" s="1" t="s">
        <v>12</v>
      </c>
      <c r="AN2" s="1" t="s">
        <v>16</v>
      </c>
      <c r="AO2" s="7" t="s">
        <v>15</v>
      </c>
      <c r="AP2" s="6" t="s">
        <v>11</v>
      </c>
      <c r="AQ2" s="1" t="s">
        <v>12</v>
      </c>
      <c r="AR2" s="1" t="s">
        <v>16</v>
      </c>
      <c r="AS2" s="26" t="s">
        <v>67</v>
      </c>
      <c r="AT2" s="7" t="s">
        <v>15</v>
      </c>
      <c r="AU2" s="6" t="s">
        <v>11</v>
      </c>
      <c r="AV2" s="1" t="s">
        <v>12</v>
      </c>
      <c r="AW2" s="1" t="s">
        <v>16</v>
      </c>
      <c r="AX2" s="26" t="s">
        <v>67</v>
      </c>
      <c r="AY2" s="7" t="s">
        <v>15</v>
      </c>
      <c r="AZ2" s="6" t="s">
        <v>11</v>
      </c>
      <c r="BA2" s="192" t="s">
        <v>12</v>
      </c>
      <c r="BB2" s="1" t="s">
        <v>16</v>
      </c>
      <c r="BC2" s="26" t="s">
        <v>67</v>
      </c>
      <c r="BD2" s="7" t="s">
        <v>15</v>
      </c>
      <c r="BE2" s="6" t="s">
        <v>11</v>
      </c>
      <c r="BF2" s="1" t="s">
        <v>12</v>
      </c>
      <c r="BG2" s="1" t="s">
        <v>16</v>
      </c>
      <c r="BH2" s="26" t="s">
        <v>67</v>
      </c>
      <c r="BI2" s="7" t="s">
        <v>15</v>
      </c>
      <c r="BJ2" s="6" t="s">
        <v>11</v>
      </c>
      <c r="BK2" s="1" t="s">
        <v>12</v>
      </c>
      <c r="BL2" s="1" t="s">
        <v>16</v>
      </c>
      <c r="BM2" s="26" t="s">
        <v>67</v>
      </c>
      <c r="BN2" s="7" t="s">
        <v>15</v>
      </c>
      <c r="BO2" s="6" t="s">
        <v>11</v>
      </c>
      <c r="BP2" s="1" t="s">
        <v>12</v>
      </c>
      <c r="BQ2" s="1" t="s">
        <v>16</v>
      </c>
      <c r="BR2" s="26" t="s">
        <v>67</v>
      </c>
      <c r="BS2" s="7" t="s">
        <v>15</v>
      </c>
      <c r="BT2" s="6" t="s">
        <v>11</v>
      </c>
      <c r="BU2" s="1" t="s">
        <v>12</v>
      </c>
      <c r="BV2" s="1" t="s">
        <v>16</v>
      </c>
      <c r="BW2" s="26" t="s">
        <v>67</v>
      </c>
      <c r="BX2" s="7" t="s">
        <v>15</v>
      </c>
      <c r="BY2" s="6" t="s">
        <v>11</v>
      </c>
      <c r="BZ2" s="1" t="s">
        <v>12</v>
      </c>
      <c r="CA2" s="1" t="s">
        <v>16</v>
      </c>
      <c r="CB2" s="26" t="s">
        <v>67</v>
      </c>
      <c r="CC2" s="26" t="s">
        <v>15</v>
      </c>
      <c r="CD2" s="6" t="s">
        <v>11</v>
      </c>
      <c r="CE2" s="1" t="s">
        <v>12</v>
      </c>
      <c r="CF2" s="1" t="s">
        <v>16</v>
      </c>
      <c r="CG2" s="26" t="s">
        <v>67</v>
      </c>
      <c r="CH2" s="7" t="s">
        <v>15</v>
      </c>
      <c r="CI2" s="6" t="s">
        <v>11</v>
      </c>
      <c r="CJ2" s="1" t="s">
        <v>12</v>
      </c>
      <c r="CK2" s="1" t="s">
        <v>16</v>
      </c>
      <c r="CL2" s="26" t="s">
        <v>67</v>
      </c>
      <c r="CM2" s="7" t="s">
        <v>15</v>
      </c>
      <c r="CN2" s="6" t="s">
        <v>11</v>
      </c>
      <c r="CO2" s="1" t="s">
        <v>12</v>
      </c>
      <c r="CP2" s="192" t="s">
        <v>16</v>
      </c>
      <c r="CQ2" s="26" t="s">
        <v>67</v>
      </c>
      <c r="CR2" s="7" t="s">
        <v>15</v>
      </c>
      <c r="CS2" s="6" t="s">
        <v>11</v>
      </c>
      <c r="CT2" s="1" t="s">
        <v>12</v>
      </c>
      <c r="CU2" s="1" t="s">
        <v>16</v>
      </c>
      <c r="CV2" s="26" t="s">
        <v>67</v>
      </c>
      <c r="CW2" s="7" t="s">
        <v>15</v>
      </c>
      <c r="CX2" s="6" t="s">
        <v>11</v>
      </c>
      <c r="CY2" s="1" t="s">
        <v>12</v>
      </c>
      <c r="CZ2" s="1" t="s">
        <v>16</v>
      </c>
      <c r="DA2" s="26" t="s">
        <v>67</v>
      </c>
      <c r="DB2" s="7" t="s">
        <v>15</v>
      </c>
      <c r="DC2" s="6" t="s">
        <v>11</v>
      </c>
      <c r="DD2" s="1" t="s">
        <v>12</v>
      </c>
      <c r="DE2" s="1" t="s">
        <v>16</v>
      </c>
      <c r="DF2" s="26" t="s">
        <v>67</v>
      </c>
      <c r="DG2" s="7" t="s">
        <v>15</v>
      </c>
      <c r="DH2" s="6" t="s">
        <v>11</v>
      </c>
      <c r="DI2" s="1" t="s">
        <v>12</v>
      </c>
      <c r="DJ2" s="1" t="s">
        <v>16</v>
      </c>
      <c r="DK2" s="26" t="s">
        <v>67</v>
      </c>
      <c r="DL2" s="7" t="s">
        <v>15</v>
      </c>
      <c r="DM2" s="6" t="s">
        <v>11</v>
      </c>
      <c r="DN2" s="1" t="s">
        <v>12</v>
      </c>
      <c r="DO2" s="1" t="s">
        <v>16</v>
      </c>
      <c r="DP2" s="26" t="s">
        <v>67</v>
      </c>
      <c r="DQ2" s="7" t="s">
        <v>15</v>
      </c>
      <c r="DR2" s="6" t="s">
        <v>11</v>
      </c>
      <c r="DS2" s="1" t="s">
        <v>12</v>
      </c>
      <c r="DT2" s="1" t="s">
        <v>16</v>
      </c>
      <c r="DU2" s="26" t="s">
        <v>67</v>
      </c>
      <c r="DV2" s="7" t="s">
        <v>15</v>
      </c>
      <c r="DW2" s="6" t="s">
        <v>11</v>
      </c>
      <c r="DX2" s="1" t="s">
        <v>12</v>
      </c>
      <c r="DY2" s="1" t="s">
        <v>16</v>
      </c>
      <c r="DZ2" s="26" t="s">
        <v>67</v>
      </c>
      <c r="EA2" s="7" t="s">
        <v>15</v>
      </c>
      <c r="EB2" s="178" t="s">
        <v>15</v>
      </c>
      <c r="EC2" s="1" t="s">
        <v>12</v>
      </c>
      <c r="ED2" s="1" t="s">
        <v>16</v>
      </c>
      <c r="EE2" s="7" t="s">
        <v>15</v>
      </c>
      <c r="EF2" s="6" t="s">
        <v>11</v>
      </c>
      <c r="EG2" s="1" t="s">
        <v>12</v>
      </c>
      <c r="EH2" s="1" t="s">
        <v>16</v>
      </c>
      <c r="EI2" s="7" t="s">
        <v>15</v>
      </c>
      <c r="EJ2" s="6" t="s">
        <v>11</v>
      </c>
      <c r="EK2" s="192" t="s">
        <v>12</v>
      </c>
      <c r="EL2" s="1" t="s">
        <v>16</v>
      </c>
      <c r="EM2" s="7" t="s">
        <v>15</v>
      </c>
      <c r="EN2" s="1" t="s">
        <v>68</v>
      </c>
      <c r="EO2" s="1" t="s">
        <v>69</v>
      </c>
      <c r="EP2" s="1" t="s">
        <v>70</v>
      </c>
      <c r="EQ2" s="1" t="s">
        <v>71</v>
      </c>
      <c r="ER2" t="s">
        <v>72</v>
      </c>
    </row>
    <row r="3" spans="2:155">
      <c r="B3" s="4">
        <v>1</v>
      </c>
      <c r="C3" s="48">
        <v>2647.92</v>
      </c>
      <c r="D3" s="1">
        <v>0</v>
      </c>
      <c r="E3" s="269">
        <f>F3+'RAW MILL 2'!F3</f>
        <v>52</v>
      </c>
      <c r="F3" s="1">
        <v>48</v>
      </c>
      <c r="G3" s="9">
        <f>C3+D3-E3</f>
        <v>2595.92</v>
      </c>
      <c r="H3" s="48">
        <v>1267.6400168375185</v>
      </c>
      <c r="I3" s="33">
        <f>Production2!N3+Production2!Q3</f>
        <v>3111.06</v>
      </c>
      <c r="J3" s="33">
        <f>Production2!K3</f>
        <v>3053.5</v>
      </c>
      <c r="K3" s="18">
        <f>H3+I3-J3</f>
        <v>1325.200016837518</v>
      </c>
      <c r="L3" s="48">
        <v>0</v>
      </c>
      <c r="M3" s="1">
        <v>0</v>
      </c>
      <c r="N3" s="33">
        <f>CPP!D3</f>
        <v>0</v>
      </c>
      <c r="O3" s="1">
        <v>0</v>
      </c>
      <c r="P3" s="33">
        <f t="shared" ref="P3:P26" si="0">N3+O3</f>
        <v>0</v>
      </c>
      <c r="Q3" s="9">
        <f>L3+M3-O3-N3</f>
        <v>0</v>
      </c>
      <c r="R3" s="48">
        <v>0</v>
      </c>
      <c r="S3" s="1">
        <v>0</v>
      </c>
      <c r="T3" s="33">
        <f>CPP!E3</f>
        <v>0</v>
      </c>
      <c r="U3" s="26">
        <v>0</v>
      </c>
      <c r="V3" s="38">
        <f>T3+U3</f>
        <v>0</v>
      </c>
      <c r="W3" s="9">
        <f>R3+S3-V3</f>
        <v>0</v>
      </c>
      <c r="X3" s="48">
        <v>1063.0399999999981</v>
      </c>
      <c r="Y3" s="1">
        <v>0</v>
      </c>
      <c r="Z3" s="33">
        <f>CPP!H3</f>
        <v>0</v>
      </c>
      <c r="AA3" s="1">
        <v>0</v>
      </c>
      <c r="AB3" s="9">
        <f>X3+Y3-AA3-Z3</f>
        <v>1063.0399999999981</v>
      </c>
      <c r="AC3" s="48">
        <v>0</v>
      </c>
      <c r="AD3" s="1">
        <v>0</v>
      </c>
      <c r="AE3" s="1">
        <v>0</v>
      </c>
      <c r="AF3" s="9">
        <f t="shared" ref="AF3:AF26" si="1">AC3+AD3-AE3</f>
        <v>0</v>
      </c>
      <c r="AG3" s="158">
        <v>4048.6699999999937</v>
      </c>
      <c r="AH3" s="1">
        <v>272.05</v>
      </c>
      <c r="AI3" s="1">
        <v>0</v>
      </c>
      <c r="AJ3" s="170">
        <f>CPP!G3</f>
        <v>156</v>
      </c>
      <c r="AK3" s="9">
        <f t="shared" ref="AK3:AK14" si="2">AG3+AH3-AJ3</f>
        <v>4164.7199999999939</v>
      </c>
      <c r="AL3" s="129">
        <v>0</v>
      </c>
      <c r="AM3" s="1">
        <v>0</v>
      </c>
      <c r="AN3" s="1">
        <v>0</v>
      </c>
      <c r="AO3" s="18">
        <f>AL3+AM3-AN3</f>
        <v>0</v>
      </c>
      <c r="AP3" s="129">
        <v>0</v>
      </c>
      <c r="AQ3" s="1">
        <v>0</v>
      </c>
      <c r="AR3" s="1">
        <v>0</v>
      </c>
      <c r="AS3" s="171">
        <f>CPP!I3</f>
        <v>0</v>
      </c>
      <c r="AT3" s="129">
        <f>AP3+AQ3-AR3-AS3</f>
        <v>0</v>
      </c>
      <c r="AU3" s="1">
        <v>0</v>
      </c>
      <c r="AV3" s="1">
        <v>0</v>
      </c>
      <c r="AW3" s="1">
        <v>0</v>
      </c>
      <c r="AX3" s="170">
        <f>CPP!J3</f>
        <v>0</v>
      </c>
      <c r="AY3" s="1">
        <f>AU3+AV3-AW3-AX3</f>
        <v>0</v>
      </c>
      <c r="AZ3" s="1">
        <v>412.02699999999027</v>
      </c>
      <c r="BA3" s="1">
        <v>121.76</v>
      </c>
      <c r="BB3" s="1">
        <v>0</v>
      </c>
      <c r="BC3" s="170">
        <f>CPP!K3</f>
        <v>0</v>
      </c>
      <c r="BD3" s="1">
        <f>AZ3+BA3-BB3-BC3</f>
        <v>533.78699999999026</v>
      </c>
      <c r="BE3" s="1">
        <v>0</v>
      </c>
      <c r="BF3" s="1">
        <v>0</v>
      </c>
      <c r="BG3" s="1">
        <v>0</v>
      </c>
      <c r="BH3" s="170">
        <f>CPP!L3</f>
        <v>0</v>
      </c>
      <c r="BI3" s="1">
        <f>BE3+BF3-BG3-BH3</f>
        <v>0</v>
      </c>
      <c r="BJ3" s="1">
        <v>0</v>
      </c>
      <c r="BK3" s="1">
        <v>0</v>
      </c>
      <c r="BL3" s="1">
        <v>0</v>
      </c>
      <c r="BM3" s="170">
        <f>CPP!M3</f>
        <v>0</v>
      </c>
      <c r="BN3" s="1">
        <f>BJ3+BK3-BL3-BM3</f>
        <v>0</v>
      </c>
      <c r="BO3" s="1">
        <v>0</v>
      </c>
      <c r="BP3" s="1">
        <v>0</v>
      </c>
      <c r="BQ3" s="1">
        <v>0</v>
      </c>
      <c r="BR3" s="170">
        <f>CPP!N3</f>
        <v>0</v>
      </c>
      <c r="BS3" s="1">
        <f>BO3+BP3-BQ3-BR3</f>
        <v>0</v>
      </c>
      <c r="BT3" s="1">
        <v>0</v>
      </c>
      <c r="BU3" s="1">
        <v>0</v>
      </c>
      <c r="BV3" s="1">
        <v>0</v>
      </c>
      <c r="BW3" s="170">
        <f>CPP!O3</f>
        <v>0</v>
      </c>
      <c r="BX3" s="1">
        <f>BT3+BU3-BV3-BW3</f>
        <v>0</v>
      </c>
      <c r="BY3" s="174">
        <v>9.9999999999909051E-3</v>
      </c>
      <c r="BZ3" s="1">
        <v>0</v>
      </c>
      <c r="CA3" s="1">
        <v>0</v>
      </c>
      <c r="CB3" s="170"/>
      <c r="CC3" s="26">
        <v>0</v>
      </c>
      <c r="CD3" s="1">
        <v>0</v>
      </c>
      <c r="CE3" s="1">
        <v>0</v>
      </c>
      <c r="CF3" s="1">
        <v>0</v>
      </c>
      <c r="CG3" s="170">
        <f>CPP!P3</f>
        <v>0</v>
      </c>
      <c r="CH3" s="26">
        <f>CD3+CE3-CF3-CG3</f>
        <v>0</v>
      </c>
      <c r="CI3" s="1">
        <v>0</v>
      </c>
      <c r="CJ3" s="1">
        <v>0</v>
      </c>
      <c r="CK3" s="1">
        <v>0</v>
      </c>
      <c r="CL3" s="170">
        <f>CPP!Q3</f>
        <v>0</v>
      </c>
      <c r="CM3" s="1">
        <f>CI3+CJ3-CK3-CL3</f>
        <v>0</v>
      </c>
      <c r="CN3" s="1">
        <v>5.0000000000181899E-2</v>
      </c>
      <c r="CO3" s="1">
        <v>0</v>
      </c>
      <c r="CP3" s="1">
        <v>0</v>
      </c>
      <c r="CQ3" s="170">
        <f>CPP!R3</f>
        <v>0</v>
      </c>
      <c r="CR3" s="1">
        <f>CN3+CO3-CP3-CQ3</f>
        <v>5.0000000000181899E-2</v>
      </c>
      <c r="CS3" s="129">
        <v>0</v>
      </c>
      <c r="CT3" s="1">
        <v>0</v>
      </c>
      <c r="CU3" s="1">
        <v>0</v>
      </c>
      <c r="CV3" s="171">
        <f>CPP!S3</f>
        <v>0</v>
      </c>
      <c r="CW3" s="129">
        <f>CS3+CT3-CU3-CV3</f>
        <v>0</v>
      </c>
      <c r="CX3" s="129">
        <v>0</v>
      </c>
      <c r="CY3" s="1">
        <v>0</v>
      </c>
      <c r="CZ3" s="1">
        <v>0</v>
      </c>
      <c r="DA3" s="171">
        <f>CPP!T3</f>
        <v>0</v>
      </c>
      <c r="DB3" s="129">
        <f>CX3+CY3-CZ3-DA3</f>
        <v>0</v>
      </c>
      <c r="DC3" s="129">
        <v>7.1100000000000136</v>
      </c>
      <c r="DD3" s="1">
        <v>0</v>
      </c>
      <c r="DE3" s="1">
        <v>7.1</v>
      </c>
      <c r="DF3" s="171">
        <f>CPP!U3</f>
        <v>0</v>
      </c>
      <c r="DG3" s="129">
        <f>DC3+DD3-DE3-DF3</f>
        <v>1.0000000000013998E-2</v>
      </c>
      <c r="DH3" s="129">
        <v>0</v>
      </c>
      <c r="DI3" s="1">
        <v>0</v>
      </c>
      <c r="DJ3" s="1">
        <v>0</v>
      </c>
      <c r="DK3" s="171">
        <f>CPP!V3</f>
        <v>0</v>
      </c>
      <c r="DL3" s="129">
        <f>DH3+DI3-DJ3-DK3</f>
        <v>0</v>
      </c>
      <c r="DM3" s="129">
        <v>212</v>
      </c>
      <c r="DN3" s="1">
        <v>30</v>
      </c>
      <c r="DO3" s="1">
        <v>0</v>
      </c>
      <c r="DP3" s="171">
        <f>CPP!W3</f>
        <v>0</v>
      </c>
      <c r="DQ3" s="129">
        <f>DM3+DN3-DO3-DP3</f>
        <v>242</v>
      </c>
      <c r="DR3" s="129">
        <v>2933.9000000000024</v>
      </c>
      <c r="DS3" s="1">
        <v>0</v>
      </c>
      <c r="DT3" s="1">
        <v>306.23</v>
      </c>
      <c r="DU3" s="171">
        <f>CPP!X3</f>
        <v>0</v>
      </c>
      <c r="DV3" s="129">
        <f>DR3+DS3-DT3-DU3</f>
        <v>2627.6700000000023</v>
      </c>
      <c r="DW3" s="129">
        <v>0</v>
      </c>
      <c r="DX3" s="1">
        <v>0</v>
      </c>
      <c r="DY3" s="1">
        <v>0</v>
      </c>
      <c r="DZ3" s="171">
        <f>CPP!Y3</f>
        <v>0</v>
      </c>
      <c r="EA3" s="129">
        <f>DW3+DX3-DY3-DZ3</f>
        <v>0</v>
      </c>
      <c r="EB3" s="129">
        <f>L3+AP3+AU3+AZ3+BE3+BJ3+BT3+BY3+CD3+CI3+CS3+CX3+DC3+DH3+DM3+DW3+X3+DR3</f>
        <v>4628.0869999999904</v>
      </c>
      <c r="EC3" s="170">
        <f>M3+Y3+AM3+AQ3+AV3+BA3+BF3+BK3+BP3+BU3+BZ3+CT3+CY3+DD3+DI3+DN3+DX3+DS3</f>
        <v>151.76</v>
      </c>
      <c r="ED3" s="170">
        <f>O3+AA3+AN3+AR3+AW3+BB3+BG3+BL3+BQ3+BV3+CA3+CU3+CZ3+DE3+DJ3+DO3+DY3+DT3</f>
        <v>313.33000000000004</v>
      </c>
      <c r="EE3" s="129">
        <f>EB3+EC3-ED3-N3-Z3-AS3-AX3-BC3-BH3-BM3-BR3-BW3-CV3-DA3-DF3-DK3-DP3-DZ3-DU3</f>
        <v>4466.5169999999907</v>
      </c>
      <c r="EF3" s="18">
        <f>R3+AC3+AG3+AL3+CN3</f>
        <v>4048.7199999999939</v>
      </c>
      <c r="EG3" s="170">
        <f>S3+AD3+AH3+CE3+CJ3+CO3</f>
        <v>272.05</v>
      </c>
      <c r="EH3" s="170">
        <f>CPP!D3+CPP!E3+CPP!F3+CPP!G3+CPP!H3+CPP!I3+CPP!J3+CPP!K3+CPP!L3+CPP!M3+CPP!N3+CPP!O3+CPP!P3+CPP!Q3+CPP!R3+CPP!S3+DA3+DF3+DK3+CPP!W3+DU3</f>
        <v>156</v>
      </c>
      <c r="EI3" s="18">
        <f>EF3+EG3-CPP!G3-CPP!E3-CPP!F3-CPP!P3-CPP!Q3-CL3-CQ3-DU3</f>
        <v>4164.7699999999941</v>
      </c>
      <c r="EJ3" s="130">
        <v>25945.809085761677</v>
      </c>
      <c r="EK3" s="1">
        <v>1970</v>
      </c>
      <c r="EL3" s="247">
        <f>'Daily CEM-1'!AG4+'Daily  CEM - 2'!AF4-EQ3</f>
        <v>1611.3400000000015</v>
      </c>
      <c r="EM3" s="40">
        <f>EJ3+EK3-EL3-EN3</f>
        <v>26304.469085761677</v>
      </c>
      <c r="EN3" s="1">
        <v>0</v>
      </c>
      <c r="EO3" s="18">
        <v>5306.1090080001359</v>
      </c>
      <c r="EP3" s="1">
        <v>0</v>
      </c>
      <c r="EQ3" s="1">
        <v>0</v>
      </c>
      <c r="ER3" s="17">
        <f>EO3+EP3-EQ3</f>
        <v>5306.1090080001359</v>
      </c>
      <c r="ES3">
        <f>ET3-EP3</f>
        <v>1722.57</v>
      </c>
      <c r="ET3">
        <v>1722.57</v>
      </c>
      <c r="EU3" s="51">
        <f>EL3+EQ3</f>
        <v>1611.3400000000015</v>
      </c>
      <c r="EV3" s="51">
        <f>EL3+EQ3</f>
        <v>1611.3400000000015</v>
      </c>
      <c r="EW3" s="51">
        <f>(EU3/Production2!CG3)*100</f>
        <v>79.887952404561304</v>
      </c>
      <c r="EX3">
        <v>74.814814830833328</v>
      </c>
      <c r="EY3">
        <f>EX3*100</f>
        <v>7481.4814830833329</v>
      </c>
    </row>
    <row r="4" spans="2:155">
      <c r="B4" s="4">
        <v>2</v>
      </c>
      <c r="C4" s="39">
        <f t="shared" ref="C4:C27" si="3">G3</f>
        <v>2595.92</v>
      </c>
      <c r="D4" s="1">
        <v>0</v>
      </c>
      <c r="E4" s="269">
        <f>F4+'RAW MILL 2'!F4</f>
        <v>49</v>
      </c>
      <c r="F4" s="1">
        <v>44</v>
      </c>
      <c r="G4" s="9">
        <f t="shared" ref="G4:G33" si="4">C4+D4-E4</f>
        <v>2546.92</v>
      </c>
      <c r="H4" s="39">
        <f t="shared" ref="H4:H27" si="5">K3</f>
        <v>1325.200016837518</v>
      </c>
      <c r="I4" s="33">
        <f>Production2!N4+Production2!Q4</f>
        <v>1778.97</v>
      </c>
      <c r="J4" s="33">
        <f>Production2!K4</f>
        <v>2503.25</v>
      </c>
      <c r="K4" s="18">
        <f t="shared" ref="K4:K33" si="6">H4+I4-J4</f>
        <v>600.92001683751823</v>
      </c>
      <c r="L4" s="39">
        <f t="shared" ref="L4:L27" si="7">Q3</f>
        <v>0</v>
      </c>
      <c r="M4" s="1">
        <v>0</v>
      </c>
      <c r="N4" s="33">
        <f>CPP!D4</f>
        <v>0</v>
      </c>
      <c r="O4" s="1">
        <v>0</v>
      </c>
      <c r="P4" s="33">
        <f t="shared" si="0"/>
        <v>0</v>
      </c>
      <c r="Q4" s="9">
        <f>L4+M4-O4-N4</f>
        <v>0</v>
      </c>
      <c r="R4" s="39">
        <f t="shared" ref="R4:R27" si="8">W3</f>
        <v>0</v>
      </c>
      <c r="S4" s="1">
        <v>0</v>
      </c>
      <c r="T4" s="33">
        <f>CPP!E4</f>
        <v>0</v>
      </c>
      <c r="U4" s="26">
        <v>0</v>
      </c>
      <c r="V4" s="38">
        <f t="shared" ref="V4:V33" si="9">T4+U4</f>
        <v>0</v>
      </c>
      <c r="W4" s="9">
        <f t="shared" ref="W4:W33" si="10">R4+S4-V4</f>
        <v>0</v>
      </c>
      <c r="X4" s="39">
        <f t="shared" ref="X4:X27" si="11">AB3</f>
        <v>1063.0399999999981</v>
      </c>
      <c r="Y4" s="1">
        <v>0</v>
      </c>
      <c r="Z4" s="33">
        <f>CPP!H4</f>
        <v>0</v>
      </c>
      <c r="AA4" s="1">
        <v>0</v>
      </c>
      <c r="AB4" s="9">
        <f t="shared" ref="AB4:AB33" si="12">X4+Y4-AA4-Z4</f>
        <v>1063.0399999999981</v>
      </c>
      <c r="AC4" s="39">
        <f t="shared" ref="AC4:AC33" si="13">AF3</f>
        <v>0</v>
      </c>
      <c r="AD4" s="1">
        <v>0</v>
      </c>
      <c r="AE4" s="1">
        <v>0</v>
      </c>
      <c r="AF4" s="9">
        <f t="shared" si="1"/>
        <v>0</v>
      </c>
      <c r="AG4" s="39">
        <f t="shared" ref="AG4:AG33" si="14">AK3</f>
        <v>4164.7199999999939</v>
      </c>
      <c r="AH4" s="1">
        <v>150.1</v>
      </c>
      <c r="AI4" s="1">
        <v>0</v>
      </c>
      <c r="AJ4" s="170">
        <f>CPP!G4</f>
        <v>130</v>
      </c>
      <c r="AK4" s="9">
        <f t="shared" si="2"/>
        <v>4184.8199999999943</v>
      </c>
      <c r="AL4" s="129">
        <f>AO3</f>
        <v>0</v>
      </c>
      <c r="AM4" s="1">
        <v>0</v>
      </c>
      <c r="AN4" s="1">
        <v>0</v>
      </c>
      <c r="AO4" s="18">
        <f t="shared" ref="AO4:AO33" si="15">AL4+AM4-AN4</f>
        <v>0</v>
      </c>
      <c r="AP4" s="129">
        <f>AT3</f>
        <v>0</v>
      </c>
      <c r="AQ4" s="1">
        <v>0</v>
      </c>
      <c r="AR4" s="1">
        <v>0</v>
      </c>
      <c r="AS4" s="171">
        <f>CPP!I4</f>
        <v>0</v>
      </c>
      <c r="AT4" s="129">
        <f t="shared" ref="AT4:AT33" si="16">AP4+AQ4-AR4-AS4</f>
        <v>0</v>
      </c>
      <c r="AU4" s="1">
        <f>AY3</f>
        <v>0</v>
      </c>
      <c r="AV4" s="1">
        <v>0</v>
      </c>
      <c r="AW4" s="1">
        <v>0</v>
      </c>
      <c r="AX4" s="170">
        <f>CPP!J4</f>
        <v>0</v>
      </c>
      <c r="AY4" s="1">
        <f t="shared" ref="AY4:AY33" si="17">AU4+AV4-AW4-AX4</f>
        <v>0</v>
      </c>
      <c r="AZ4" s="1">
        <f>BD3</f>
        <v>533.78699999999026</v>
      </c>
      <c r="BA4" s="1">
        <v>156.97999999999999</v>
      </c>
      <c r="BB4" s="1">
        <v>0</v>
      </c>
      <c r="BC4" s="170">
        <f>CPP!K4</f>
        <v>0</v>
      </c>
      <c r="BD4" s="1">
        <f t="shared" ref="BD4:BD33" si="18">AZ4+BA4-BB4-BC4</f>
        <v>690.76699999999028</v>
      </c>
      <c r="BE4" s="1">
        <f>BI3</f>
        <v>0</v>
      </c>
      <c r="BF4" s="1">
        <v>0</v>
      </c>
      <c r="BG4" s="1">
        <v>0</v>
      </c>
      <c r="BH4" s="170">
        <f>CPP!L4</f>
        <v>0</v>
      </c>
      <c r="BI4" s="1">
        <f t="shared" ref="BI4:BI33" si="19">BE4+BF4-BG4-BH4</f>
        <v>0</v>
      </c>
      <c r="BJ4" s="1">
        <f>BN3</f>
        <v>0</v>
      </c>
      <c r="BK4" s="1">
        <v>0</v>
      </c>
      <c r="BL4" s="1">
        <v>0</v>
      </c>
      <c r="BM4" s="170">
        <f>CPP!M4</f>
        <v>0</v>
      </c>
      <c r="BN4" s="1">
        <f>BJ4+BK4-BL4-BM4</f>
        <v>0</v>
      </c>
      <c r="BO4" s="1">
        <f t="shared" ref="BO4:BO33" si="20">BS3</f>
        <v>0</v>
      </c>
      <c r="BP4" s="1">
        <v>0</v>
      </c>
      <c r="BQ4" s="1">
        <v>0</v>
      </c>
      <c r="BR4" s="170">
        <f>CPP!N4</f>
        <v>0</v>
      </c>
      <c r="BS4" s="1">
        <f t="shared" ref="BS4:BS33" si="21">BO4+BP4-BQ4-BR4</f>
        <v>0</v>
      </c>
      <c r="BT4" s="1">
        <f t="shared" ref="BT4:BT33" si="22">BX3</f>
        <v>0</v>
      </c>
      <c r="BU4" s="1">
        <v>0</v>
      </c>
      <c r="BV4" s="1">
        <v>0</v>
      </c>
      <c r="BW4" s="170">
        <f>CPP!O4</f>
        <v>0</v>
      </c>
      <c r="BX4" s="1">
        <f t="shared" ref="BX4:BX33" si="23">BT4+BU4-BV4-BW4</f>
        <v>0</v>
      </c>
      <c r="BY4" s="174">
        <f>CC3</f>
        <v>0</v>
      </c>
      <c r="BZ4" s="1">
        <v>0</v>
      </c>
      <c r="CA4" s="1">
        <v>0</v>
      </c>
      <c r="CB4" s="170"/>
      <c r="CC4" s="26">
        <f t="shared" ref="CC4:CC33" si="24">BY4+BZ4-CA4-CB4</f>
        <v>0</v>
      </c>
      <c r="CD4" s="1">
        <f>CH3</f>
        <v>0</v>
      </c>
      <c r="CE4" s="1">
        <v>0</v>
      </c>
      <c r="CF4" s="1">
        <v>0</v>
      </c>
      <c r="CG4" s="170">
        <f>CPP!P4</f>
        <v>0</v>
      </c>
      <c r="CH4" s="26">
        <f t="shared" ref="CH4:CH33" si="25">CD4+CE4-CF4-CG4</f>
        <v>0</v>
      </c>
      <c r="CI4" s="1">
        <f>CM3</f>
        <v>0</v>
      </c>
      <c r="CJ4" s="1">
        <v>0</v>
      </c>
      <c r="CK4" s="1">
        <v>0</v>
      </c>
      <c r="CL4" s="170">
        <f>CPP!Q4</f>
        <v>0</v>
      </c>
      <c r="CM4" s="1">
        <f t="shared" ref="CM4:CM33" si="26">CI4+CJ4-CK4-CL4</f>
        <v>0</v>
      </c>
      <c r="CN4" s="1">
        <f>CR3</f>
        <v>5.0000000000181899E-2</v>
      </c>
      <c r="CO4" s="1">
        <v>0</v>
      </c>
      <c r="CP4" s="1">
        <v>0</v>
      </c>
      <c r="CQ4" s="170">
        <f>CPP!R4</f>
        <v>0</v>
      </c>
      <c r="CR4" s="1">
        <f t="shared" ref="CR4:CR33" si="27">CN4+CO4-CP4-CQ4</f>
        <v>5.0000000000181899E-2</v>
      </c>
      <c r="CS4" s="129">
        <f>CW3</f>
        <v>0</v>
      </c>
      <c r="CT4" s="1">
        <v>0</v>
      </c>
      <c r="CU4" s="1">
        <v>0</v>
      </c>
      <c r="CV4" s="171">
        <f>CPP!S4</f>
        <v>0</v>
      </c>
      <c r="CW4" s="129">
        <f t="shared" ref="CW4:CW33" si="28">CS4+CT4-CU4-CV4</f>
        <v>0</v>
      </c>
      <c r="CX4" s="129">
        <f>DB3</f>
        <v>0</v>
      </c>
      <c r="CY4" s="1">
        <v>0</v>
      </c>
      <c r="CZ4" s="1">
        <v>0</v>
      </c>
      <c r="DA4" s="171">
        <f>CPP!T4</f>
        <v>0</v>
      </c>
      <c r="DB4" s="129">
        <f t="shared" ref="DB4:DB33" si="29">CX4+CY4-CZ4-DA4</f>
        <v>0</v>
      </c>
      <c r="DC4" s="129">
        <f>DG3</f>
        <v>1.0000000000013998E-2</v>
      </c>
      <c r="DD4" s="1">
        <v>0</v>
      </c>
      <c r="DE4" s="1">
        <v>0</v>
      </c>
      <c r="DF4" s="171">
        <f>CPP!U4</f>
        <v>0</v>
      </c>
      <c r="DG4" s="129">
        <f t="shared" ref="DG4:DG33" si="30">DC4+DD4-DE4-DF4</f>
        <v>1.0000000000013998E-2</v>
      </c>
      <c r="DH4" s="129">
        <f>DL3</f>
        <v>0</v>
      </c>
      <c r="DI4" s="1">
        <v>0</v>
      </c>
      <c r="DJ4" s="1">
        <v>0</v>
      </c>
      <c r="DK4" s="171">
        <f>CPP!V4</f>
        <v>0</v>
      </c>
      <c r="DL4" s="129">
        <f t="shared" ref="DL4:DL33" si="31">DH4+DI4-DJ4-DK4</f>
        <v>0</v>
      </c>
      <c r="DM4" s="129">
        <f>DQ3</f>
        <v>242</v>
      </c>
      <c r="DN4" s="1">
        <v>30</v>
      </c>
      <c r="DO4" s="1">
        <v>0</v>
      </c>
      <c r="DP4" s="171">
        <f>CPP!W4</f>
        <v>0</v>
      </c>
      <c r="DQ4" s="129">
        <f t="shared" ref="DQ4:DQ33" si="32">DM4+DN4-DO4-DP4</f>
        <v>272</v>
      </c>
      <c r="DR4" s="129">
        <f>DV3</f>
        <v>2627.6700000000023</v>
      </c>
      <c r="DS4" s="1">
        <v>0</v>
      </c>
      <c r="DT4" s="1">
        <v>277.77999999999997</v>
      </c>
      <c r="DU4" s="171">
        <f>CPP!X4</f>
        <v>0</v>
      </c>
      <c r="DV4" s="129">
        <f t="shared" ref="DV4:DV33" si="33">DR4+DS4-DT4-DU4</f>
        <v>2349.8900000000021</v>
      </c>
      <c r="DW4" s="129">
        <f>EA3</f>
        <v>0</v>
      </c>
      <c r="DX4" s="1">
        <v>0</v>
      </c>
      <c r="DY4" s="1">
        <v>0</v>
      </c>
      <c r="DZ4" s="171">
        <f>CPP!Y4</f>
        <v>0</v>
      </c>
      <c r="EA4" s="129">
        <f t="shared" ref="EA4:EA33" si="34">DW4+DX4-DY4-DZ4</f>
        <v>0</v>
      </c>
      <c r="EB4" s="129">
        <f t="shared" ref="EB4:EB33" si="35">L4+AP4+AU4+AZ4+BE4+BJ4+BT4+BY4+CD4+CI4+CS4+CX4+DC4+DH4+DM4+DW4+X4+DR4</f>
        <v>4466.5069999999905</v>
      </c>
      <c r="EC4" s="170">
        <f t="shared" ref="EC4:EC33" si="36">M4+Y4+AM4+AQ4+AV4+BA4+BF4+BK4+BP4+BU4+BZ4+CT4+CY4+DD4+DI4+DN4+DX4+DS4</f>
        <v>186.98</v>
      </c>
      <c r="ED4" s="170">
        <f t="shared" ref="ED4:ED14" si="37">O4+AA4+AN4+AR4+AW4+BB4+BG4+BL4+BQ4+BV4+CA4+CU4+CZ4+DE4+DJ4+DO4+DY4+DT4</f>
        <v>277.77999999999997</v>
      </c>
      <c r="EE4" s="129">
        <f t="shared" ref="EE4:EE33" si="38">EB4+EC4-ED4-N4-Z4-AS4-AX4-BC4-BH4-BM4-BR4-BW4-CV4-DA4-DF4-DK4-DP4-DZ4-DU4</f>
        <v>4375.7069999999903</v>
      </c>
      <c r="EF4" s="18">
        <f t="shared" ref="EF4:EF33" si="39">R4+AC4+AG4+AL4+CN4</f>
        <v>4164.7699999999941</v>
      </c>
      <c r="EG4" s="170">
        <f t="shared" ref="EG4:EG33" si="40">S4+AD4+AH4+CE4+CJ4+CO4</f>
        <v>150.1</v>
      </c>
      <c r="EH4" s="170">
        <f>CPP!D4+CPP!E4+CPP!F4+CPP!G4+CPP!H4+CPP!I4+CPP!J4+CPP!K4+CPP!L4+CPP!M4+CPP!N4+CPP!O4+CPP!P4+CPP!Q4+CPP!R4+CPP!S4+DA4+DF4+DK4+CPP!W4+DU4</f>
        <v>130</v>
      </c>
      <c r="EI4" s="18">
        <f>EF4+EG4-CPP!G4-CPP!E4-CPP!F4-CPP!P4-CPP!Q4-CL4-CQ4-DU4</f>
        <v>4184.8699999999944</v>
      </c>
      <c r="EJ4" s="16">
        <f t="shared" ref="EJ4:EJ27" si="41">EM3</f>
        <v>26304.469085761677</v>
      </c>
      <c r="EK4" s="1">
        <v>1615</v>
      </c>
      <c r="EL4" s="247">
        <f>'Daily CEM-1'!AG5+'Daily  CEM - 2'!AF5-EQ4</f>
        <v>1783.0079999999998</v>
      </c>
      <c r="EM4" s="9">
        <f t="shared" ref="EM4:EM32" si="42">EJ4+EK4-EL4-EN4</f>
        <v>26136.461085761679</v>
      </c>
      <c r="EN4" s="1">
        <v>0</v>
      </c>
      <c r="EO4" s="18">
        <f>ER3</f>
        <v>5306.1090080001359</v>
      </c>
      <c r="EP4" s="1">
        <v>0</v>
      </c>
      <c r="EQ4" s="1">
        <v>0</v>
      </c>
      <c r="ER4" s="17">
        <f t="shared" ref="ER4:ER33" si="43">EO4+EP4-EQ4</f>
        <v>5306.1090080001359</v>
      </c>
      <c r="ES4">
        <f t="shared" ref="ES4:ES32" si="44">ET4-EP4</f>
        <v>1171.0999999999999</v>
      </c>
      <c r="ET4">
        <v>1171.0999999999999</v>
      </c>
      <c r="EU4" s="51">
        <f t="shared" ref="EU4:EU32" si="45">EL4+EQ4</f>
        <v>1783.0079999999998</v>
      </c>
      <c r="EV4" s="51">
        <f t="shared" ref="EV4:EV15" si="46">EL4+EQ4</f>
        <v>1783.0079999999998</v>
      </c>
      <c r="EW4" s="51">
        <f>(EU4/Production2!CG4)*100</f>
        <v>78.442938847338311</v>
      </c>
      <c r="EX4">
        <v>73.844178090958906</v>
      </c>
      <c r="EY4">
        <f t="shared" ref="EY4:EY13" si="47">EX4*100</f>
        <v>7384.4178090958903</v>
      </c>
    </row>
    <row r="5" spans="2:155">
      <c r="B5" s="4">
        <v>3</v>
      </c>
      <c r="C5" s="39">
        <f t="shared" si="3"/>
        <v>2546.92</v>
      </c>
      <c r="D5" s="1">
        <v>0</v>
      </c>
      <c r="E5" s="269">
        <f>F5+'RAW MILL 2'!F5</f>
        <v>67</v>
      </c>
      <c r="F5" s="1">
        <v>62</v>
      </c>
      <c r="G5" s="9">
        <f t="shared" si="4"/>
        <v>2479.92</v>
      </c>
      <c r="H5" s="39">
        <f t="shared" si="5"/>
        <v>600.92001683751823</v>
      </c>
      <c r="I5" s="33">
        <f>Production2!N5+Production2!Q5</f>
        <v>2411.31</v>
      </c>
      <c r="J5" s="33">
        <f>Production2!K5</f>
        <v>2182.4</v>
      </c>
      <c r="K5" s="18">
        <f t="shared" si="6"/>
        <v>829.83001683751809</v>
      </c>
      <c r="L5" s="39">
        <f t="shared" si="7"/>
        <v>0</v>
      </c>
      <c r="M5" s="1">
        <v>0</v>
      </c>
      <c r="N5" s="33">
        <f>CPP!D5</f>
        <v>0</v>
      </c>
      <c r="O5" s="1">
        <v>0</v>
      </c>
      <c r="P5" s="33">
        <f t="shared" si="0"/>
        <v>0</v>
      </c>
      <c r="Q5" s="9">
        <f t="shared" ref="Q5:Q33" si="48">L5+M5-O5-N5</f>
        <v>0</v>
      </c>
      <c r="R5" s="39">
        <f t="shared" si="8"/>
        <v>0</v>
      </c>
      <c r="S5" s="1">
        <v>0</v>
      </c>
      <c r="T5" s="33">
        <f>CPP!E5</f>
        <v>0</v>
      </c>
      <c r="U5" s="26">
        <v>0</v>
      </c>
      <c r="V5" s="38">
        <f t="shared" si="9"/>
        <v>0</v>
      </c>
      <c r="W5" s="9">
        <f t="shared" si="10"/>
        <v>0</v>
      </c>
      <c r="X5" s="39">
        <f t="shared" si="11"/>
        <v>1063.0399999999981</v>
      </c>
      <c r="Y5" s="1">
        <v>0</v>
      </c>
      <c r="Z5" s="33">
        <f>CPP!H5</f>
        <v>0</v>
      </c>
      <c r="AA5" s="1">
        <v>0</v>
      </c>
      <c r="AB5" s="9">
        <f t="shared" si="12"/>
        <v>1063.0399999999981</v>
      </c>
      <c r="AC5" s="39">
        <f t="shared" si="13"/>
        <v>0</v>
      </c>
      <c r="AD5" s="1">
        <v>0</v>
      </c>
      <c r="AE5" s="1">
        <v>0</v>
      </c>
      <c r="AF5" s="9">
        <f t="shared" si="1"/>
        <v>0</v>
      </c>
      <c r="AG5" s="39">
        <f t="shared" si="14"/>
        <v>4184.8199999999943</v>
      </c>
      <c r="AH5" s="1">
        <v>397.15</v>
      </c>
      <c r="AI5" s="1">
        <v>0</v>
      </c>
      <c r="AJ5" s="170">
        <f>CPP!G5</f>
        <v>138</v>
      </c>
      <c r="AK5" s="9">
        <f t="shared" si="2"/>
        <v>4443.9699999999939</v>
      </c>
      <c r="AL5" s="129">
        <f t="shared" ref="AL5:AL33" si="49">AO4</f>
        <v>0</v>
      </c>
      <c r="AM5" s="1">
        <v>0</v>
      </c>
      <c r="AN5" s="1">
        <v>0</v>
      </c>
      <c r="AO5" s="18">
        <f t="shared" si="15"/>
        <v>0</v>
      </c>
      <c r="AP5" s="129">
        <f t="shared" ref="AP5:AP33" si="50">AT4</f>
        <v>0</v>
      </c>
      <c r="AQ5" s="1">
        <v>0</v>
      </c>
      <c r="AR5" s="1">
        <v>0</v>
      </c>
      <c r="AS5" s="171">
        <f>CPP!I5</f>
        <v>0</v>
      </c>
      <c r="AT5" s="129">
        <f t="shared" si="16"/>
        <v>0</v>
      </c>
      <c r="AU5" s="1">
        <f t="shared" ref="AU5:AU33" si="51">AY4</f>
        <v>0</v>
      </c>
      <c r="AV5" s="1">
        <v>0</v>
      </c>
      <c r="AW5" s="1">
        <v>0</v>
      </c>
      <c r="AX5" s="170">
        <f>CPP!J5</f>
        <v>0</v>
      </c>
      <c r="AY5" s="1">
        <f t="shared" si="17"/>
        <v>0</v>
      </c>
      <c r="AZ5" s="1">
        <f t="shared" ref="AZ5:AZ33" si="52">BD4</f>
        <v>690.76699999999028</v>
      </c>
      <c r="BA5" s="1">
        <v>221.94</v>
      </c>
      <c r="BB5" s="1">
        <v>0</v>
      </c>
      <c r="BC5" s="170">
        <f>CPP!K5</f>
        <v>0</v>
      </c>
      <c r="BD5" s="1">
        <f t="shared" si="18"/>
        <v>912.70699999999033</v>
      </c>
      <c r="BE5" s="1">
        <f t="shared" ref="BE5:BE33" si="53">BI4</f>
        <v>0</v>
      </c>
      <c r="BF5" s="1">
        <v>0</v>
      </c>
      <c r="BG5" s="1">
        <v>0</v>
      </c>
      <c r="BH5" s="170">
        <f>CPP!L5</f>
        <v>0</v>
      </c>
      <c r="BI5" s="1">
        <f t="shared" si="19"/>
        <v>0</v>
      </c>
      <c r="BJ5" s="1">
        <f t="shared" ref="BJ5:BJ33" si="54">BN4</f>
        <v>0</v>
      </c>
      <c r="BK5" s="1">
        <v>0</v>
      </c>
      <c r="BL5" s="1">
        <v>0</v>
      </c>
      <c r="BM5" s="170">
        <f>CPP!M5</f>
        <v>0</v>
      </c>
      <c r="BN5" s="1">
        <f t="shared" ref="BN5:BN33" si="55">BJ5+BK5-BL5-BM5</f>
        <v>0</v>
      </c>
      <c r="BO5" s="1">
        <f t="shared" si="20"/>
        <v>0</v>
      </c>
      <c r="BP5" s="1">
        <v>0</v>
      </c>
      <c r="BQ5" s="1">
        <v>0</v>
      </c>
      <c r="BR5" s="170">
        <f>CPP!N5</f>
        <v>0</v>
      </c>
      <c r="BS5" s="1">
        <f t="shared" si="21"/>
        <v>0</v>
      </c>
      <c r="BT5" s="1">
        <f t="shared" si="22"/>
        <v>0</v>
      </c>
      <c r="BU5" s="1">
        <v>0</v>
      </c>
      <c r="BV5" s="1">
        <v>0</v>
      </c>
      <c r="BW5" s="170">
        <f>CPP!O5</f>
        <v>0</v>
      </c>
      <c r="BX5" s="1">
        <f t="shared" si="23"/>
        <v>0</v>
      </c>
      <c r="BY5" s="174">
        <f t="shared" ref="BY5:BY33" si="56">CC4</f>
        <v>0</v>
      </c>
      <c r="BZ5" s="1">
        <v>0</v>
      </c>
      <c r="CA5" s="1">
        <v>0</v>
      </c>
      <c r="CB5" s="170"/>
      <c r="CC5" s="26">
        <f t="shared" si="24"/>
        <v>0</v>
      </c>
      <c r="CD5" s="1">
        <f t="shared" ref="CD5:CD33" si="57">CH4</f>
        <v>0</v>
      </c>
      <c r="CE5" s="1">
        <v>0</v>
      </c>
      <c r="CF5" s="1">
        <v>0</v>
      </c>
      <c r="CG5" s="170">
        <f>CPP!P5</f>
        <v>0</v>
      </c>
      <c r="CH5" s="26">
        <f t="shared" si="25"/>
        <v>0</v>
      </c>
      <c r="CI5" s="1">
        <f t="shared" ref="CI5:CI33" si="58">CM4</f>
        <v>0</v>
      </c>
      <c r="CJ5" s="1">
        <v>0</v>
      </c>
      <c r="CK5" s="1">
        <v>0</v>
      </c>
      <c r="CL5" s="170">
        <f>CPP!Q5</f>
        <v>0</v>
      </c>
      <c r="CM5" s="1">
        <f t="shared" si="26"/>
        <v>0</v>
      </c>
      <c r="CN5" s="1">
        <f t="shared" ref="CN5:CN33" si="59">CR4</f>
        <v>5.0000000000181899E-2</v>
      </c>
      <c r="CO5" s="1">
        <v>0</v>
      </c>
      <c r="CP5" s="1">
        <v>0</v>
      </c>
      <c r="CQ5" s="170">
        <f>CPP!R5</f>
        <v>0</v>
      </c>
      <c r="CR5" s="1">
        <f t="shared" si="27"/>
        <v>5.0000000000181899E-2</v>
      </c>
      <c r="CS5" s="129">
        <f t="shared" ref="CS5:CS33" si="60">CW4</f>
        <v>0</v>
      </c>
      <c r="CT5" s="1">
        <v>0</v>
      </c>
      <c r="CU5" s="1">
        <v>0</v>
      </c>
      <c r="CV5" s="171">
        <f>CPP!S5</f>
        <v>0</v>
      </c>
      <c r="CW5" s="129">
        <f t="shared" si="28"/>
        <v>0</v>
      </c>
      <c r="CX5" s="129">
        <f t="shared" ref="CX5:CX33" si="61">DB4</f>
        <v>0</v>
      </c>
      <c r="CY5" s="1">
        <v>0</v>
      </c>
      <c r="CZ5" s="1">
        <v>0</v>
      </c>
      <c r="DA5" s="171">
        <f>CPP!T5</f>
        <v>0</v>
      </c>
      <c r="DB5" s="129">
        <f t="shared" si="29"/>
        <v>0</v>
      </c>
      <c r="DC5" s="129">
        <f t="shared" ref="DC5:DC33" si="62">DG4</f>
        <v>1.0000000000013998E-2</v>
      </c>
      <c r="DD5" s="1">
        <v>0</v>
      </c>
      <c r="DE5" s="1">
        <v>0</v>
      </c>
      <c r="DF5" s="171">
        <f>CPP!U5</f>
        <v>0</v>
      </c>
      <c r="DG5" s="129">
        <f t="shared" si="30"/>
        <v>1.0000000000013998E-2</v>
      </c>
      <c r="DH5" s="129">
        <f t="shared" ref="DH5:DH33" si="63">DL4</f>
        <v>0</v>
      </c>
      <c r="DI5" s="1">
        <v>0</v>
      </c>
      <c r="DJ5" s="1">
        <v>0</v>
      </c>
      <c r="DK5" s="171">
        <f>CPP!V5</f>
        <v>0</v>
      </c>
      <c r="DL5" s="129">
        <f t="shared" si="31"/>
        <v>0</v>
      </c>
      <c r="DM5" s="129">
        <f t="shared" ref="DM5:DM33" si="64">DQ4</f>
        <v>272</v>
      </c>
      <c r="DN5" s="1">
        <v>0</v>
      </c>
      <c r="DO5" s="1">
        <v>0</v>
      </c>
      <c r="DP5" s="171">
        <f>CPP!W5</f>
        <v>0</v>
      </c>
      <c r="DQ5" s="129">
        <f t="shared" si="32"/>
        <v>272</v>
      </c>
      <c r="DR5" s="129">
        <f t="shared" ref="DR5:DR33" si="65">DV4</f>
        <v>2349.8900000000021</v>
      </c>
      <c r="DS5" s="1">
        <v>0</v>
      </c>
      <c r="DT5" s="1">
        <v>239</v>
      </c>
      <c r="DU5" s="171">
        <f>CPP!X5</f>
        <v>0</v>
      </c>
      <c r="DV5" s="129">
        <f t="shared" si="33"/>
        <v>2110.8900000000021</v>
      </c>
      <c r="DW5" s="129">
        <f t="shared" ref="DW5:DW33" si="66">EA4</f>
        <v>0</v>
      </c>
      <c r="DX5" s="1">
        <v>0</v>
      </c>
      <c r="DY5" s="1">
        <v>0</v>
      </c>
      <c r="DZ5" s="171">
        <f>CPP!Y5</f>
        <v>0</v>
      </c>
      <c r="EA5" s="129">
        <f t="shared" si="34"/>
        <v>0</v>
      </c>
      <c r="EB5" s="129">
        <f t="shared" si="35"/>
        <v>4375.7069999999903</v>
      </c>
      <c r="EC5" s="170">
        <f t="shared" si="36"/>
        <v>221.94</v>
      </c>
      <c r="ED5" s="170">
        <f t="shared" si="37"/>
        <v>239</v>
      </c>
      <c r="EE5" s="129">
        <f t="shared" si="38"/>
        <v>4358.6469999999899</v>
      </c>
      <c r="EF5" s="18">
        <f t="shared" si="39"/>
        <v>4184.8699999999944</v>
      </c>
      <c r="EG5" s="170">
        <f t="shared" si="40"/>
        <v>397.15</v>
      </c>
      <c r="EH5" s="170">
        <f>CPP!D5+CPP!E5+CPP!F5+CPP!G5+CPP!H5+CPP!I5+CPP!J5+CPP!K5+CPP!L5+CPP!M5+CPP!N5+CPP!O5+CPP!P5+CPP!Q5+CPP!R5+CPP!S5+DA5+DF5+DK5+CPP!W5+DU5</f>
        <v>138</v>
      </c>
      <c r="EI5" s="18">
        <f>EF5+EG5-CPP!G5-CPP!E5-CPP!F5-CPP!P5-CPP!Q5-CL5-CQ5-DU5</f>
        <v>4444.0199999999941</v>
      </c>
      <c r="EJ5" s="16">
        <f t="shared" si="41"/>
        <v>26136.461085761679</v>
      </c>
      <c r="EK5" s="1">
        <v>1408</v>
      </c>
      <c r="EL5" s="247">
        <f>'Daily CEM-1'!AG6+'Daily  CEM - 2'!AF6-EQ5</f>
        <v>2274.2399999999998</v>
      </c>
      <c r="EM5" s="9">
        <f t="shared" si="42"/>
        <v>25270.221085761681</v>
      </c>
      <c r="EN5" s="1">
        <v>0</v>
      </c>
      <c r="EO5" s="18">
        <f t="shared" ref="EO5:EO33" si="67">ER4</f>
        <v>5306.1090080001359</v>
      </c>
      <c r="EP5" s="1">
        <v>0</v>
      </c>
      <c r="EQ5" s="1">
        <v>0</v>
      </c>
      <c r="ER5" s="17">
        <f t="shared" si="43"/>
        <v>5306.1090080001359</v>
      </c>
      <c r="ES5">
        <f t="shared" si="44"/>
        <v>1446.55</v>
      </c>
      <c r="ET5">
        <v>1446.55</v>
      </c>
      <c r="EU5" s="51">
        <f t="shared" si="45"/>
        <v>2274.2399999999998</v>
      </c>
      <c r="EV5" s="51">
        <f t="shared" si="46"/>
        <v>2274.2399999999998</v>
      </c>
      <c r="EW5" s="51">
        <f>(EU5/Production2!CG5)*100</f>
        <v>77.434116445352402</v>
      </c>
      <c r="EX5">
        <v>77.999999900000006</v>
      </c>
      <c r="EY5">
        <f t="shared" si="47"/>
        <v>7799.9999900000003</v>
      </c>
    </row>
    <row r="6" spans="2:155">
      <c r="B6" s="4">
        <v>4</v>
      </c>
      <c r="C6" s="39">
        <f t="shared" si="3"/>
        <v>2479.92</v>
      </c>
      <c r="D6" s="1">
        <v>0</v>
      </c>
      <c r="E6" s="269">
        <f>F6+'RAW MILL 2'!F6</f>
        <v>82</v>
      </c>
      <c r="F6" s="1">
        <v>76</v>
      </c>
      <c r="G6" s="9">
        <f t="shared" si="4"/>
        <v>2397.92</v>
      </c>
      <c r="H6" s="39">
        <f t="shared" si="5"/>
        <v>829.83001683751809</v>
      </c>
      <c r="I6" s="33">
        <f>Production2!N6+Production2!Q6</f>
        <v>2958.06</v>
      </c>
      <c r="J6" s="33">
        <f>Production2!K6</f>
        <v>2774.5</v>
      </c>
      <c r="K6" s="18">
        <f t="shared" si="6"/>
        <v>1013.390016837518</v>
      </c>
      <c r="L6" s="39">
        <f t="shared" si="7"/>
        <v>0</v>
      </c>
      <c r="M6" s="1">
        <v>0</v>
      </c>
      <c r="N6" s="33">
        <f>CPP!D6</f>
        <v>0</v>
      </c>
      <c r="O6" s="1">
        <v>0</v>
      </c>
      <c r="P6" s="33">
        <f t="shared" si="0"/>
        <v>0</v>
      </c>
      <c r="Q6" s="9">
        <f t="shared" si="48"/>
        <v>0</v>
      </c>
      <c r="R6" s="39">
        <f t="shared" si="8"/>
        <v>0</v>
      </c>
      <c r="S6" s="1">
        <v>0</v>
      </c>
      <c r="T6" s="33">
        <f>CPP!E6</f>
        <v>0</v>
      </c>
      <c r="U6" s="26">
        <v>0</v>
      </c>
      <c r="V6" s="38">
        <f t="shared" si="9"/>
        <v>0</v>
      </c>
      <c r="W6" s="9">
        <f t="shared" si="10"/>
        <v>0</v>
      </c>
      <c r="X6" s="39">
        <f t="shared" si="11"/>
        <v>1063.0399999999981</v>
      </c>
      <c r="Y6" s="1">
        <v>0</v>
      </c>
      <c r="Z6" s="33">
        <f>CPP!H6</f>
        <v>0</v>
      </c>
      <c r="AA6" s="1">
        <v>0</v>
      </c>
      <c r="AB6" s="9">
        <f t="shared" si="12"/>
        <v>1063.0399999999981</v>
      </c>
      <c r="AC6" s="39">
        <f t="shared" si="13"/>
        <v>0</v>
      </c>
      <c r="AD6" s="1">
        <v>0</v>
      </c>
      <c r="AE6" s="1">
        <v>0</v>
      </c>
      <c r="AF6" s="9">
        <f t="shared" si="1"/>
        <v>0</v>
      </c>
      <c r="AG6" s="39">
        <f t="shared" si="14"/>
        <v>4443.9699999999939</v>
      </c>
      <c r="AH6" s="1">
        <v>120.2</v>
      </c>
      <c r="AI6" s="1">
        <v>0</v>
      </c>
      <c r="AJ6" s="170">
        <f>CPP!G6</f>
        <v>158</v>
      </c>
      <c r="AK6" s="9">
        <f t="shared" si="2"/>
        <v>4406.1699999999937</v>
      </c>
      <c r="AL6" s="129">
        <f t="shared" si="49"/>
        <v>0</v>
      </c>
      <c r="AM6" s="1">
        <v>0</v>
      </c>
      <c r="AN6" s="1">
        <v>0</v>
      </c>
      <c r="AO6" s="18">
        <f t="shared" si="15"/>
        <v>0</v>
      </c>
      <c r="AP6" s="129">
        <f t="shared" si="50"/>
        <v>0</v>
      </c>
      <c r="AQ6" s="1">
        <v>0</v>
      </c>
      <c r="AR6" s="1">
        <v>0</v>
      </c>
      <c r="AS6" s="171">
        <f>CPP!I6</f>
        <v>0</v>
      </c>
      <c r="AT6" s="129">
        <f t="shared" si="16"/>
        <v>0</v>
      </c>
      <c r="AU6" s="1">
        <f t="shared" si="51"/>
        <v>0</v>
      </c>
      <c r="AV6" s="1">
        <v>0</v>
      </c>
      <c r="AW6" s="1">
        <v>0</v>
      </c>
      <c r="AX6" s="170">
        <f>CPP!J6</f>
        <v>0</v>
      </c>
      <c r="AY6" s="1">
        <f t="shared" si="17"/>
        <v>0</v>
      </c>
      <c r="AZ6" s="1">
        <f t="shared" si="52"/>
        <v>912.70699999999033</v>
      </c>
      <c r="BA6" s="1">
        <v>92.16</v>
      </c>
      <c r="BB6" s="1">
        <v>0</v>
      </c>
      <c r="BC6" s="170">
        <f>CPP!K6</f>
        <v>0</v>
      </c>
      <c r="BD6" s="1">
        <f t="shared" si="18"/>
        <v>1004.8669999999903</v>
      </c>
      <c r="BE6" s="1">
        <f t="shared" si="53"/>
        <v>0</v>
      </c>
      <c r="BF6" s="1">
        <v>0</v>
      </c>
      <c r="BG6" s="1">
        <v>0</v>
      </c>
      <c r="BH6" s="170">
        <f>CPP!L6</f>
        <v>0</v>
      </c>
      <c r="BI6" s="1">
        <f t="shared" si="19"/>
        <v>0</v>
      </c>
      <c r="BJ6" s="1">
        <f t="shared" si="54"/>
        <v>0</v>
      </c>
      <c r="BK6" s="1">
        <v>0</v>
      </c>
      <c r="BL6" s="1">
        <v>0</v>
      </c>
      <c r="BM6" s="170">
        <f>CPP!M6</f>
        <v>0</v>
      </c>
      <c r="BN6" s="1">
        <f t="shared" si="55"/>
        <v>0</v>
      </c>
      <c r="BO6" s="1">
        <f t="shared" si="20"/>
        <v>0</v>
      </c>
      <c r="BP6" s="1">
        <v>0</v>
      </c>
      <c r="BQ6" s="1">
        <v>0</v>
      </c>
      <c r="BR6" s="170">
        <f>CPP!N6</f>
        <v>0</v>
      </c>
      <c r="BS6" s="1">
        <f t="shared" si="21"/>
        <v>0</v>
      </c>
      <c r="BT6" s="1">
        <f t="shared" si="22"/>
        <v>0</v>
      </c>
      <c r="BU6" s="1">
        <v>0</v>
      </c>
      <c r="BV6" s="1">
        <v>0</v>
      </c>
      <c r="BW6" s="170">
        <f>CPP!O6</f>
        <v>0</v>
      </c>
      <c r="BX6" s="1">
        <f t="shared" si="23"/>
        <v>0</v>
      </c>
      <c r="BY6" s="174">
        <f t="shared" si="56"/>
        <v>0</v>
      </c>
      <c r="BZ6" s="1">
        <v>0</v>
      </c>
      <c r="CA6" s="1">
        <v>0</v>
      </c>
      <c r="CB6" s="170"/>
      <c r="CC6" s="26">
        <f t="shared" si="24"/>
        <v>0</v>
      </c>
      <c r="CD6" s="1">
        <f t="shared" si="57"/>
        <v>0</v>
      </c>
      <c r="CE6" s="1">
        <v>0</v>
      </c>
      <c r="CF6" s="1">
        <v>0</v>
      </c>
      <c r="CG6" s="170">
        <f>CPP!P6</f>
        <v>0</v>
      </c>
      <c r="CH6" s="26">
        <f t="shared" si="25"/>
        <v>0</v>
      </c>
      <c r="CI6" s="1">
        <f t="shared" si="58"/>
        <v>0</v>
      </c>
      <c r="CJ6" s="1">
        <v>0</v>
      </c>
      <c r="CK6" s="1">
        <v>0</v>
      </c>
      <c r="CL6" s="170">
        <f>CPP!Q6</f>
        <v>0</v>
      </c>
      <c r="CM6" s="1">
        <f t="shared" si="26"/>
        <v>0</v>
      </c>
      <c r="CN6" s="1">
        <f t="shared" si="59"/>
        <v>5.0000000000181899E-2</v>
      </c>
      <c r="CO6" s="1">
        <v>0</v>
      </c>
      <c r="CP6" s="1">
        <v>0</v>
      </c>
      <c r="CQ6" s="170">
        <f>CPP!R6</f>
        <v>0</v>
      </c>
      <c r="CR6" s="1">
        <f t="shared" si="27"/>
        <v>5.0000000000181899E-2</v>
      </c>
      <c r="CS6" s="129">
        <f t="shared" si="60"/>
        <v>0</v>
      </c>
      <c r="CT6" s="1">
        <v>0</v>
      </c>
      <c r="CU6" s="1">
        <v>0</v>
      </c>
      <c r="CV6" s="171">
        <f>CPP!S6</f>
        <v>0</v>
      </c>
      <c r="CW6" s="129">
        <f t="shared" si="28"/>
        <v>0</v>
      </c>
      <c r="CX6" s="129">
        <f t="shared" si="61"/>
        <v>0</v>
      </c>
      <c r="CY6" s="1">
        <v>0</v>
      </c>
      <c r="CZ6" s="1">
        <v>0</v>
      </c>
      <c r="DA6" s="171">
        <f>CPP!T6</f>
        <v>0</v>
      </c>
      <c r="DB6" s="129">
        <f t="shared" si="29"/>
        <v>0</v>
      </c>
      <c r="DC6" s="129">
        <f t="shared" si="62"/>
        <v>1.0000000000013998E-2</v>
      </c>
      <c r="DD6" s="1">
        <v>0</v>
      </c>
      <c r="DE6" s="1">
        <v>0</v>
      </c>
      <c r="DF6" s="171">
        <f>CPP!U6</f>
        <v>0</v>
      </c>
      <c r="DG6" s="129">
        <f t="shared" si="30"/>
        <v>1.0000000000013998E-2</v>
      </c>
      <c r="DH6" s="129">
        <f t="shared" si="63"/>
        <v>0</v>
      </c>
      <c r="DI6" s="1">
        <v>0</v>
      </c>
      <c r="DJ6" s="1">
        <v>0</v>
      </c>
      <c r="DK6" s="171">
        <f>CPP!V6</f>
        <v>0</v>
      </c>
      <c r="DL6" s="129">
        <f t="shared" si="31"/>
        <v>0</v>
      </c>
      <c r="DM6" s="129">
        <f t="shared" si="64"/>
        <v>272</v>
      </c>
      <c r="DN6" s="1">
        <v>32</v>
      </c>
      <c r="DO6" s="1">
        <v>0</v>
      </c>
      <c r="DP6" s="171">
        <f>CPP!W6</f>
        <v>0</v>
      </c>
      <c r="DQ6" s="129">
        <f t="shared" si="32"/>
        <v>304</v>
      </c>
      <c r="DR6" s="129">
        <f t="shared" si="65"/>
        <v>2110.8900000000021</v>
      </c>
      <c r="DS6" s="1">
        <v>0</v>
      </c>
      <c r="DT6" s="1">
        <v>316.67</v>
      </c>
      <c r="DU6" s="171">
        <f>CPP!X6</f>
        <v>0</v>
      </c>
      <c r="DV6" s="129">
        <f t="shared" si="33"/>
        <v>1794.2200000000021</v>
      </c>
      <c r="DW6" s="129">
        <f t="shared" si="66"/>
        <v>0</v>
      </c>
      <c r="DX6" s="1">
        <v>0</v>
      </c>
      <c r="DY6" s="1">
        <v>0</v>
      </c>
      <c r="DZ6" s="171">
        <f>CPP!Y6</f>
        <v>0</v>
      </c>
      <c r="EA6" s="129">
        <f t="shared" si="34"/>
        <v>0</v>
      </c>
      <c r="EB6" s="129">
        <f t="shared" si="35"/>
        <v>4358.6469999999908</v>
      </c>
      <c r="EC6" s="170">
        <f t="shared" si="36"/>
        <v>124.16</v>
      </c>
      <c r="ED6" s="170">
        <f t="shared" si="37"/>
        <v>316.67</v>
      </c>
      <c r="EE6" s="129">
        <f t="shared" si="38"/>
        <v>4166.1369999999906</v>
      </c>
      <c r="EF6" s="18">
        <f t="shared" si="39"/>
        <v>4444.0199999999941</v>
      </c>
      <c r="EG6" s="170">
        <f t="shared" si="40"/>
        <v>120.2</v>
      </c>
      <c r="EH6" s="170">
        <f>CPP!D6+CPP!E6+CPP!F6+CPP!G6+CPP!H6+CPP!I6+CPP!J6+CPP!K6+CPP!L6+CPP!M6+CPP!N6+CPP!O6+CPP!P6+CPP!Q6+CPP!R6+CPP!S6+DA6+DF6+DK6+CPP!W6+DU6</f>
        <v>158</v>
      </c>
      <c r="EI6" s="18">
        <f>EF6+EG6-CPP!G6-CPP!E6-CPP!F6-CPP!P6-CPP!Q6-CL6-CQ6-DU6</f>
        <v>4406.2199999999939</v>
      </c>
      <c r="EJ6" s="16">
        <f t="shared" si="41"/>
        <v>25270.221085761681</v>
      </c>
      <c r="EK6" s="1">
        <v>1790</v>
      </c>
      <c r="EL6" s="253">
        <f>'Daily CEM-1'!AG7+'Daily  CEM - 2'!AF7-EQ6</f>
        <v>2000.1199999957621</v>
      </c>
      <c r="EM6" s="9">
        <f t="shared" si="42"/>
        <v>25060.10108576592</v>
      </c>
      <c r="EN6" s="1">
        <v>0</v>
      </c>
      <c r="EO6" s="18">
        <f t="shared" si="67"/>
        <v>5306.1090080001359</v>
      </c>
      <c r="EP6" s="1">
        <v>0</v>
      </c>
      <c r="EQ6" s="1">
        <v>0</v>
      </c>
      <c r="ER6" s="17">
        <f t="shared" si="43"/>
        <v>5306.1090080001359</v>
      </c>
      <c r="ES6">
        <f t="shared" si="44"/>
        <v>1500.29</v>
      </c>
      <c r="ET6">
        <v>1500.29</v>
      </c>
      <c r="EU6" s="51">
        <f t="shared" si="45"/>
        <v>2000.1199999957621</v>
      </c>
      <c r="EV6" s="51">
        <f t="shared" si="46"/>
        <v>2000.1199999957621</v>
      </c>
      <c r="EW6" s="51">
        <f>(EU6/Production2!CG6)*100</f>
        <v>77.344160866038749</v>
      </c>
      <c r="EX6">
        <v>79.000000000000071</v>
      </c>
      <c r="EY6">
        <f t="shared" si="47"/>
        <v>7900.0000000000073</v>
      </c>
    </row>
    <row r="7" spans="2:155">
      <c r="B7" s="4">
        <v>5</v>
      </c>
      <c r="C7" s="39">
        <f t="shared" si="3"/>
        <v>2397.92</v>
      </c>
      <c r="D7" s="1">
        <v>0</v>
      </c>
      <c r="E7" s="269">
        <f>F7+'RAW MILL 2'!F7</f>
        <v>73</v>
      </c>
      <c r="F7" s="1">
        <v>68</v>
      </c>
      <c r="G7" s="9">
        <f t="shared" si="4"/>
        <v>2324.92</v>
      </c>
      <c r="H7" s="39">
        <f t="shared" si="5"/>
        <v>1013.390016837518</v>
      </c>
      <c r="I7" s="33">
        <f>Production2!N7+Production2!Q7</f>
        <v>2619.39</v>
      </c>
      <c r="J7" s="33">
        <f>Production2!K7</f>
        <v>2619.5</v>
      </c>
      <c r="K7" s="18">
        <f t="shared" si="6"/>
        <v>1013.2800168375179</v>
      </c>
      <c r="L7" s="39">
        <f t="shared" si="7"/>
        <v>0</v>
      </c>
      <c r="M7" s="1">
        <v>0</v>
      </c>
      <c r="N7" s="33">
        <f>CPP!D7</f>
        <v>0</v>
      </c>
      <c r="O7" s="1">
        <v>0</v>
      </c>
      <c r="P7" s="33">
        <f t="shared" si="0"/>
        <v>0</v>
      </c>
      <c r="Q7" s="9">
        <f t="shared" si="48"/>
        <v>0</v>
      </c>
      <c r="R7" s="39">
        <f t="shared" si="8"/>
        <v>0</v>
      </c>
      <c r="S7" s="1">
        <v>0</v>
      </c>
      <c r="T7" s="33">
        <f>CPP!E7</f>
        <v>0</v>
      </c>
      <c r="U7" s="26">
        <v>0</v>
      </c>
      <c r="V7" s="38">
        <f t="shared" si="9"/>
        <v>0</v>
      </c>
      <c r="W7" s="9">
        <f t="shared" si="10"/>
        <v>0</v>
      </c>
      <c r="X7" s="39">
        <f t="shared" si="11"/>
        <v>1063.0399999999981</v>
      </c>
      <c r="Y7" s="1">
        <v>0</v>
      </c>
      <c r="Z7" s="33">
        <f>CPP!H7</f>
        <v>0</v>
      </c>
      <c r="AA7" s="1">
        <v>0</v>
      </c>
      <c r="AB7" s="9">
        <f t="shared" si="12"/>
        <v>1063.0399999999981</v>
      </c>
      <c r="AC7" s="39">
        <f t="shared" si="13"/>
        <v>0</v>
      </c>
      <c r="AD7" s="1">
        <v>0</v>
      </c>
      <c r="AE7" s="1">
        <v>0</v>
      </c>
      <c r="AF7" s="9">
        <f t="shared" si="1"/>
        <v>0</v>
      </c>
      <c r="AG7" s="39">
        <f t="shared" si="14"/>
        <v>4406.1699999999937</v>
      </c>
      <c r="AH7" s="1">
        <v>30</v>
      </c>
      <c r="AI7" s="1">
        <v>0</v>
      </c>
      <c r="AJ7" s="170">
        <f>CPP!G7</f>
        <v>140</v>
      </c>
      <c r="AK7" s="9">
        <f t="shared" si="2"/>
        <v>4296.1699999999937</v>
      </c>
      <c r="AL7" s="129">
        <f t="shared" si="49"/>
        <v>0</v>
      </c>
      <c r="AM7" s="1">
        <v>0</v>
      </c>
      <c r="AN7" s="1">
        <v>0</v>
      </c>
      <c r="AO7" s="18">
        <f t="shared" si="15"/>
        <v>0</v>
      </c>
      <c r="AP7" s="129">
        <f t="shared" si="50"/>
        <v>0</v>
      </c>
      <c r="AQ7" s="1">
        <v>0</v>
      </c>
      <c r="AR7" s="1">
        <v>0</v>
      </c>
      <c r="AS7" s="171">
        <f>CPP!I7</f>
        <v>0</v>
      </c>
      <c r="AT7" s="129">
        <f t="shared" si="16"/>
        <v>0</v>
      </c>
      <c r="AU7" s="1">
        <f t="shared" si="51"/>
        <v>0</v>
      </c>
      <c r="AV7" s="1">
        <v>0</v>
      </c>
      <c r="AW7" s="1">
        <v>0</v>
      </c>
      <c r="AX7" s="170">
        <f>CPP!J7</f>
        <v>0</v>
      </c>
      <c r="AY7" s="1">
        <f t="shared" si="17"/>
        <v>0</v>
      </c>
      <c r="AZ7" s="1">
        <f t="shared" si="52"/>
        <v>1004.8669999999903</v>
      </c>
      <c r="BA7" s="1">
        <v>0</v>
      </c>
      <c r="BB7" s="1">
        <v>0</v>
      </c>
      <c r="BC7" s="170">
        <f>CPP!K7</f>
        <v>0</v>
      </c>
      <c r="BD7" s="1">
        <f t="shared" si="18"/>
        <v>1004.8669999999903</v>
      </c>
      <c r="BE7" s="1">
        <f t="shared" si="53"/>
        <v>0</v>
      </c>
      <c r="BF7" s="1">
        <v>0</v>
      </c>
      <c r="BG7" s="1">
        <v>0</v>
      </c>
      <c r="BH7" s="170">
        <f>CPP!L7</f>
        <v>0</v>
      </c>
      <c r="BI7" s="1">
        <f t="shared" si="19"/>
        <v>0</v>
      </c>
      <c r="BJ7" s="1">
        <f t="shared" si="54"/>
        <v>0</v>
      </c>
      <c r="BK7" s="1">
        <v>0</v>
      </c>
      <c r="BL7" s="1">
        <v>0</v>
      </c>
      <c r="BM7" s="170">
        <f>CPP!M7</f>
        <v>0</v>
      </c>
      <c r="BN7" s="1">
        <f t="shared" si="55"/>
        <v>0</v>
      </c>
      <c r="BO7" s="1">
        <f t="shared" si="20"/>
        <v>0</v>
      </c>
      <c r="BP7" s="1">
        <v>0</v>
      </c>
      <c r="BQ7" s="1">
        <v>0</v>
      </c>
      <c r="BR7" s="170">
        <f>CPP!N7</f>
        <v>0</v>
      </c>
      <c r="BS7" s="1">
        <f t="shared" si="21"/>
        <v>0</v>
      </c>
      <c r="BT7" s="1">
        <f t="shared" si="22"/>
        <v>0</v>
      </c>
      <c r="BU7" s="1">
        <v>0</v>
      </c>
      <c r="BV7" s="1">
        <v>0</v>
      </c>
      <c r="BW7" s="170">
        <f>CPP!O7</f>
        <v>0</v>
      </c>
      <c r="BX7" s="1">
        <f t="shared" si="23"/>
        <v>0</v>
      </c>
      <c r="BY7" s="174">
        <f t="shared" si="56"/>
        <v>0</v>
      </c>
      <c r="BZ7" s="1">
        <v>0</v>
      </c>
      <c r="CA7" s="1">
        <v>0</v>
      </c>
      <c r="CB7" s="170"/>
      <c r="CC7" s="26">
        <f t="shared" si="24"/>
        <v>0</v>
      </c>
      <c r="CD7" s="1">
        <f t="shared" si="57"/>
        <v>0</v>
      </c>
      <c r="CE7" s="1">
        <v>0</v>
      </c>
      <c r="CF7" s="1">
        <v>0</v>
      </c>
      <c r="CG7" s="170">
        <f>CPP!P7</f>
        <v>0</v>
      </c>
      <c r="CH7" s="26">
        <f t="shared" si="25"/>
        <v>0</v>
      </c>
      <c r="CI7" s="1">
        <f t="shared" si="58"/>
        <v>0</v>
      </c>
      <c r="CJ7" s="1">
        <v>0</v>
      </c>
      <c r="CK7" s="1">
        <v>0</v>
      </c>
      <c r="CL7" s="170">
        <f>CPP!Q7</f>
        <v>0</v>
      </c>
      <c r="CM7" s="1">
        <f t="shared" si="26"/>
        <v>0</v>
      </c>
      <c r="CN7" s="1">
        <f t="shared" si="59"/>
        <v>5.0000000000181899E-2</v>
      </c>
      <c r="CO7" s="1">
        <v>0</v>
      </c>
      <c r="CP7" s="1">
        <v>0</v>
      </c>
      <c r="CQ7" s="170">
        <f>CPP!R7</f>
        <v>0</v>
      </c>
      <c r="CR7" s="1">
        <f t="shared" si="27"/>
        <v>5.0000000000181899E-2</v>
      </c>
      <c r="CS7" s="129">
        <f t="shared" si="60"/>
        <v>0</v>
      </c>
      <c r="CT7" s="1">
        <v>0</v>
      </c>
      <c r="CU7" s="1">
        <v>0</v>
      </c>
      <c r="CV7" s="171">
        <f>CPP!S7</f>
        <v>0</v>
      </c>
      <c r="CW7" s="129">
        <f t="shared" si="28"/>
        <v>0</v>
      </c>
      <c r="CX7" s="129">
        <f t="shared" si="61"/>
        <v>0</v>
      </c>
      <c r="CY7" s="1">
        <v>0</v>
      </c>
      <c r="CZ7" s="1">
        <v>0</v>
      </c>
      <c r="DA7" s="171">
        <f>CPP!T7</f>
        <v>0</v>
      </c>
      <c r="DB7" s="129">
        <f t="shared" si="29"/>
        <v>0</v>
      </c>
      <c r="DC7" s="129">
        <f t="shared" si="62"/>
        <v>1.0000000000013998E-2</v>
      </c>
      <c r="DD7" s="1">
        <v>0</v>
      </c>
      <c r="DE7" s="1">
        <v>0</v>
      </c>
      <c r="DF7" s="171">
        <f>CPP!U7</f>
        <v>0</v>
      </c>
      <c r="DG7" s="129">
        <f t="shared" si="30"/>
        <v>1.0000000000013998E-2</v>
      </c>
      <c r="DH7" s="129">
        <f t="shared" si="63"/>
        <v>0</v>
      </c>
      <c r="DI7" s="1">
        <v>0</v>
      </c>
      <c r="DJ7" s="1">
        <v>0</v>
      </c>
      <c r="DK7" s="171">
        <f>CPP!V7</f>
        <v>0</v>
      </c>
      <c r="DL7" s="129">
        <f t="shared" si="31"/>
        <v>0</v>
      </c>
      <c r="DM7" s="129">
        <f t="shared" si="64"/>
        <v>304</v>
      </c>
      <c r="DN7" s="1">
        <v>0</v>
      </c>
      <c r="DO7" s="1">
        <v>0</v>
      </c>
      <c r="DP7" s="171">
        <f>CPP!W7</f>
        <v>0</v>
      </c>
      <c r="DQ7" s="129">
        <f t="shared" si="32"/>
        <v>304</v>
      </c>
      <c r="DR7" s="129">
        <f t="shared" si="65"/>
        <v>1794.2200000000021</v>
      </c>
      <c r="DS7" s="1">
        <v>0</v>
      </c>
      <c r="DT7" s="1">
        <v>292.22000000000003</v>
      </c>
      <c r="DU7" s="171">
        <f>CPP!X7</f>
        <v>0</v>
      </c>
      <c r="DV7" s="129">
        <f t="shared" si="33"/>
        <v>1502.000000000002</v>
      </c>
      <c r="DW7" s="129">
        <f t="shared" si="66"/>
        <v>0</v>
      </c>
      <c r="DX7" s="1">
        <v>0</v>
      </c>
      <c r="DY7" s="1">
        <v>0</v>
      </c>
      <c r="DZ7" s="171">
        <f>CPP!Y7</f>
        <v>0</v>
      </c>
      <c r="EA7" s="129">
        <f t="shared" si="34"/>
        <v>0</v>
      </c>
      <c r="EB7" s="129">
        <f t="shared" si="35"/>
        <v>4166.1369999999906</v>
      </c>
      <c r="EC7" s="170">
        <f t="shared" si="36"/>
        <v>0</v>
      </c>
      <c r="ED7" s="170">
        <f t="shared" si="37"/>
        <v>292.22000000000003</v>
      </c>
      <c r="EE7" s="129">
        <f t="shared" si="38"/>
        <v>3873.9169999999904</v>
      </c>
      <c r="EF7" s="18">
        <f t="shared" si="39"/>
        <v>4406.2199999999939</v>
      </c>
      <c r="EG7" s="170">
        <f t="shared" si="40"/>
        <v>30</v>
      </c>
      <c r="EH7" s="170">
        <f>CPP!D7+CPP!E7+CPP!F7+CPP!G7+CPP!H7+CPP!I7+CPP!J7+CPP!K7+CPP!L7+CPP!M7+CPP!N7+CPP!O7+CPP!P7+CPP!Q7+CPP!R7+CPP!S7+DA7+DF7+DK7+CPP!W7+DU7</f>
        <v>140</v>
      </c>
      <c r="EI7" s="18">
        <f>EF7+EG7-CPP!G7-CPP!E7-CPP!F7-CPP!P7-CPP!Q7-CL7-CQ7-DU7</f>
        <v>4296.2199999999939</v>
      </c>
      <c r="EJ7" s="16">
        <f t="shared" si="41"/>
        <v>25060.10108576592</v>
      </c>
      <c r="EK7" s="1">
        <v>1690</v>
      </c>
      <c r="EL7" s="253">
        <f>'Daily CEM-1'!AG8+'Daily  CEM - 2'!AF8-EQ7</f>
        <v>1825.61500178914</v>
      </c>
      <c r="EM7" s="9">
        <f t="shared" si="42"/>
        <v>24924.486083976779</v>
      </c>
      <c r="EN7" s="1">
        <v>0</v>
      </c>
      <c r="EO7" s="18">
        <f t="shared" si="67"/>
        <v>5306.1090080001359</v>
      </c>
      <c r="EP7" s="1">
        <v>0</v>
      </c>
      <c r="EQ7" s="1">
        <v>0</v>
      </c>
      <c r="ER7" s="17">
        <f t="shared" si="43"/>
        <v>5306.1090080001359</v>
      </c>
      <c r="ES7">
        <f t="shared" si="44"/>
        <v>0</v>
      </c>
      <c r="EU7" s="51">
        <f t="shared" si="45"/>
        <v>1825.61500178914</v>
      </c>
      <c r="EV7" s="51">
        <f t="shared" si="46"/>
        <v>1825.61500178914</v>
      </c>
      <c r="EW7" s="51">
        <f>(EU7/Production2!CG7)*100</f>
        <v>77.356567872421195</v>
      </c>
      <c r="EX7">
        <v>72.437500000000043</v>
      </c>
      <c r="EY7">
        <f t="shared" si="47"/>
        <v>7243.7500000000045</v>
      </c>
    </row>
    <row r="8" spans="2:155">
      <c r="B8" s="4">
        <v>6</v>
      </c>
      <c r="C8" s="39">
        <f t="shared" si="3"/>
        <v>2324.92</v>
      </c>
      <c r="D8" s="1">
        <v>0</v>
      </c>
      <c r="E8" s="269">
        <f>F8+'RAW MILL 2'!F8</f>
        <v>62</v>
      </c>
      <c r="F8" s="1">
        <v>59</v>
      </c>
      <c r="G8" s="9">
        <f t="shared" si="4"/>
        <v>2262.92</v>
      </c>
      <c r="H8" s="39">
        <f t="shared" si="5"/>
        <v>1013.2800168375179</v>
      </c>
      <c r="I8" s="33">
        <f>Production2!N8+Production2!Q8</f>
        <v>2241.96</v>
      </c>
      <c r="J8" s="33">
        <f>Production2!K8</f>
        <v>2332.75</v>
      </c>
      <c r="K8" s="18">
        <f t="shared" si="6"/>
        <v>922.49001683751794</v>
      </c>
      <c r="L8" s="39">
        <f t="shared" si="7"/>
        <v>0</v>
      </c>
      <c r="M8" s="1">
        <v>0</v>
      </c>
      <c r="N8" s="33">
        <f>CPP!D8</f>
        <v>0</v>
      </c>
      <c r="O8" s="1">
        <v>0</v>
      </c>
      <c r="P8" s="33">
        <f t="shared" si="0"/>
        <v>0</v>
      </c>
      <c r="Q8" s="9">
        <f t="shared" si="48"/>
        <v>0</v>
      </c>
      <c r="R8" s="39">
        <f t="shared" si="8"/>
        <v>0</v>
      </c>
      <c r="S8" s="1">
        <v>0</v>
      </c>
      <c r="T8" s="33">
        <f>CPP!E8</f>
        <v>0</v>
      </c>
      <c r="U8" s="26">
        <v>0</v>
      </c>
      <c r="V8" s="38">
        <f t="shared" si="9"/>
        <v>0</v>
      </c>
      <c r="W8" s="9">
        <f t="shared" si="10"/>
        <v>0</v>
      </c>
      <c r="X8" s="39">
        <f t="shared" si="11"/>
        <v>1063.0399999999981</v>
      </c>
      <c r="Y8" s="1">
        <v>0</v>
      </c>
      <c r="Z8" s="33">
        <f>CPP!H8</f>
        <v>0</v>
      </c>
      <c r="AA8" s="1">
        <v>0</v>
      </c>
      <c r="AB8" s="9">
        <f t="shared" si="12"/>
        <v>1063.0399999999981</v>
      </c>
      <c r="AC8" s="39">
        <f t="shared" si="13"/>
        <v>0</v>
      </c>
      <c r="AD8" s="1">
        <v>0</v>
      </c>
      <c r="AE8" s="1">
        <v>0</v>
      </c>
      <c r="AF8" s="9">
        <f t="shared" si="1"/>
        <v>0</v>
      </c>
      <c r="AG8" s="39">
        <f t="shared" si="14"/>
        <v>4296.1699999999937</v>
      </c>
      <c r="AH8" s="1">
        <v>0</v>
      </c>
      <c r="AI8" s="1">
        <v>0</v>
      </c>
      <c r="AJ8" s="170">
        <f>CPP!G8</f>
        <v>140</v>
      </c>
      <c r="AK8" s="9">
        <f t="shared" si="2"/>
        <v>4156.1699999999937</v>
      </c>
      <c r="AL8" s="129">
        <f t="shared" si="49"/>
        <v>0</v>
      </c>
      <c r="AM8" s="1">
        <v>0</v>
      </c>
      <c r="AN8" s="1">
        <v>0</v>
      </c>
      <c r="AO8" s="18">
        <f t="shared" si="15"/>
        <v>0</v>
      </c>
      <c r="AP8" s="129">
        <f t="shared" si="50"/>
        <v>0</v>
      </c>
      <c r="AQ8" s="1">
        <v>0</v>
      </c>
      <c r="AR8" s="1">
        <v>0</v>
      </c>
      <c r="AS8" s="171">
        <f>CPP!I8</f>
        <v>0</v>
      </c>
      <c r="AT8" s="129">
        <f t="shared" si="16"/>
        <v>0</v>
      </c>
      <c r="AU8" s="1">
        <f t="shared" si="51"/>
        <v>0</v>
      </c>
      <c r="AV8" s="1">
        <v>0</v>
      </c>
      <c r="AW8" s="1">
        <v>0</v>
      </c>
      <c r="AX8" s="170">
        <f>CPP!J8</f>
        <v>0</v>
      </c>
      <c r="AY8" s="1">
        <f t="shared" si="17"/>
        <v>0</v>
      </c>
      <c r="AZ8" s="1">
        <f t="shared" si="52"/>
        <v>1004.8669999999903</v>
      </c>
      <c r="BA8" s="1">
        <v>0</v>
      </c>
      <c r="BB8" s="1">
        <v>0</v>
      </c>
      <c r="BC8" s="170">
        <f>CPP!K8</f>
        <v>0</v>
      </c>
      <c r="BD8" s="1">
        <f t="shared" si="18"/>
        <v>1004.8669999999903</v>
      </c>
      <c r="BE8" s="1">
        <f t="shared" si="53"/>
        <v>0</v>
      </c>
      <c r="BF8" s="1">
        <v>0</v>
      </c>
      <c r="BG8" s="1">
        <v>0</v>
      </c>
      <c r="BH8" s="170">
        <f>CPP!L8</f>
        <v>0</v>
      </c>
      <c r="BI8" s="1">
        <f t="shared" si="19"/>
        <v>0</v>
      </c>
      <c r="BJ8" s="1">
        <f t="shared" si="54"/>
        <v>0</v>
      </c>
      <c r="BK8" s="1">
        <v>0</v>
      </c>
      <c r="BL8" s="1">
        <v>0</v>
      </c>
      <c r="BM8" s="170">
        <f>CPP!M8</f>
        <v>0</v>
      </c>
      <c r="BN8" s="1">
        <f t="shared" si="55"/>
        <v>0</v>
      </c>
      <c r="BO8" s="1">
        <f t="shared" si="20"/>
        <v>0</v>
      </c>
      <c r="BP8" s="1">
        <v>0</v>
      </c>
      <c r="BQ8" s="1">
        <v>0</v>
      </c>
      <c r="BR8" s="170">
        <f>CPP!N8</f>
        <v>0</v>
      </c>
      <c r="BS8" s="1">
        <f t="shared" si="21"/>
        <v>0</v>
      </c>
      <c r="BT8" s="1">
        <f t="shared" si="22"/>
        <v>0</v>
      </c>
      <c r="BU8" s="1">
        <v>0</v>
      </c>
      <c r="BV8" s="1">
        <v>0</v>
      </c>
      <c r="BW8" s="170">
        <f>CPP!O8</f>
        <v>0</v>
      </c>
      <c r="BX8" s="1">
        <f t="shared" si="23"/>
        <v>0</v>
      </c>
      <c r="BY8" s="174">
        <f t="shared" si="56"/>
        <v>0</v>
      </c>
      <c r="BZ8" s="1">
        <v>0</v>
      </c>
      <c r="CA8" s="1">
        <v>0</v>
      </c>
      <c r="CB8" s="170"/>
      <c r="CC8" s="26">
        <f t="shared" si="24"/>
        <v>0</v>
      </c>
      <c r="CD8" s="1">
        <f t="shared" si="57"/>
        <v>0</v>
      </c>
      <c r="CE8" s="1">
        <v>0</v>
      </c>
      <c r="CF8" s="1">
        <v>0</v>
      </c>
      <c r="CG8" s="170">
        <f>CPP!P8</f>
        <v>0</v>
      </c>
      <c r="CH8" s="26">
        <f t="shared" si="25"/>
        <v>0</v>
      </c>
      <c r="CI8" s="1">
        <f t="shared" si="58"/>
        <v>0</v>
      </c>
      <c r="CJ8" s="1">
        <v>0</v>
      </c>
      <c r="CK8" s="1">
        <v>0</v>
      </c>
      <c r="CL8" s="170">
        <f>CPP!Q8</f>
        <v>0</v>
      </c>
      <c r="CM8" s="1">
        <f t="shared" si="26"/>
        <v>0</v>
      </c>
      <c r="CN8" s="1">
        <f t="shared" si="59"/>
        <v>5.0000000000181899E-2</v>
      </c>
      <c r="CO8" s="1">
        <v>0</v>
      </c>
      <c r="CP8" s="1">
        <v>0</v>
      </c>
      <c r="CQ8" s="170">
        <f>CPP!R8</f>
        <v>0</v>
      </c>
      <c r="CR8" s="1">
        <f t="shared" si="27"/>
        <v>5.0000000000181899E-2</v>
      </c>
      <c r="CS8" s="129">
        <f t="shared" si="60"/>
        <v>0</v>
      </c>
      <c r="CT8" s="1">
        <v>0</v>
      </c>
      <c r="CU8" s="1">
        <v>0</v>
      </c>
      <c r="CV8" s="171">
        <f>CPP!S8</f>
        <v>0</v>
      </c>
      <c r="CW8" s="129">
        <f t="shared" si="28"/>
        <v>0</v>
      </c>
      <c r="CX8" s="129">
        <f t="shared" si="61"/>
        <v>0</v>
      </c>
      <c r="CY8" s="1">
        <v>0</v>
      </c>
      <c r="CZ8" s="1">
        <v>0</v>
      </c>
      <c r="DA8" s="171">
        <f>CPP!T8</f>
        <v>0</v>
      </c>
      <c r="DB8" s="129">
        <f t="shared" si="29"/>
        <v>0</v>
      </c>
      <c r="DC8" s="129">
        <f t="shared" si="62"/>
        <v>1.0000000000013998E-2</v>
      </c>
      <c r="DD8" s="1">
        <v>0</v>
      </c>
      <c r="DE8" s="1">
        <v>0</v>
      </c>
      <c r="DF8" s="171">
        <f>CPP!U8</f>
        <v>0</v>
      </c>
      <c r="DG8" s="129">
        <f t="shared" si="30"/>
        <v>1.0000000000013998E-2</v>
      </c>
      <c r="DH8" s="129">
        <f t="shared" si="63"/>
        <v>0</v>
      </c>
      <c r="DI8" s="1">
        <v>0</v>
      </c>
      <c r="DJ8" s="1">
        <v>0</v>
      </c>
      <c r="DK8" s="171">
        <f>CPP!V8</f>
        <v>0</v>
      </c>
      <c r="DL8" s="129">
        <f t="shared" si="31"/>
        <v>0</v>
      </c>
      <c r="DM8" s="129">
        <f t="shared" si="64"/>
        <v>304</v>
      </c>
      <c r="DN8" s="1">
        <v>0</v>
      </c>
      <c r="DO8" s="1">
        <v>0</v>
      </c>
      <c r="DP8" s="171">
        <f>CPP!W8</f>
        <v>0</v>
      </c>
      <c r="DQ8" s="129">
        <f t="shared" si="32"/>
        <v>304</v>
      </c>
      <c r="DR8" s="129">
        <f t="shared" si="65"/>
        <v>1502.000000000002</v>
      </c>
      <c r="DS8" s="1">
        <v>0</v>
      </c>
      <c r="DT8" s="1">
        <v>265.56</v>
      </c>
      <c r="DU8" s="171">
        <f>CPP!X8</f>
        <v>0</v>
      </c>
      <c r="DV8" s="129">
        <f t="shared" si="33"/>
        <v>1236.4400000000021</v>
      </c>
      <c r="DW8" s="129">
        <f t="shared" si="66"/>
        <v>0</v>
      </c>
      <c r="DX8" s="1">
        <v>0</v>
      </c>
      <c r="DY8" s="1">
        <v>0</v>
      </c>
      <c r="DZ8" s="171">
        <f>CPP!Y8</f>
        <v>0</v>
      </c>
      <c r="EA8" s="129">
        <f t="shared" si="34"/>
        <v>0</v>
      </c>
      <c r="EB8" s="129">
        <f t="shared" si="35"/>
        <v>3873.9169999999904</v>
      </c>
      <c r="EC8" s="170">
        <f t="shared" si="36"/>
        <v>0</v>
      </c>
      <c r="ED8" s="170">
        <f t="shared" si="37"/>
        <v>265.56</v>
      </c>
      <c r="EE8" s="129">
        <f t="shared" si="38"/>
        <v>3608.3569999999904</v>
      </c>
      <c r="EF8" s="18">
        <f t="shared" si="39"/>
        <v>4296.2199999999939</v>
      </c>
      <c r="EG8" s="170">
        <f t="shared" si="40"/>
        <v>0</v>
      </c>
      <c r="EH8" s="170">
        <f>CPP!D8+CPP!E8+CPP!F8+CPP!G8+CPP!H8+CPP!I8+CPP!J8+CPP!K8+CPP!L8+CPP!M8+CPP!N8+CPP!O8+CPP!P8+CPP!Q8+CPP!R8+CPP!S8+DA8+DF8+DK8+CPP!W8+DU8</f>
        <v>140</v>
      </c>
      <c r="EI8" s="18">
        <f>EF8+EG8-CPP!G8-CPP!E8-CPP!F8-CPP!P8-CPP!Q8-CL8-CQ8-DU8</f>
        <v>4156.2199999999939</v>
      </c>
      <c r="EJ8" s="16">
        <f t="shared" si="41"/>
        <v>24924.486083976779</v>
      </c>
      <c r="EK8" s="1">
        <v>1505</v>
      </c>
      <c r="EL8" s="253">
        <f>'Daily CEM-1'!AG9+'Daily  CEM - 2'!AF9-EQ8</f>
        <v>1714.5940009825999</v>
      </c>
      <c r="EM8" s="9">
        <f t="shared" si="42"/>
        <v>24714.892082994178</v>
      </c>
      <c r="EN8" s="1">
        <v>0</v>
      </c>
      <c r="EO8" s="18">
        <f t="shared" si="67"/>
        <v>5306.1090080001359</v>
      </c>
      <c r="EP8" s="1">
        <v>0</v>
      </c>
      <c r="EQ8" s="1">
        <v>0</v>
      </c>
      <c r="ER8" s="17">
        <f t="shared" si="43"/>
        <v>5306.1090080001359</v>
      </c>
      <c r="ES8">
        <f t="shared" si="44"/>
        <v>2036.63</v>
      </c>
      <c r="ET8">
        <v>2036.63</v>
      </c>
      <c r="EU8" s="51">
        <f t="shared" si="45"/>
        <v>1714.5940009825999</v>
      </c>
      <c r="EV8" s="51">
        <f t="shared" si="46"/>
        <v>1714.5940009825999</v>
      </c>
      <c r="EW8" s="51">
        <f>(EU8/Production2!CG8)*100</f>
        <v>75.267515407489029</v>
      </c>
      <c r="EX8">
        <v>76.462453531598584</v>
      </c>
      <c r="EY8">
        <f t="shared" si="47"/>
        <v>7646.2453531598585</v>
      </c>
    </row>
    <row r="9" spans="2:155" ht="16.5" customHeight="1">
      <c r="B9" s="4">
        <v>7</v>
      </c>
      <c r="C9" s="39">
        <f t="shared" si="3"/>
        <v>2262.92</v>
      </c>
      <c r="D9" s="1">
        <v>0</v>
      </c>
      <c r="E9" s="269">
        <f>F9+'RAW MILL 2'!F9</f>
        <v>77</v>
      </c>
      <c r="F9" s="1">
        <v>73</v>
      </c>
      <c r="G9" s="9">
        <f t="shared" si="4"/>
        <v>2185.92</v>
      </c>
      <c r="H9" s="39">
        <f t="shared" si="5"/>
        <v>922.49001683751794</v>
      </c>
      <c r="I9" s="33">
        <f>Production2!N9+Production2!Q9</f>
        <v>2309.91</v>
      </c>
      <c r="J9" s="33">
        <f>Production2!K9</f>
        <v>2294</v>
      </c>
      <c r="K9" s="18">
        <f t="shared" si="6"/>
        <v>938.4000168375178</v>
      </c>
      <c r="L9" s="39">
        <f t="shared" si="7"/>
        <v>0</v>
      </c>
      <c r="M9" s="1">
        <v>0</v>
      </c>
      <c r="N9" s="33">
        <f>CPP!D9</f>
        <v>0</v>
      </c>
      <c r="O9" s="1">
        <v>0</v>
      </c>
      <c r="P9" s="33">
        <f t="shared" si="0"/>
        <v>0</v>
      </c>
      <c r="Q9" s="9">
        <f t="shared" si="48"/>
        <v>0</v>
      </c>
      <c r="R9" s="39">
        <f t="shared" si="8"/>
        <v>0</v>
      </c>
      <c r="S9" s="1">
        <v>0</v>
      </c>
      <c r="T9" s="33">
        <f>CPP!E9</f>
        <v>0</v>
      </c>
      <c r="U9" s="26">
        <v>0</v>
      </c>
      <c r="V9" s="38">
        <f t="shared" si="9"/>
        <v>0</v>
      </c>
      <c r="W9" s="9">
        <f t="shared" si="10"/>
        <v>0</v>
      </c>
      <c r="X9" s="39">
        <f t="shared" si="11"/>
        <v>1063.0399999999981</v>
      </c>
      <c r="Y9" s="1">
        <v>0</v>
      </c>
      <c r="Z9" s="33">
        <f>CPP!H9</f>
        <v>0</v>
      </c>
      <c r="AA9" s="1">
        <v>0</v>
      </c>
      <c r="AB9" s="9">
        <f t="shared" si="12"/>
        <v>1063.0399999999981</v>
      </c>
      <c r="AC9" s="39">
        <f t="shared" si="13"/>
        <v>0</v>
      </c>
      <c r="AD9" s="1">
        <v>0</v>
      </c>
      <c r="AE9" s="1">
        <v>0</v>
      </c>
      <c r="AF9" s="9">
        <f t="shared" si="1"/>
        <v>0</v>
      </c>
      <c r="AG9" s="39">
        <f t="shared" si="14"/>
        <v>4156.1699999999937</v>
      </c>
      <c r="AH9" s="1">
        <v>0</v>
      </c>
      <c r="AI9" s="1">
        <v>0</v>
      </c>
      <c r="AJ9" s="170">
        <f>CPP!G9</f>
        <v>138</v>
      </c>
      <c r="AK9" s="9">
        <f t="shared" si="2"/>
        <v>4018.1699999999937</v>
      </c>
      <c r="AL9" s="129">
        <f t="shared" si="49"/>
        <v>0</v>
      </c>
      <c r="AM9" s="1">
        <v>0</v>
      </c>
      <c r="AN9" s="1">
        <v>0</v>
      </c>
      <c r="AO9" s="18">
        <f t="shared" si="15"/>
        <v>0</v>
      </c>
      <c r="AP9" s="129">
        <f t="shared" si="50"/>
        <v>0</v>
      </c>
      <c r="AQ9" s="1">
        <v>0</v>
      </c>
      <c r="AR9" s="1">
        <v>0</v>
      </c>
      <c r="AS9" s="171">
        <f>CPP!I9</f>
        <v>0</v>
      </c>
      <c r="AT9" s="129">
        <f t="shared" si="16"/>
        <v>0</v>
      </c>
      <c r="AU9" s="1">
        <f t="shared" si="51"/>
        <v>0</v>
      </c>
      <c r="AV9" s="1">
        <v>0</v>
      </c>
      <c r="AW9" s="1">
        <v>0</v>
      </c>
      <c r="AX9" s="170">
        <f>CPP!J9</f>
        <v>0</v>
      </c>
      <c r="AY9" s="1">
        <f t="shared" si="17"/>
        <v>0</v>
      </c>
      <c r="AZ9" s="1">
        <f t="shared" si="52"/>
        <v>1004.8669999999903</v>
      </c>
      <c r="BA9" s="1">
        <v>0</v>
      </c>
      <c r="BB9" s="1">
        <v>0</v>
      </c>
      <c r="BC9" s="170">
        <f>CPP!K9</f>
        <v>0</v>
      </c>
      <c r="BD9" s="1">
        <f t="shared" si="18"/>
        <v>1004.8669999999903</v>
      </c>
      <c r="BE9" s="1">
        <f t="shared" si="53"/>
        <v>0</v>
      </c>
      <c r="BF9" s="1">
        <v>0</v>
      </c>
      <c r="BG9" s="1">
        <v>0</v>
      </c>
      <c r="BH9" s="170">
        <f>CPP!L9</f>
        <v>0</v>
      </c>
      <c r="BI9" s="1">
        <f t="shared" si="19"/>
        <v>0</v>
      </c>
      <c r="BJ9" s="1">
        <f t="shared" si="54"/>
        <v>0</v>
      </c>
      <c r="BK9" s="1">
        <v>0</v>
      </c>
      <c r="BL9" s="1">
        <v>0</v>
      </c>
      <c r="BM9" s="170">
        <f>CPP!M9</f>
        <v>0</v>
      </c>
      <c r="BN9" s="1">
        <f t="shared" si="55"/>
        <v>0</v>
      </c>
      <c r="BO9" s="1">
        <f t="shared" si="20"/>
        <v>0</v>
      </c>
      <c r="BP9" s="1">
        <v>0</v>
      </c>
      <c r="BQ9" s="1">
        <v>0</v>
      </c>
      <c r="BR9" s="170">
        <f>CPP!N9</f>
        <v>0</v>
      </c>
      <c r="BS9" s="1">
        <f t="shared" si="21"/>
        <v>0</v>
      </c>
      <c r="BT9" s="1">
        <f t="shared" si="22"/>
        <v>0</v>
      </c>
      <c r="BU9" s="1">
        <v>0</v>
      </c>
      <c r="BV9" s="1">
        <v>0</v>
      </c>
      <c r="BW9" s="170">
        <f>CPP!O9</f>
        <v>0</v>
      </c>
      <c r="BX9" s="1">
        <f t="shared" si="23"/>
        <v>0</v>
      </c>
      <c r="BY9" s="174">
        <f t="shared" si="56"/>
        <v>0</v>
      </c>
      <c r="BZ9" s="1">
        <v>0</v>
      </c>
      <c r="CA9" s="1">
        <v>0</v>
      </c>
      <c r="CB9" s="170"/>
      <c r="CC9" s="26">
        <f t="shared" si="24"/>
        <v>0</v>
      </c>
      <c r="CD9" s="1">
        <f t="shared" si="57"/>
        <v>0</v>
      </c>
      <c r="CE9" s="1">
        <v>0</v>
      </c>
      <c r="CF9" s="1">
        <v>0</v>
      </c>
      <c r="CG9" s="170">
        <f>CPP!P9</f>
        <v>0</v>
      </c>
      <c r="CH9" s="26">
        <f t="shared" si="25"/>
        <v>0</v>
      </c>
      <c r="CI9" s="1">
        <f t="shared" si="58"/>
        <v>0</v>
      </c>
      <c r="CJ9" s="1">
        <v>0</v>
      </c>
      <c r="CK9" s="1">
        <v>0</v>
      </c>
      <c r="CL9" s="170">
        <f>CPP!Q9</f>
        <v>0</v>
      </c>
      <c r="CM9" s="1">
        <f t="shared" si="26"/>
        <v>0</v>
      </c>
      <c r="CN9" s="1">
        <f t="shared" si="59"/>
        <v>5.0000000000181899E-2</v>
      </c>
      <c r="CO9" s="1">
        <v>0</v>
      </c>
      <c r="CP9" s="1">
        <v>0</v>
      </c>
      <c r="CQ9" s="170">
        <f>CPP!R9</f>
        <v>0</v>
      </c>
      <c r="CR9" s="1">
        <f t="shared" si="27"/>
        <v>5.0000000000181899E-2</v>
      </c>
      <c r="CS9" s="129">
        <f t="shared" si="60"/>
        <v>0</v>
      </c>
      <c r="CT9" s="1">
        <v>0</v>
      </c>
      <c r="CU9" s="1">
        <v>0</v>
      </c>
      <c r="CV9" s="171">
        <f>CPP!S9</f>
        <v>0</v>
      </c>
      <c r="CW9" s="129">
        <f t="shared" si="28"/>
        <v>0</v>
      </c>
      <c r="CX9" s="129">
        <f t="shared" si="61"/>
        <v>0</v>
      </c>
      <c r="CY9" s="1">
        <v>0</v>
      </c>
      <c r="CZ9" s="1">
        <v>0</v>
      </c>
      <c r="DA9" s="171">
        <f>CPP!T9</f>
        <v>0</v>
      </c>
      <c r="DB9" s="129">
        <f t="shared" si="29"/>
        <v>0</v>
      </c>
      <c r="DC9" s="129">
        <f t="shared" si="62"/>
        <v>1.0000000000013998E-2</v>
      </c>
      <c r="DD9" s="1">
        <v>0</v>
      </c>
      <c r="DE9" s="1">
        <v>0</v>
      </c>
      <c r="DF9" s="171">
        <f>CPP!U9</f>
        <v>0</v>
      </c>
      <c r="DG9" s="129">
        <f t="shared" si="30"/>
        <v>1.0000000000013998E-2</v>
      </c>
      <c r="DH9" s="129">
        <f t="shared" si="63"/>
        <v>0</v>
      </c>
      <c r="DI9" s="1">
        <v>0</v>
      </c>
      <c r="DJ9" s="1">
        <v>0</v>
      </c>
      <c r="DK9" s="171">
        <f>CPP!V9</f>
        <v>0</v>
      </c>
      <c r="DL9" s="129">
        <f t="shared" si="31"/>
        <v>0</v>
      </c>
      <c r="DM9" s="129">
        <f t="shared" si="64"/>
        <v>304</v>
      </c>
      <c r="DN9" s="1">
        <v>0</v>
      </c>
      <c r="DO9" s="1">
        <v>0</v>
      </c>
      <c r="DP9" s="171">
        <f>CPP!W9</f>
        <v>0</v>
      </c>
      <c r="DQ9" s="129">
        <f t="shared" si="32"/>
        <v>304</v>
      </c>
      <c r="DR9" s="129">
        <f t="shared" si="65"/>
        <v>1236.4400000000021</v>
      </c>
      <c r="DS9" s="1">
        <v>0</v>
      </c>
      <c r="DT9" s="1">
        <v>250</v>
      </c>
      <c r="DU9" s="171">
        <f>CPP!X9</f>
        <v>0</v>
      </c>
      <c r="DV9" s="129">
        <f t="shared" si="33"/>
        <v>986.4400000000021</v>
      </c>
      <c r="DW9" s="129">
        <f t="shared" si="66"/>
        <v>0</v>
      </c>
      <c r="DX9" s="1">
        <v>0</v>
      </c>
      <c r="DY9" s="1">
        <v>0</v>
      </c>
      <c r="DZ9" s="171">
        <f>CPP!Y9</f>
        <v>0</v>
      </c>
      <c r="EA9" s="129">
        <f t="shared" si="34"/>
        <v>0</v>
      </c>
      <c r="EB9" s="129">
        <f t="shared" si="35"/>
        <v>3608.3569999999909</v>
      </c>
      <c r="EC9" s="170">
        <f t="shared" si="36"/>
        <v>0</v>
      </c>
      <c r="ED9" s="170">
        <f t="shared" si="37"/>
        <v>250</v>
      </c>
      <c r="EE9" s="129">
        <f t="shared" si="38"/>
        <v>3358.3569999999909</v>
      </c>
      <c r="EF9" s="18">
        <f t="shared" si="39"/>
        <v>4156.2199999999939</v>
      </c>
      <c r="EG9" s="170">
        <f t="shared" si="40"/>
        <v>0</v>
      </c>
      <c r="EH9" s="170">
        <f>CPP!D9+CPP!E9+CPP!F9+CPP!G9+CPP!H9+CPP!I9+CPP!J9+CPP!K9+CPP!L9+CPP!M9+CPP!N9+CPP!O9+CPP!P9+CPP!Q9+CPP!R9+CPP!S9+DA9+DF9+DK9+CPP!W9+DU9</f>
        <v>138</v>
      </c>
      <c r="EI9" s="18">
        <f>EF9+EG9-CPP!G9-CPP!E9-CPP!F9-CPP!P9-CPP!Q9-CL9-CQ9-DU9</f>
        <v>4018.2199999999939</v>
      </c>
      <c r="EJ9" s="16">
        <f t="shared" si="41"/>
        <v>24714.892082994178</v>
      </c>
      <c r="EK9" s="1">
        <v>1480</v>
      </c>
      <c r="EL9" s="253">
        <f>'Daily CEM-1'!AG10+'Daily  CEM - 2'!AF10-EQ9</f>
        <v>1090.8039989680001</v>
      </c>
      <c r="EM9" s="9">
        <f t="shared" si="42"/>
        <v>25104.088084026178</v>
      </c>
      <c r="EN9" s="1">
        <v>0</v>
      </c>
      <c r="EO9" s="18">
        <f t="shared" si="67"/>
        <v>5306.1090080001359</v>
      </c>
      <c r="EP9" s="1">
        <v>0</v>
      </c>
      <c r="EQ9" s="1">
        <v>0</v>
      </c>
      <c r="ER9" s="17">
        <f t="shared" si="43"/>
        <v>5306.1090080001359</v>
      </c>
      <c r="ES9">
        <f t="shared" si="44"/>
        <v>0</v>
      </c>
      <c r="EU9" s="51">
        <f t="shared" si="45"/>
        <v>1090.8039989680001</v>
      </c>
      <c r="EV9" s="51">
        <f t="shared" si="46"/>
        <v>1090.8039989680001</v>
      </c>
      <c r="EW9" s="51">
        <f>(EU9/Production2!CG9)*100</f>
        <v>76.279999927832179</v>
      </c>
      <c r="EX9">
        <v>78.511520737327274</v>
      </c>
      <c r="EY9">
        <f t="shared" si="47"/>
        <v>7851.1520737327273</v>
      </c>
    </row>
    <row r="10" spans="2:155">
      <c r="B10" s="4">
        <v>8</v>
      </c>
      <c r="C10" s="39">
        <f t="shared" si="3"/>
        <v>2185.92</v>
      </c>
      <c r="D10" s="1">
        <v>0</v>
      </c>
      <c r="E10" s="269">
        <f>F10+'RAW MILL 2'!F10</f>
        <v>64</v>
      </c>
      <c r="F10" s="1">
        <v>60</v>
      </c>
      <c r="G10" s="9">
        <f t="shared" si="4"/>
        <v>2121.92</v>
      </c>
      <c r="H10" s="39">
        <f t="shared" si="5"/>
        <v>938.4000168375178</v>
      </c>
      <c r="I10" s="33">
        <f>Production2!N10+Production2!Q10</f>
        <v>2135.8200000000002</v>
      </c>
      <c r="J10" s="33">
        <f>Production2!K10</f>
        <v>2154.5</v>
      </c>
      <c r="K10" s="18">
        <f t="shared" si="6"/>
        <v>919.72001683751796</v>
      </c>
      <c r="L10" s="39">
        <f t="shared" si="7"/>
        <v>0</v>
      </c>
      <c r="M10" s="1">
        <v>0</v>
      </c>
      <c r="N10" s="33">
        <f>CPP!D10</f>
        <v>0</v>
      </c>
      <c r="O10" s="1">
        <v>0</v>
      </c>
      <c r="P10" s="33">
        <f t="shared" si="0"/>
        <v>0</v>
      </c>
      <c r="Q10" s="9">
        <f t="shared" si="48"/>
        <v>0</v>
      </c>
      <c r="R10" s="39">
        <f t="shared" si="8"/>
        <v>0</v>
      </c>
      <c r="S10" s="1">
        <v>0</v>
      </c>
      <c r="T10" s="33">
        <f>CPP!E10</f>
        <v>0</v>
      </c>
      <c r="U10" s="26">
        <v>0</v>
      </c>
      <c r="V10" s="38">
        <f t="shared" si="9"/>
        <v>0</v>
      </c>
      <c r="W10" s="9">
        <f t="shared" si="10"/>
        <v>0</v>
      </c>
      <c r="X10" s="39">
        <f t="shared" si="11"/>
        <v>1063.0399999999981</v>
      </c>
      <c r="Y10" s="1">
        <v>0</v>
      </c>
      <c r="Z10" s="33">
        <f>CPP!H10</f>
        <v>0</v>
      </c>
      <c r="AA10" s="1">
        <v>0</v>
      </c>
      <c r="AB10" s="9">
        <f t="shared" si="12"/>
        <v>1063.0399999999981</v>
      </c>
      <c r="AC10" s="39">
        <f t="shared" si="13"/>
        <v>0</v>
      </c>
      <c r="AD10" s="1">
        <v>0</v>
      </c>
      <c r="AE10" s="1">
        <v>0</v>
      </c>
      <c r="AF10" s="9">
        <f t="shared" si="1"/>
        <v>0</v>
      </c>
      <c r="AG10" s="39">
        <f t="shared" si="14"/>
        <v>4018.1699999999937</v>
      </c>
      <c r="AH10" s="1">
        <v>0</v>
      </c>
      <c r="AI10" s="1">
        <v>0</v>
      </c>
      <c r="AJ10" s="170">
        <f>CPP!G10</f>
        <v>137</v>
      </c>
      <c r="AK10" s="9">
        <f t="shared" si="2"/>
        <v>3881.1699999999937</v>
      </c>
      <c r="AL10" s="129">
        <f t="shared" si="49"/>
        <v>0</v>
      </c>
      <c r="AM10" s="1">
        <v>0</v>
      </c>
      <c r="AN10" s="1">
        <v>0</v>
      </c>
      <c r="AO10" s="18">
        <f t="shared" si="15"/>
        <v>0</v>
      </c>
      <c r="AP10" s="129">
        <f t="shared" si="50"/>
        <v>0</v>
      </c>
      <c r="AQ10" s="1">
        <v>0</v>
      </c>
      <c r="AR10" s="1">
        <v>0</v>
      </c>
      <c r="AS10" s="171">
        <f>CPP!I10</f>
        <v>0</v>
      </c>
      <c r="AT10" s="129">
        <f t="shared" si="16"/>
        <v>0</v>
      </c>
      <c r="AU10" s="1">
        <f t="shared" si="51"/>
        <v>0</v>
      </c>
      <c r="AV10" s="1">
        <v>0</v>
      </c>
      <c r="AW10" s="1">
        <v>0</v>
      </c>
      <c r="AX10" s="170">
        <f>CPP!J10</f>
        <v>0</v>
      </c>
      <c r="AY10" s="1">
        <f t="shared" si="17"/>
        <v>0</v>
      </c>
      <c r="AZ10" s="1">
        <f t="shared" si="52"/>
        <v>1004.8669999999903</v>
      </c>
      <c r="BA10" s="1">
        <v>0</v>
      </c>
      <c r="BB10" s="1">
        <v>0</v>
      </c>
      <c r="BC10" s="170">
        <f>CPP!K10</f>
        <v>0</v>
      </c>
      <c r="BD10" s="1">
        <f t="shared" si="18"/>
        <v>1004.8669999999903</v>
      </c>
      <c r="BE10" s="1">
        <f t="shared" si="53"/>
        <v>0</v>
      </c>
      <c r="BF10" s="1">
        <v>0</v>
      </c>
      <c r="BG10" s="1">
        <v>0</v>
      </c>
      <c r="BH10" s="170">
        <f>CPP!L10</f>
        <v>0</v>
      </c>
      <c r="BI10" s="1">
        <f t="shared" si="19"/>
        <v>0</v>
      </c>
      <c r="BJ10" s="1">
        <f t="shared" si="54"/>
        <v>0</v>
      </c>
      <c r="BK10" s="1">
        <v>0</v>
      </c>
      <c r="BL10" s="1">
        <v>0</v>
      </c>
      <c r="BM10" s="170">
        <f>CPP!M10</f>
        <v>0</v>
      </c>
      <c r="BN10" s="1">
        <f t="shared" si="55"/>
        <v>0</v>
      </c>
      <c r="BO10" s="1">
        <f t="shared" si="20"/>
        <v>0</v>
      </c>
      <c r="BP10" s="1">
        <v>0</v>
      </c>
      <c r="BQ10" s="1">
        <v>0</v>
      </c>
      <c r="BR10" s="170">
        <f>CPP!N10</f>
        <v>0</v>
      </c>
      <c r="BS10" s="1">
        <f t="shared" si="21"/>
        <v>0</v>
      </c>
      <c r="BT10" s="1">
        <f t="shared" si="22"/>
        <v>0</v>
      </c>
      <c r="BU10" s="1">
        <v>0</v>
      </c>
      <c r="BV10" s="1">
        <v>0</v>
      </c>
      <c r="BW10" s="170">
        <f>CPP!O10</f>
        <v>0</v>
      </c>
      <c r="BX10" s="1">
        <f t="shared" si="23"/>
        <v>0</v>
      </c>
      <c r="BY10" s="174">
        <f t="shared" si="56"/>
        <v>0</v>
      </c>
      <c r="BZ10" s="1">
        <v>0</v>
      </c>
      <c r="CA10" s="1">
        <v>0</v>
      </c>
      <c r="CB10" s="170"/>
      <c r="CC10" s="26">
        <f t="shared" si="24"/>
        <v>0</v>
      </c>
      <c r="CD10" s="1">
        <f t="shared" si="57"/>
        <v>0</v>
      </c>
      <c r="CE10" s="1">
        <v>0</v>
      </c>
      <c r="CF10" s="1">
        <v>0</v>
      </c>
      <c r="CG10" s="170">
        <f>CPP!P10</f>
        <v>0</v>
      </c>
      <c r="CH10" s="26">
        <f t="shared" si="25"/>
        <v>0</v>
      </c>
      <c r="CI10" s="1">
        <f t="shared" si="58"/>
        <v>0</v>
      </c>
      <c r="CJ10" s="1">
        <v>0</v>
      </c>
      <c r="CK10" s="1">
        <v>0</v>
      </c>
      <c r="CL10" s="170">
        <f>CPP!Q10</f>
        <v>0</v>
      </c>
      <c r="CM10" s="1">
        <f t="shared" si="26"/>
        <v>0</v>
      </c>
      <c r="CN10" s="1">
        <f t="shared" si="59"/>
        <v>5.0000000000181899E-2</v>
      </c>
      <c r="CO10" s="1">
        <v>0</v>
      </c>
      <c r="CP10" s="1">
        <v>0</v>
      </c>
      <c r="CQ10" s="170">
        <f>CPP!R10</f>
        <v>0</v>
      </c>
      <c r="CR10" s="1">
        <f t="shared" si="27"/>
        <v>5.0000000000181899E-2</v>
      </c>
      <c r="CS10" s="129">
        <f t="shared" si="60"/>
        <v>0</v>
      </c>
      <c r="CT10" s="1">
        <v>0</v>
      </c>
      <c r="CU10" s="1">
        <v>0</v>
      </c>
      <c r="CV10" s="171">
        <f>CPP!S10</f>
        <v>0</v>
      </c>
      <c r="CW10" s="129">
        <f t="shared" si="28"/>
        <v>0</v>
      </c>
      <c r="CX10" s="129">
        <f t="shared" si="61"/>
        <v>0</v>
      </c>
      <c r="CY10" s="1">
        <v>0</v>
      </c>
      <c r="CZ10" s="1">
        <v>0</v>
      </c>
      <c r="DA10" s="171">
        <f>CPP!T10</f>
        <v>0</v>
      </c>
      <c r="DB10" s="129">
        <f t="shared" si="29"/>
        <v>0</v>
      </c>
      <c r="DC10" s="129">
        <f t="shared" si="62"/>
        <v>1.0000000000013998E-2</v>
      </c>
      <c r="DD10" s="1">
        <v>0</v>
      </c>
      <c r="DE10" s="1">
        <v>0</v>
      </c>
      <c r="DF10" s="171">
        <f>CPP!U10</f>
        <v>0</v>
      </c>
      <c r="DG10" s="129">
        <f t="shared" si="30"/>
        <v>1.0000000000013998E-2</v>
      </c>
      <c r="DH10" s="129">
        <f t="shared" si="63"/>
        <v>0</v>
      </c>
      <c r="DI10" s="1">
        <v>0</v>
      </c>
      <c r="DJ10" s="1">
        <v>0</v>
      </c>
      <c r="DK10" s="171">
        <f>CPP!V10</f>
        <v>0</v>
      </c>
      <c r="DL10" s="129">
        <f t="shared" si="31"/>
        <v>0</v>
      </c>
      <c r="DM10" s="129">
        <f t="shared" si="64"/>
        <v>304</v>
      </c>
      <c r="DN10" s="1">
        <v>0</v>
      </c>
      <c r="DO10" s="1">
        <v>0</v>
      </c>
      <c r="DP10" s="171">
        <f>CPP!W10</f>
        <v>0</v>
      </c>
      <c r="DQ10" s="129">
        <f t="shared" si="32"/>
        <v>304</v>
      </c>
      <c r="DR10" s="129">
        <f t="shared" si="65"/>
        <v>986.4400000000021</v>
      </c>
      <c r="DS10" s="1">
        <v>0</v>
      </c>
      <c r="DT10" s="1">
        <v>233.33</v>
      </c>
      <c r="DU10" s="171">
        <f>CPP!X10</f>
        <v>0</v>
      </c>
      <c r="DV10" s="129">
        <f t="shared" si="33"/>
        <v>753.11000000000206</v>
      </c>
      <c r="DW10" s="129">
        <f t="shared" si="66"/>
        <v>0</v>
      </c>
      <c r="DX10" s="1">
        <v>0</v>
      </c>
      <c r="DY10" s="1">
        <v>0</v>
      </c>
      <c r="DZ10" s="171">
        <f>CPP!Y10</f>
        <v>0</v>
      </c>
      <c r="EA10" s="129">
        <f t="shared" si="34"/>
        <v>0</v>
      </c>
      <c r="EB10" s="129">
        <f t="shared" si="35"/>
        <v>3358.3569999999909</v>
      </c>
      <c r="EC10" s="170">
        <f t="shared" si="36"/>
        <v>0</v>
      </c>
      <c r="ED10" s="170">
        <f t="shared" si="37"/>
        <v>233.33</v>
      </c>
      <c r="EE10" s="129">
        <f t="shared" si="38"/>
        <v>3125.0269999999909</v>
      </c>
      <c r="EF10" s="18">
        <f t="shared" si="39"/>
        <v>4018.2199999999939</v>
      </c>
      <c r="EG10" s="170">
        <f t="shared" si="40"/>
        <v>0</v>
      </c>
      <c r="EH10" s="170">
        <f>CPP!D10+CPP!E10+CPP!F10+CPP!G10+CPP!H10+CPP!I10+CPP!J10+CPP!K10+CPP!L10+CPP!M10+CPP!N10+CPP!O10+CPP!P10+CPP!Q10+CPP!R10+CPP!S10+DA10+DF10+DK10+CPP!W10+DU10</f>
        <v>137</v>
      </c>
      <c r="EI10" s="18">
        <f>EF10+EG10-CPP!G10-CPP!E10-CPP!F10-CPP!P10-CPP!Q10-CL10-CQ10-DU10</f>
        <v>3881.2199999999939</v>
      </c>
      <c r="EJ10" s="16">
        <f t="shared" si="41"/>
        <v>25104.088084026178</v>
      </c>
      <c r="EK10" s="1">
        <v>1390</v>
      </c>
      <c r="EL10" s="253">
        <f>'Daily CEM-1'!AG11+'Daily  CEM - 2'!AF11-EQ10</f>
        <v>1204.14149999503</v>
      </c>
      <c r="EM10" s="9">
        <f t="shared" si="42"/>
        <v>25289.94658403115</v>
      </c>
      <c r="EN10" s="1">
        <v>0</v>
      </c>
      <c r="EO10" s="18">
        <f>ER9</f>
        <v>5306.1090080001359</v>
      </c>
      <c r="EP10" s="1">
        <v>0</v>
      </c>
      <c r="EQ10" s="1">
        <v>0</v>
      </c>
      <c r="ER10" s="17">
        <f>EO10+EP10-EQ10</f>
        <v>5306.1090080001359</v>
      </c>
      <c r="ES10">
        <f t="shared" si="44"/>
        <v>2151.69</v>
      </c>
      <c r="ET10">
        <v>2151.69</v>
      </c>
      <c r="EU10" s="51">
        <f t="shared" si="45"/>
        <v>1204.14149999503</v>
      </c>
      <c r="EV10" s="51">
        <f t="shared" si="46"/>
        <v>1204.14149999503</v>
      </c>
      <c r="EW10" s="51">
        <f>(EU10/Production2!CG10)*100</f>
        <v>77.188557691989104</v>
      </c>
      <c r="EX10">
        <v>77.000264077887792</v>
      </c>
      <c r="EY10">
        <f t="shared" si="47"/>
        <v>7700.0264077887796</v>
      </c>
    </row>
    <row r="11" spans="2:155">
      <c r="B11" s="4">
        <v>9</v>
      </c>
      <c r="C11" s="39">
        <f t="shared" si="3"/>
        <v>2121.92</v>
      </c>
      <c r="D11" s="1">
        <v>0</v>
      </c>
      <c r="E11" s="269">
        <f>F11+'RAW MILL 2'!F11</f>
        <v>73</v>
      </c>
      <c r="F11" s="1">
        <v>67</v>
      </c>
      <c r="G11" s="9">
        <f t="shared" si="4"/>
        <v>2048.92</v>
      </c>
      <c r="H11" s="39">
        <f t="shared" si="5"/>
        <v>919.72001683751796</v>
      </c>
      <c r="I11" s="33">
        <f>Production2!N11+Production2!Q11</f>
        <v>2216.19</v>
      </c>
      <c r="J11" s="33">
        <f>Production2!K11</f>
        <v>2216.5</v>
      </c>
      <c r="K11" s="18">
        <f t="shared" si="6"/>
        <v>919.41001683751801</v>
      </c>
      <c r="L11" s="39">
        <f t="shared" si="7"/>
        <v>0</v>
      </c>
      <c r="M11" s="1">
        <v>0</v>
      </c>
      <c r="N11" s="33">
        <f>CPP!D11</f>
        <v>0</v>
      </c>
      <c r="O11" s="1">
        <v>0</v>
      </c>
      <c r="P11" s="33">
        <f t="shared" si="0"/>
        <v>0</v>
      </c>
      <c r="Q11" s="9">
        <f t="shared" si="48"/>
        <v>0</v>
      </c>
      <c r="R11" s="39">
        <f t="shared" si="8"/>
        <v>0</v>
      </c>
      <c r="S11" s="1">
        <v>0</v>
      </c>
      <c r="T11" s="33">
        <f>CPP!E11</f>
        <v>0</v>
      </c>
      <c r="U11" s="26">
        <v>0</v>
      </c>
      <c r="V11" s="38">
        <f t="shared" si="9"/>
        <v>0</v>
      </c>
      <c r="W11" s="9">
        <f t="shared" si="10"/>
        <v>0</v>
      </c>
      <c r="X11" s="39">
        <f t="shared" si="11"/>
        <v>1063.0399999999981</v>
      </c>
      <c r="Y11" s="1">
        <v>0</v>
      </c>
      <c r="Z11" s="33">
        <f>CPP!H11</f>
        <v>0</v>
      </c>
      <c r="AA11" s="1">
        <v>0</v>
      </c>
      <c r="AB11" s="9">
        <f t="shared" si="12"/>
        <v>1063.0399999999981</v>
      </c>
      <c r="AC11" s="39">
        <f t="shared" si="13"/>
        <v>0</v>
      </c>
      <c r="AD11" s="1">
        <v>0</v>
      </c>
      <c r="AE11" s="1">
        <v>0</v>
      </c>
      <c r="AF11" s="9">
        <f t="shared" si="1"/>
        <v>0</v>
      </c>
      <c r="AG11" s="39">
        <f t="shared" si="14"/>
        <v>3881.1699999999937</v>
      </c>
      <c r="AH11" s="1">
        <v>344.15</v>
      </c>
      <c r="AI11" s="1">
        <v>0</v>
      </c>
      <c r="AJ11" s="170">
        <f>CPP!G11</f>
        <v>130</v>
      </c>
      <c r="AK11" s="9">
        <f t="shared" si="2"/>
        <v>4095.3199999999933</v>
      </c>
      <c r="AL11" s="129">
        <f t="shared" si="49"/>
        <v>0</v>
      </c>
      <c r="AM11" s="1">
        <v>0</v>
      </c>
      <c r="AN11" s="1">
        <v>0</v>
      </c>
      <c r="AO11" s="18">
        <f t="shared" si="15"/>
        <v>0</v>
      </c>
      <c r="AP11" s="129">
        <f t="shared" si="50"/>
        <v>0</v>
      </c>
      <c r="AQ11" s="1">
        <v>0</v>
      </c>
      <c r="AR11" s="1">
        <v>0</v>
      </c>
      <c r="AS11" s="171">
        <f>CPP!I11</f>
        <v>0</v>
      </c>
      <c r="AT11" s="129">
        <f t="shared" si="16"/>
        <v>0</v>
      </c>
      <c r="AU11" s="1">
        <f t="shared" si="51"/>
        <v>0</v>
      </c>
      <c r="AV11" s="1">
        <v>0</v>
      </c>
      <c r="AW11" s="1">
        <v>0</v>
      </c>
      <c r="AX11" s="170">
        <f>CPP!J11</f>
        <v>0</v>
      </c>
      <c r="AY11" s="1">
        <f t="shared" si="17"/>
        <v>0</v>
      </c>
      <c r="AZ11" s="1">
        <f t="shared" si="52"/>
        <v>1004.8669999999903</v>
      </c>
      <c r="BA11" s="1">
        <v>942.44</v>
      </c>
      <c r="BB11" s="1">
        <v>0</v>
      </c>
      <c r="BC11" s="170">
        <f>CPP!K11</f>
        <v>0</v>
      </c>
      <c r="BD11" s="1">
        <f t="shared" si="18"/>
        <v>1947.3069999999902</v>
      </c>
      <c r="BE11" s="1">
        <f t="shared" si="53"/>
        <v>0</v>
      </c>
      <c r="BF11" s="1">
        <v>0</v>
      </c>
      <c r="BG11" s="1">
        <v>0</v>
      </c>
      <c r="BH11" s="170">
        <f>CPP!L11</f>
        <v>0</v>
      </c>
      <c r="BI11" s="1">
        <f t="shared" si="19"/>
        <v>0</v>
      </c>
      <c r="BJ11" s="1">
        <f t="shared" si="54"/>
        <v>0</v>
      </c>
      <c r="BK11" s="1">
        <v>0</v>
      </c>
      <c r="BL11" s="1">
        <v>0</v>
      </c>
      <c r="BM11" s="170">
        <f>CPP!M11</f>
        <v>0</v>
      </c>
      <c r="BN11" s="1">
        <f t="shared" si="55"/>
        <v>0</v>
      </c>
      <c r="BO11" s="1">
        <f t="shared" si="20"/>
        <v>0</v>
      </c>
      <c r="BP11" s="1">
        <v>0</v>
      </c>
      <c r="BQ11" s="1">
        <v>0</v>
      </c>
      <c r="BR11" s="170">
        <f>CPP!N11</f>
        <v>0</v>
      </c>
      <c r="BS11" s="1">
        <f t="shared" si="21"/>
        <v>0</v>
      </c>
      <c r="BT11" s="1">
        <f t="shared" si="22"/>
        <v>0</v>
      </c>
      <c r="BU11" s="1">
        <v>0</v>
      </c>
      <c r="BV11" s="1">
        <v>0</v>
      </c>
      <c r="BW11" s="170">
        <f>CPP!O11</f>
        <v>0</v>
      </c>
      <c r="BX11" s="1">
        <f t="shared" si="23"/>
        <v>0</v>
      </c>
      <c r="BY11" s="174">
        <f t="shared" si="56"/>
        <v>0</v>
      </c>
      <c r="BZ11" s="1">
        <v>0</v>
      </c>
      <c r="CA11" s="1">
        <v>0</v>
      </c>
      <c r="CB11" s="170"/>
      <c r="CC11" s="26">
        <f t="shared" si="24"/>
        <v>0</v>
      </c>
      <c r="CD11" s="1">
        <f t="shared" si="57"/>
        <v>0</v>
      </c>
      <c r="CE11" s="1">
        <v>0</v>
      </c>
      <c r="CF11" s="1">
        <v>0</v>
      </c>
      <c r="CG11" s="170">
        <f>CPP!P11</f>
        <v>0</v>
      </c>
      <c r="CH11" s="26">
        <f t="shared" si="25"/>
        <v>0</v>
      </c>
      <c r="CI11" s="1">
        <f t="shared" si="58"/>
        <v>0</v>
      </c>
      <c r="CJ11" s="1">
        <v>0</v>
      </c>
      <c r="CK11" s="1">
        <v>0</v>
      </c>
      <c r="CL11" s="170">
        <f>CPP!Q11</f>
        <v>0</v>
      </c>
      <c r="CM11" s="1">
        <f t="shared" si="26"/>
        <v>0</v>
      </c>
      <c r="CN11" s="1">
        <f t="shared" si="59"/>
        <v>5.0000000000181899E-2</v>
      </c>
      <c r="CO11" s="1">
        <v>0</v>
      </c>
      <c r="CP11" s="1">
        <v>0</v>
      </c>
      <c r="CQ11" s="170">
        <f>CPP!R11</f>
        <v>0</v>
      </c>
      <c r="CR11" s="1">
        <f t="shared" si="27"/>
        <v>5.0000000000181899E-2</v>
      </c>
      <c r="CS11" s="129">
        <f t="shared" si="60"/>
        <v>0</v>
      </c>
      <c r="CT11" s="1">
        <v>0</v>
      </c>
      <c r="CU11" s="1">
        <v>0</v>
      </c>
      <c r="CV11" s="171">
        <f>CPP!S11</f>
        <v>0</v>
      </c>
      <c r="CW11" s="129">
        <f t="shared" si="28"/>
        <v>0</v>
      </c>
      <c r="CX11" s="129">
        <f t="shared" si="61"/>
        <v>0</v>
      </c>
      <c r="CY11" s="1">
        <v>0</v>
      </c>
      <c r="CZ11" s="1">
        <v>0</v>
      </c>
      <c r="DA11" s="171">
        <f>CPP!T11</f>
        <v>0</v>
      </c>
      <c r="DB11" s="129">
        <f t="shared" si="29"/>
        <v>0</v>
      </c>
      <c r="DC11" s="129">
        <f t="shared" si="62"/>
        <v>1.0000000000013998E-2</v>
      </c>
      <c r="DD11" s="1">
        <v>0</v>
      </c>
      <c r="DE11" s="1">
        <v>0</v>
      </c>
      <c r="DF11" s="171">
        <f>CPP!U11</f>
        <v>0</v>
      </c>
      <c r="DG11" s="129">
        <f t="shared" si="30"/>
        <v>1.0000000000013998E-2</v>
      </c>
      <c r="DH11" s="129">
        <f t="shared" si="63"/>
        <v>0</v>
      </c>
      <c r="DI11" s="1">
        <v>0</v>
      </c>
      <c r="DJ11" s="1">
        <v>0</v>
      </c>
      <c r="DK11" s="171">
        <f>CPP!V11</f>
        <v>0</v>
      </c>
      <c r="DL11" s="129">
        <f t="shared" si="31"/>
        <v>0</v>
      </c>
      <c r="DM11" s="129">
        <f t="shared" si="64"/>
        <v>304</v>
      </c>
      <c r="DN11" s="1">
        <v>0</v>
      </c>
      <c r="DO11" s="1">
        <v>0</v>
      </c>
      <c r="DP11" s="171">
        <f>CPP!W11</f>
        <v>0</v>
      </c>
      <c r="DQ11" s="129">
        <f t="shared" si="32"/>
        <v>304</v>
      </c>
      <c r="DR11" s="129">
        <f t="shared" si="65"/>
        <v>753.11000000000206</v>
      </c>
      <c r="DS11" s="1">
        <v>0</v>
      </c>
      <c r="DT11" s="1">
        <v>250</v>
      </c>
      <c r="DU11" s="171">
        <f>CPP!X11</f>
        <v>0</v>
      </c>
      <c r="DV11" s="129">
        <f>DR11+DS11-DT11-DU11</f>
        <v>503.11000000000206</v>
      </c>
      <c r="DW11" s="129">
        <f t="shared" si="66"/>
        <v>0</v>
      </c>
      <c r="DX11" s="1">
        <v>0</v>
      </c>
      <c r="DY11" s="1">
        <v>0</v>
      </c>
      <c r="DZ11" s="171">
        <f>CPP!Y11</f>
        <v>0</v>
      </c>
      <c r="EA11" s="129">
        <f t="shared" si="34"/>
        <v>0</v>
      </c>
      <c r="EB11" s="129">
        <f t="shared" si="35"/>
        <v>3125.0269999999905</v>
      </c>
      <c r="EC11" s="170">
        <f t="shared" si="36"/>
        <v>942.44</v>
      </c>
      <c r="ED11" s="170">
        <f t="shared" si="37"/>
        <v>250</v>
      </c>
      <c r="EE11" s="129">
        <f t="shared" si="38"/>
        <v>3817.4669999999905</v>
      </c>
      <c r="EF11" s="18">
        <f t="shared" si="39"/>
        <v>3881.2199999999939</v>
      </c>
      <c r="EG11" s="170">
        <f t="shared" si="40"/>
        <v>344.15</v>
      </c>
      <c r="EH11" s="170">
        <f>CPP!D11+CPP!E11+CPP!F11+CPP!G11+CPP!H11+CPP!I11+CPP!J11+CPP!K11+CPP!L11+CPP!M11+CPP!N11+CPP!O11+CPP!P11+CPP!Q11+CPP!R11+CPP!S11+DA11+DF11+DK11+CPP!W11+DU11</f>
        <v>130</v>
      </c>
      <c r="EI11" s="18">
        <f>EF11+EG11-CPP!G11-CPP!E11-CPP!F11-CPP!P11-CPP!Q11-CL11-CQ11-DU11</f>
        <v>4095.3699999999935</v>
      </c>
      <c r="EJ11" s="16">
        <f t="shared" si="41"/>
        <v>25289.94658403115</v>
      </c>
      <c r="EK11" s="1">
        <v>1430</v>
      </c>
      <c r="EL11" s="253">
        <f>'Daily CEM-1'!AG12+'Daily  CEM - 2'!AF12-EQ11</f>
        <v>1365.6830000450011</v>
      </c>
      <c r="EM11" s="9">
        <f t="shared" si="42"/>
        <v>25354.263583986147</v>
      </c>
      <c r="EN11" s="1">
        <v>0</v>
      </c>
      <c r="EO11" s="18">
        <f>ER10</f>
        <v>5306.1090080001359</v>
      </c>
      <c r="EP11" s="1">
        <v>0</v>
      </c>
      <c r="EQ11" s="1">
        <v>0</v>
      </c>
      <c r="ER11" s="17">
        <f>EO11+EP11-EQ11</f>
        <v>5306.1090080001359</v>
      </c>
      <c r="ES11">
        <f t="shared" si="44"/>
        <v>688.04</v>
      </c>
      <c r="ET11">
        <v>688.04</v>
      </c>
      <c r="EU11" s="51">
        <f t="shared" si="45"/>
        <v>1365.6830000450011</v>
      </c>
      <c r="EV11" s="51">
        <f>EL11+EQ11</f>
        <v>1365.6830000450011</v>
      </c>
      <c r="EW11" s="51">
        <f>(EU11/Production2!CG11)*100</f>
        <v>79.538905069598201</v>
      </c>
      <c r="EX11">
        <v>76.100000006179854</v>
      </c>
      <c r="EY11">
        <f t="shared" si="47"/>
        <v>7610.0000006179853</v>
      </c>
    </row>
    <row r="12" spans="2:155">
      <c r="B12" s="4">
        <v>10</v>
      </c>
      <c r="C12" s="39">
        <f t="shared" si="3"/>
        <v>2048.92</v>
      </c>
      <c r="D12" s="1">
        <v>0</v>
      </c>
      <c r="E12" s="269">
        <f>F12+'RAW MILL 2'!F12</f>
        <v>95</v>
      </c>
      <c r="F12" s="1">
        <v>89</v>
      </c>
      <c r="G12" s="9">
        <f t="shared" si="4"/>
        <v>1953.92</v>
      </c>
      <c r="H12" s="39">
        <f t="shared" si="5"/>
        <v>919.41001683751801</v>
      </c>
      <c r="I12" s="33">
        <f>Production2!N12+Production2!Q12</f>
        <v>2849.55</v>
      </c>
      <c r="J12" s="33">
        <f>Production2!K12</f>
        <v>2340.5</v>
      </c>
      <c r="K12" s="18">
        <f t="shared" si="6"/>
        <v>1428.4600168375182</v>
      </c>
      <c r="L12" s="39">
        <f t="shared" si="7"/>
        <v>0</v>
      </c>
      <c r="M12" s="1">
        <v>0</v>
      </c>
      <c r="N12" s="33">
        <f>CPP!D12</f>
        <v>0</v>
      </c>
      <c r="O12" s="1">
        <v>0</v>
      </c>
      <c r="P12" s="33">
        <f t="shared" si="0"/>
        <v>0</v>
      </c>
      <c r="Q12" s="9">
        <f t="shared" si="48"/>
        <v>0</v>
      </c>
      <c r="R12" s="39">
        <f t="shared" si="8"/>
        <v>0</v>
      </c>
      <c r="S12" s="1">
        <v>0</v>
      </c>
      <c r="T12" s="33">
        <f>CPP!E12</f>
        <v>0</v>
      </c>
      <c r="U12" s="26">
        <v>0</v>
      </c>
      <c r="V12" s="38">
        <f t="shared" si="9"/>
        <v>0</v>
      </c>
      <c r="W12" s="9">
        <f t="shared" si="10"/>
        <v>0</v>
      </c>
      <c r="X12" s="39">
        <f t="shared" si="11"/>
        <v>1063.0399999999981</v>
      </c>
      <c r="Y12" s="1">
        <v>0</v>
      </c>
      <c r="Z12" s="33">
        <f>CPP!H12</f>
        <v>0</v>
      </c>
      <c r="AA12" s="1">
        <v>0</v>
      </c>
      <c r="AB12" s="9">
        <f t="shared" si="12"/>
        <v>1063.0399999999981</v>
      </c>
      <c r="AC12" s="39">
        <f t="shared" si="13"/>
        <v>0</v>
      </c>
      <c r="AD12" s="1">
        <v>0</v>
      </c>
      <c r="AE12" s="1">
        <v>0</v>
      </c>
      <c r="AF12" s="9">
        <f t="shared" si="1"/>
        <v>0</v>
      </c>
      <c r="AG12" s="39">
        <f t="shared" si="14"/>
        <v>4095.3199999999933</v>
      </c>
      <c r="AH12" s="1">
        <v>251.7</v>
      </c>
      <c r="AI12" s="1">
        <v>0</v>
      </c>
      <c r="AJ12" s="170">
        <f>CPP!G12</f>
        <v>131</v>
      </c>
      <c r="AK12" s="9">
        <f>AG12+AH12-AJ12</f>
        <v>4216.0199999999932</v>
      </c>
      <c r="AL12" s="129">
        <f t="shared" si="49"/>
        <v>0</v>
      </c>
      <c r="AM12" s="1">
        <v>0</v>
      </c>
      <c r="AN12" s="1">
        <v>0</v>
      </c>
      <c r="AO12" s="18">
        <f t="shared" si="15"/>
        <v>0</v>
      </c>
      <c r="AP12" s="129">
        <f t="shared" si="50"/>
        <v>0</v>
      </c>
      <c r="AQ12" s="1">
        <v>0</v>
      </c>
      <c r="AR12" s="1">
        <v>0</v>
      </c>
      <c r="AS12" s="171">
        <f>CPP!I12</f>
        <v>0</v>
      </c>
      <c r="AT12" s="129">
        <f t="shared" si="16"/>
        <v>0</v>
      </c>
      <c r="AU12" s="1">
        <f t="shared" si="51"/>
        <v>0</v>
      </c>
      <c r="AV12" s="1">
        <v>0</v>
      </c>
      <c r="AW12" s="1">
        <v>0</v>
      </c>
      <c r="AX12" s="170">
        <f>CPP!J12</f>
        <v>0</v>
      </c>
      <c r="AY12" s="1">
        <f t="shared" si="17"/>
        <v>0</v>
      </c>
      <c r="AZ12" s="1">
        <f t="shared" si="52"/>
        <v>1947.3069999999902</v>
      </c>
      <c r="BA12" s="1">
        <v>191.78</v>
      </c>
      <c r="BB12" s="1">
        <v>0</v>
      </c>
      <c r="BC12" s="170">
        <f>CPP!K12</f>
        <v>0</v>
      </c>
      <c r="BD12" s="1">
        <f t="shared" si="18"/>
        <v>2139.0869999999904</v>
      </c>
      <c r="BE12" s="1">
        <f t="shared" si="53"/>
        <v>0</v>
      </c>
      <c r="BF12" s="1">
        <v>0</v>
      </c>
      <c r="BG12" s="1">
        <v>0</v>
      </c>
      <c r="BH12" s="170">
        <f>CPP!L12</f>
        <v>0</v>
      </c>
      <c r="BI12" s="1">
        <f>BE12+BF12-BG12-BH12</f>
        <v>0</v>
      </c>
      <c r="BJ12" s="1">
        <f t="shared" si="54"/>
        <v>0</v>
      </c>
      <c r="BK12" s="1">
        <v>0</v>
      </c>
      <c r="BL12" s="1">
        <v>0</v>
      </c>
      <c r="BM12" s="170">
        <f>CPP!M12</f>
        <v>0</v>
      </c>
      <c r="BN12" s="1">
        <f t="shared" si="55"/>
        <v>0</v>
      </c>
      <c r="BO12" s="1">
        <f t="shared" si="20"/>
        <v>0</v>
      </c>
      <c r="BP12" s="1">
        <v>0</v>
      </c>
      <c r="BQ12" s="1">
        <v>0</v>
      </c>
      <c r="BR12" s="170">
        <f>CPP!N12</f>
        <v>0</v>
      </c>
      <c r="BS12" s="1">
        <f t="shared" si="21"/>
        <v>0</v>
      </c>
      <c r="BT12" s="1">
        <f t="shared" si="22"/>
        <v>0</v>
      </c>
      <c r="BU12" s="1">
        <v>0</v>
      </c>
      <c r="BV12" s="1">
        <v>0</v>
      </c>
      <c r="BW12" s="170">
        <f>CPP!O12</f>
        <v>0</v>
      </c>
      <c r="BX12" s="1">
        <f t="shared" si="23"/>
        <v>0</v>
      </c>
      <c r="BY12" s="174">
        <f t="shared" si="56"/>
        <v>0</v>
      </c>
      <c r="BZ12" s="1">
        <v>0</v>
      </c>
      <c r="CA12" s="1">
        <v>0</v>
      </c>
      <c r="CB12" s="170"/>
      <c r="CC12" s="26">
        <f t="shared" si="24"/>
        <v>0</v>
      </c>
      <c r="CD12" s="1">
        <f t="shared" si="57"/>
        <v>0</v>
      </c>
      <c r="CE12" s="1">
        <v>0</v>
      </c>
      <c r="CF12" s="1">
        <v>0</v>
      </c>
      <c r="CG12" s="170">
        <f>CPP!P12</f>
        <v>0</v>
      </c>
      <c r="CH12" s="26">
        <f t="shared" si="25"/>
        <v>0</v>
      </c>
      <c r="CI12" s="1">
        <f t="shared" si="58"/>
        <v>0</v>
      </c>
      <c r="CJ12" s="1">
        <v>0</v>
      </c>
      <c r="CK12" s="1">
        <v>0</v>
      </c>
      <c r="CL12" s="170">
        <f>CPP!Q12</f>
        <v>0</v>
      </c>
      <c r="CM12" s="1">
        <f t="shared" si="26"/>
        <v>0</v>
      </c>
      <c r="CN12" s="1">
        <f t="shared" si="59"/>
        <v>5.0000000000181899E-2</v>
      </c>
      <c r="CO12" s="1">
        <v>0</v>
      </c>
      <c r="CP12" s="1">
        <v>0</v>
      </c>
      <c r="CQ12" s="170">
        <f>CPP!R12</f>
        <v>0</v>
      </c>
      <c r="CR12" s="1">
        <f t="shared" si="27"/>
        <v>5.0000000000181899E-2</v>
      </c>
      <c r="CS12" s="129">
        <f t="shared" si="60"/>
        <v>0</v>
      </c>
      <c r="CT12" s="1">
        <v>0</v>
      </c>
      <c r="CU12" s="1">
        <v>0</v>
      </c>
      <c r="CV12" s="171">
        <f>CPP!S12</f>
        <v>0</v>
      </c>
      <c r="CW12" s="129">
        <f t="shared" si="28"/>
        <v>0</v>
      </c>
      <c r="CX12" s="129">
        <f t="shared" si="61"/>
        <v>0</v>
      </c>
      <c r="CY12" s="1">
        <v>0</v>
      </c>
      <c r="CZ12" s="1">
        <v>0</v>
      </c>
      <c r="DA12" s="171">
        <f>CPP!T12</f>
        <v>0</v>
      </c>
      <c r="DB12" s="129">
        <f t="shared" si="29"/>
        <v>0</v>
      </c>
      <c r="DC12" s="129">
        <f t="shared" si="62"/>
        <v>1.0000000000013998E-2</v>
      </c>
      <c r="DD12" s="1">
        <v>0</v>
      </c>
      <c r="DE12" s="1">
        <v>0</v>
      </c>
      <c r="DF12" s="171">
        <f>CPP!U12</f>
        <v>0</v>
      </c>
      <c r="DG12" s="129">
        <f t="shared" si="30"/>
        <v>1.0000000000013998E-2</v>
      </c>
      <c r="DH12" s="129">
        <f t="shared" si="63"/>
        <v>0</v>
      </c>
      <c r="DI12" s="1">
        <v>0</v>
      </c>
      <c r="DJ12" s="1">
        <v>0</v>
      </c>
      <c r="DK12" s="171">
        <f>CPP!V12</f>
        <v>0</v>
      </c>
      <c r="DL12" s="129">
        <f t="shared" si="31"/>
        <v>0</v>
      </c>
      <c r="DM12" s="129">
        <f t="shared" si="64"/>
        <v>304</v>
      </c>
      <c r="DN12" s="1">
        <v>0</v>
      </c>
      <c r="DO12" s="1">
        <v>0</v>
      </c>
      <c r="DP12" s="171">
        <f>CPP!W12</f>
        <v>0</v>
      </c>
      <c r="DQ12" s="129">
        <f t="shared" si="32"/>
        <v>304</v>
      </c>
      <c r="DR12" s="129">
        <f t="shared" si="65"/>
        <v>503.11000000000206</v>
      </c>
      <c r="DS12" s="1">
        <v>0</v>
      </c>
      <c r="DT12" s="1">
        <v>260</v>
      </c>
      <c r="DU12" s="171">
        <f>CPP!X12</f>
        <v>0</v>
      </c>
      <c r="DV12" s="129">
        <f t="shared" si="33"/>
        <v>243.11000000000206</v>
      </c>
      <c r="DW12" s="129">
        <f t="shared" si="66"/>
        <v>0</v>
      </c>
      <c r="DX12" s="1">
        <v>0</v>
      </c>
      <c r="DY12" s="1">
        <v>0</v>
      </c>
      <c r="DZ12" s="171">
        <f>CPP!Y12</f>
        <v>0</v>
      </c>
      <c r="EA12" s="129">
        <f t="shared" si="34"/>
        <v>0</v>
      </c>
      <c r="EB12" s="129">
        <f t="shared" si="35"/>
        <v>3817.4669999999901</v>
      </c>
      <c r="EC12" s="170">
        <f t="shared" si="36"/>
        <v>191.78</v>
      </c>
      <c r="ED12" s="170">
        <f t="shared" si="37"/>
        <v>260</v>
      </c>
      <c r="EE12" s="129">
        <f t="shared" si="38"/>
        <v>3749.2469999999903</v>
      </c>
      <c r="EF12" s="18">
        <f t="shared" si="39"/>
        <v>4095.3699999999935</v>
      </c>
      <c r="EG12" s="170">
        <f t="shared" si="40"/>
        <v>251.7</v>
      </c>
      <c r="EH12" s="170">
        <f>CPP!D12+CPP!E12+CPP!F12+CPP!G12+CPP!H12+CPP!I12+CPP!J12+CPP!K12+CPP!L12+CPP!M12+CPP!N12+CPP!O12+CPP!P12+CPP!Q12+CPP!R12+CPP!S12+DA12+DF12+DK12+CPP!W12+DU12</f>
        <v>131</v>
      </c>
      <c r="EI12" s="18">
        <f>EF12+EG12-CPP!G12-CPP!E12-CPP!F12-CPP!P12-CPP!Q12-CL12-CQ12-DU12</f>
        <v>4216.0699999999933</v>
      </c>
      <c r="EJ12" s="16">
        <f t="shared" si="41"/>
        <v>25354.263583986147</v>
      </c>
      <c r="EK12" s="1">
        <v>1510</v>
      </c>
      <c r="EL12" s="253">
        <f>'Daily CEM-1'!AG13+'Daily  CEM - 2'!AF13-EQ12</f>
        <v>2075.320000048001</v>
      </c>
      <c r="EM12" s="9">
        <f t="shared" si="42"/>
        <v>24788.943583938148</v>
      </c>
      <c r="EN12" s="1">
        <v>0</v>
      </c>
      <c r="EO12" s="18">
        <f t="shared" si="67"/>
        <v>5306.1090080001359</v>
      </c>
      <c r="EP12" s="1">
        <v>0</v>
      </c>
      <c r="EQ12" s="1">
        <v>0</v>
      </c>
      <c r="ER12" s="17">
        <f t="shared" si="43"/>
        <v>5306.1090080001359</v>
      </c>
      <c r="ES12">
        <f t="shared" si="44"/>
        <v>1286.53</v>
      </c>
      <c r="ET12">
        <v>1286.53</v>
      </c>
      <c r="EU12" s="51">
        <f t="shared" si="45"/>
        <v>2075.320000048001</v>
      </c>
      <c r="EV12" s="51">
        <f t="shared" si="46"/>
        <v>2075.320000048001</v>
      </c>
      <c r="EW12" s="51">
        <f>(EU12/Production2!CG12)*100</f>
        <v>78.107640197516034</v>
      </c>
      <c r="EX12">
        <v>77.304373177842635</v>
      </c>
      <c r="EY12">
        <f t="shared" si="47"/>
        <v>7730.4373177842635</v>
      </c>
    </row>
    <row r="13" spans="2:155">
      <c r="B13" s="4">
        <v>11</v>
      </c>
      <c r="C13" s="39">
        <f t="shared" si="3"/>
        <v>1953.92</v>
      </c>
      <c r="D13" s="1">
        <v>0</v>
      </c>
      <c r="E13" s="269">
        <f>F13+'RAW MILL 2'!F13</f>
        <v>47</v>
      </c>
      <c r="F13" s="1">
        <v>43</v>
      </c>
      <c r="G13" s="9">
        <f t="shared" si="4"/>
        <v>1906.92</v>
      </c>
      <c r="H13" s="39">
        <f t="shared" si="5"/>
        <v>1428.4600168375182</v>
      </c>
      <c r="I13" s="33">
        <f>Production2!N13+Production2!Q13</f>
        <v>2011.1100000000001</v>
      </c>
      <c r="J13" s="33">
        <f>Production2!K13</f>
        <v>1999.5</v>
      </c>
      <c r="K13" s="18">
        <f t="shared" si="6"/>
        <v>1440.0700168375183</v>
      </c>
      <c r="L13" s="39">
        <f t="shared" si="7"/>
        <v>0</v>
      </c>
      <c r="M13" s="1">
        <v>0</v>
      </c>
      <c r="N13" s="33">
        <f>CPP!D13</f>
        <v>0</v>
      </c>
      <c r="O13" s="1">
        <v>0</v>
      </c>
      <c r="P13" s="33">
        <f t="shared" si="0"/>
        <v>0</v>
      </c>
      <c r="Q13" s="9">
        <f t="shared" si="48"/>
        <v>0</v>
      </c>
      <c r="R13" s="39">
        <f t="shared" si="8"/>
        <v>0</v>
      </c>
      <c r="S13" s="1">
        <v>0</v>
      </c>
      <c r="T13" s="33">
        <f>CPP!E13</f>
        <v>0</v>
      </c>
      <c r="U13" s="26">
        <v>0</v>
      </c>
      <c r="V13" s="38">
        <f t="shared" si="9"/>
        <v>0</v>
      </c>
      <c r="W13" s="9">
        <f t="shared" si="10"/>
        <v>0</v>
      </c>
      <c r="X13" s="39">
        <f t="shared" si="11"/>
        <v>1063.0399999999981</v>
      </c>
      <c r="Y13" s="1">
        <v>0</v>
      </c>
      <c r="Z13" s="33">
        <f>CPP!H13</f>
        <v>0</v>
      </c>
      <c r="AA13" s="1">
        <v>0</v>
      </c>
      <c r="AB13" s="9">
        <f t="shared" si="12"/>
        <v>1063.0399999999981</v>
      </c>
      <c r="AC13" s="39">
        <f t="shared" si="13"/>
        <v>0</v>
      </c>
      <c r="AD13" s="1">
        <v>0</v>
      </c>
      <c r="AE13" s="1">
        <v>0</v>
      </c>
      <c r="AF13" s="9">
        <f t="shared" si="1"/>
        <v>0</v>
      </c>
      <c r="AG13" s="39">
        <f t="shared" si="14"/>
        <v>4216.0199999999932</v>
      </c>
      <c r="AH13" s="1">
        <v>0</v>
      </c>
      <c r="AI13" s="1">
        <v>0</v>
      </c>
      <c r="AJ13" s="170">
        <f>CPP!G13</f>
        <v>137</v>
      </c>
      <c r="AK13" s="9">
        <f t="shared" si="2"/>
        <v>4079.0199999999932</v>
      </c>
      <c r="AL13" s="129">
        <f t="shared" si="49"/>
        <v>0</v>
      </c>
      <c r="AM13" s="1">
        <v>0</v>
      </c>
      <c r="AN13" s="1">
        <v>0</v>
      </c>
      <c r="AO13" s="18">
        <f t="shared" si="15"/>
        <v>0</v>
      </c>
      <c r="AP13" s="129">
        <f t="shared" si="50"/>
        <v>0</v>
      </c>
      <c r="AQ13" s="1">
        <v>0</v>
      </c>
      <c r="AR13" s="1">
        <v>0</v>
      </c>
      <c r="AS13" s="171">
        <f>CPP!I13</f>
        <v>0</v>
      </c>
      <c r="AT13" s="129">
        <f t="shared" si="16"/>
        <v>0</v>
      </c>
      <c r="AU13" s="1">
        <f t="shared" si="51"/>
        <v>0</v>
      </c>
      <c r="AV13" s="1">
        <v>0</v>
      </c>
      <c r="AW13" s="1">
        <v>0</v>
      </c>
      <c r="AX13" s="170">
        <f>CPP!J13</f>
        <v>0</v>
      </c>
      <c r="AY13" s="1">
        <f t="shared" si="17"/>
        <v>0</v>
      </c>
      <c r="AZ13" s="1">
        <f t="shared" si="52"/>
        <v>2139.0869999999904</v>
      </c>
      <c r="BA13" s="1">
        <v>157.12</v>
      </c>
      <c r="BB13" s="1">
        <v>0</v>
      </c>
      <c r="BC13" s="170">
        <f>CPP!K13</f>
        <v>0</v>
      </c>
      <c r="BD13" s="1">
        <f t="shared" si="18"/>
        <v>2296.2069999999903</v>
      </c>
      <c r="BE13" s="1">
        <f t="shared" si="53"/>
        <v>0</v>
      </c>
      <c r="BF13" s="1">
        <v>0</v>
      </c>
      <c r="BG13" s="1">
        <v>0</v>
      </c>
      <c r="BH13" s="170">
        <f>CPP!L13</f>
        <v>0</v>
      </c>
      <c r="BI13" s="1">
        <f>BE13+BF13-BG13-BH13</f>
        <v>0</v>
      </c>
      <c r="BJ13" s="1">
        <f t="shared" si="54"/>
        <v>0</v>
      </c>
      <c r="BK13" s="1">
        <v>0</v>
      </c>
      <c r="BL13" s="1">
        <v>0</v>
      </c>
      <c r="BM13" s="170">
        <f>CPP!M13</f>
        <v>0</v>
      </c>
      <c r="BN13" s="1">
        <f t="shared" si="55"/>
        <v>0</v>
      </c>
      <c r="BO13" s="1">
        <f t="shared" si="20"/>
        <v>0</v>
      </c>
      <c r="BP13" s="1">
        <v>0</v>
      </c>
      <c r="BQ13" s="1">
        <v>0</v>
      </c>
      <c r="BR13" s="170">
        <f>CPP!N13</f>
        <v>0</v>
      </c>
      <c r="BS13" s="1">
        <f t="shared" si="21"/>
        <v>0</v>
      </c>
      <c r="BT13" s="1">
        <f t="shared" si="22"/>
        <v>0</v>
      </c>
      <c r="BU13" s="1">
        <v>0</v>
      </c>
      <c r="BV13" s="1">
        <v>0</v>
      </c>
      <c r="BW13" s="170">
        <f>CPP!O13</f>
        <v>0</v>
      </c>
      <c r="BX13" s="1">
        <f t="shared" si="23"/>
        <v>0</v>
      </c>
      <c r="BY13" s="174">
        <f t="shared" si="56"/>
        <v>0</v>
      </c>
      <c r="BZ13" s="1">
        <v>0</v>
      </c>
      <c r="CA13" s="1">
        <v>0</v>
      </c>
      <c r="CB13" s="170"/>
      <c r="CC13" s="26">
        <f t="shared" si="24"/>
        <v>0</v>
      </c>
      <c r="CD13" s="1">
        <f t="shared" si="57"/>
        <v>0</v>
      </c>
      <c r="CE13" s="1">
        <v>0</v>
      </c>
      <c r="CF13" s="1">
        <v>0</v>
      </c>
      <c r="CG13" s="170">
        <f>CPP!P13</f>
        <v>0</v>
      </c>
      <c r="CH13" s="26">
        <f t="shared" si="25"/>
        <v>0</v>
      </c>
      <c r="CI13" s="1">
        <f t="shared" si="58"/>
        <v>0</v>
      </c>
      <c r="CJ13" s="1">
        <v>0</v>
      </c>
      <c r="CK13" s="1">
        <v>0</v>
      </c>
      <c r="CL13" s="170">
        <f>CPP!Q13</f>
        <v>0</v>
      </c>
      <c r="CM13" s="1">
        <f t="shared" si="26"/>
        <v>0</v>
      </c>
      <c r="CN13" s="1">
        <f t="shared" si="59"/>
        <v>5.0000000000181899E-2</v>
      </c>
      <c r="CO13" s="1">
        <v>0</v>
      </c>
      <c r="CP13" s="1">
        <v>0</v>
      </c>
      <c r="CQ13" s="170">
        <f>CPP!R13</f>
        <v>0</v>
      </c>
      <c r="CR13" s="1">
        <f t="shared" si="27"/>
        <v>5.0000000000181899E-2</v>
      </c>
      <c r="CS13" s="129">
        <f t="shared" si="60"/>
        <v>0</v>
      </c>
      <c r="CT13" s="1">
        <v>0</v>
      </c>
      <c r="CU13" s="1">
        <v>0</v>
      </c>
      <c r="CV13" s="171">
        <f>CPP!S13</f>
        <v>0</v>
      </c>
      <c r="CW13" s="129">
        <f t="shared" si="28"/>
        <v>0</v>
      </c>
      <c r="CX13" s="129">
        <f t="shared" si="61"/>
        <v>0</v>
      </c>
      <c r="CY13" s="1">
        <v>0</v>
      </c>
      <c r="CZ13" s="1">
        <v>0</v>
      </c>
      <c r="DA13" s="171">
        <f>CPP!T13</f>
        <v>0</v>
      </c>
      <c r="DB13" s="129">
        <f t="shared" si="29"/>
        <v>0</v>
      </c>
      <c r="DC13" s="129">
        <f t="shared" si="62"/>
        <v>1.0000000000013998E-2</v>
      </c>
      <c r="DD13" s="1">
        <v>0</v>
      </c>
      <c r="DE13" s="1">
        <v>0</v>
      </c>
      <c r="DF13" s="171">
        <f>CPP!U13</f>
        <v>0</v>
      </c>
      <c r="DG13" s="129">
        <f t="shared" si="30"/>
        <v>1.0000000000013998E-2</v>
      </c>
      <c r="DH13" s="129">
        <f t="shared" si="63"/>
        <v>0</v>
      </c>
      <c r="DI13" s="1">
        <v>0</v>
      </c>
      <c r="DJ13" s="1">
        <v>0</v>
      </c>
      <c r="DK13" s="171">
        <f>CPP!V13</f>
        <v>0</v>
      </c>
      <c r="DL13" s="129">
        <f t="shared" si="31"/>
        <v>0</v>
      </c>
      <c r="DM13" s="129">
        <f t="shared" si="64"/>
        <v>304</v>
      </c>
      <c r="DN13" s="1">
        <v>0</v>
      </c>
      <c r="DO13" s="1">
        <v>0</v>
      </c>
      <c r="DP13" s="171">
        <f>CPP!W13</f>
        <v>0</v>
      </c>
      <c r="DQ13" s="129">
        <f t="shared" si="32"/>
        <v>304</v>
      </c>
      <c r="DR13" s="129">
        <f t="shared" si="65"/>
        <v>243.11000000000206</v>
      </c>
      <c r="DS13" s="1">
        <v>0</v>
      </c>
      <c r="DT13" s="1">
        <v>215</v>
      </c>
      <c r="DU13" s="171">
        <f>CPP!X13</f>
        <v>0</v>
      </c>
      <c r="DV13" s="129">
        <f t="shared" si="33"/>
        <v>28.11000000000206</v>
      </c>
      <c r="DW13" s="129">
        <f t="shared" si="66"/>
        <v>0</v>
      </c>
      <c r="DX13" s="1">
        <v>0</v>
      </c>
      <c r="DY13" s="1">
        <v>0</v>
      </c>
      <c r="DZ13" s="171">
        <f>CPP!Y13</f>
        <v>0</v>
      </c>
      <c r="EA13" s="129">
        <f t="shared" si="34"/>
        <v>0</v>
      </c>
      <c r="EB13" s="129">
        <f t="shared" si="35"/>
        <v>3749.2469999999907</v>
      </c>
      <c r="EC13" s="170">
        <f t="shared" si="36"/>
        <v>157.12</v>
      </c>
      <c r="ED13" s="170">
        <f t="shared" si="37"/>
        <v>215</v>
      </c>
      <c r="EE13" s="129">
        <f t="shared" si="38"/>
        <v>3691.3669999999906</v>
      </c>
      <c r="EF13" s="18">
        <f t="shared" si="39"/>
        <v>4216.0699999999933</v>
      </c>
      <c r="EG13" s="170">
        <f t="shared" si="40"/>
        <v>0</v>
      </c>
      <c r="EH13" s="170">
        <f>CPP!D13+CPP!E13+CPP!F13+CPP!G13+CPP!H13+CPP!I13+CPP!J13+CPP!K13+CPP!L13+CPP!M13+CPP!N13+CPP!O13+CPP!P13+CPP!Q13+CPP!R13+CPP!S13+DA13+DF13+DK13+CPP!W13+DU13</f>
        <v>137</v>
      </c>
      <c r="EI13" s="18">
        <f>EF13+EG13-CPP!G13-CPP!E13-CPP!F13-CPP!P13-CPP!Q13-CL13-CQ13-DU13</f>
        <v>4079.0699999999933</v>
      </c>
      <c r="EJ13" s="16">
        <f t="shared" si="41"/>
        <v>24788.943583938148</v>
      </c>
      <c r="EK13" s="1">
        <v>1290</v>
      </c>
      <c r="EL13" s="253">
        <f>'Daily CEM-1'!AG14+'Daily  CEM - 2'!AF14-EQ13</f>
        <v>2303.9999999999854</v>
      </c>
      <c r="EM13" s="9">
        <f t="shared" si="42"/>
        <v>23774.943583938162</v>
      </c>
      <c r="EN13" s="1">
        <v>0</v>
      </c>
      <c r="EO13" s="18">
        <f t="shared" si="67"/>
        <v>5306.1090080001359</v>
      </c>
      <c r="EP13" s="1">
        <v>0</v>
      </c>
      <c r="EQ13" s="1">
        <v>0</v>
      </c>
      <c r="ER13" s="17">
        <f t="shared" si="43"/>
        <v>5306.1090080001359</v>
      </c>
      <c r="ES13">
        <f t="shared" si="44"/>
        <v>1675.23</v>
      </c>
      <c r="ET13">
        <v>1675.23</v>
      </c>
      <c r="EU13" s="51">
        <f t="shared" si="45"/>
        <v>2303.9999999999854</v>
      </c>
      <c r="EV13" s="51">
        <f t="shared" si="46"/>
        <v>2303.9999999999854</v>
      </c>
      <c r="EW13" s="51">
        <f>(EU13/Production2!CG13)*100</f>
        <v>78.904109589040587</v>
      </c>
      <c r="EX13">
        <v>76.31812577065358</v>
      </c>
      <c r="EY13">
        <f t="shared" si="47"/>
        <v>7631.8125770653578</v>
      </c>
    </row>
    <row r="14" spans="2:155">
      <c r="B14" s="4">
        <v>12</v>
      </c>
      <c r="C14" s="39">
        <f t="shared" si="3"/>
        <v>1906.92</v>
      </c>
      <c r="D14" s="1">
        <v>0</v>
      </c>
      <c r="E14" s="269">
        <f>F14+'RAW MILL 2'!F14</f>
        <v>59</v>
      </c>
      <c r="F14" s="1">
        <v>55</v>
      </c>
      <c r="G14" s="9">
        <f t="shared" si="4"/>
        <v>1847.92</v>
      </c>
      <c r="H14" s="39">
        <f t="shared" si="5"/>
        <v>1440.0700168375183</v>
      </c>
      <c r="I14" s="33">
        <f>Production2!N14+Production2!Q14</f>
        <v>2480.37</v>
      </c>
      <c r="J14" s="33">
        <f>Production2!K14</f>
        <v>2650.5</v>
      </c>
      <c r="K14" s="18">
        <f t="shared" si="6"/>
        <v>1269.9400168375182</v>
      </c>
      <c r="L14" s="39">
        <f t="shared" si="7"/>
        <v>0</v>
      </c>
      <c r="M14" s="1">
        <v>0</v>
      </c>
      <c r="N14" s="33">
        <f>CPP!D14</f>
        <v>0</v>
      </c>
      <c r="O14" s="1">
        <v>0</v>
      </c>
      <c r="P14" s="33">
        <f t="shared" si="0"/>
        <v>0</v>
      </c>
      <c r="Q14" s="9">
        <f t="shared" si="48"/>
        <v>0</v>
      </c>
      <c r="R14" s="39">
        <f t="shared" si="8"/>
        <v>0</v>
      </c>
      <c r="S14" s="1">
        <v>0</v>
      </c>
      <c r="T14" s="33">
        <f>CPP!E14</f>
        <v>0</v>
      </c>
      <c r="U14" s="26">
        <v>0</v>
      </c>
      <c r="V14" s="38">
        <f t="shared" si="9"/>
        <v>0</v>
      </c>
      <c r="W14" s="9">
        <f t="shared" si="10"/>
        <v>0</v>
      </c>
      <c r="X14" s="39">
        <f t="shared" si="11"/>
        <v>1063.0399999999981</v>
      </c>
      <c r="Y14" s="1">
        <v>0</v>
      </c>
      <c r="Z14" s="33">
        <f>CPP!H14</f>
        <v>0</v>
      </c>
      <c r="AA14" s="1">
        <v>286.67</v>
      </c>
      <c r="AB14" s="9">
        <f t="shared" si="12"/>
        <v>776.36999999999807</v>
      </c>
      <c r="AC14" s="39">
        <f t="shared" si="13"/>
        <v>0</v>
      </c>
      <c r="AD14" s="1">
        <v>0</v>
      </c>
      <c r="AE14" s="1">
        <v>0</v>
      </c>
      <c r="AF14" s="9">
        <f t="shared" si="1"/>
        <v>0</v>
      </c>
      <c r="AG14" s="39">
        <f t="shared" si="14"/>
        <v>4079.0199999999932</v>
      </c>
      <c r="AH14" s="1">
        <v>95</v>
      </c>
      <c r="AI14" s="1">
        <v>0</v>
      </c>
      <c r="AJ14" s="170">
        <f>CPP!G14</f>
        <v>137</v>
      </c>
      <c r="AK14" s="9">
        <f t="shared" si="2"/>
        <v>4037.0199999999932</v>
      </c>
      <c r="AL14" s="129">
        <f t="shared" si="49"/>
        <v>0</v>
      </c>
      <c r="AM14" s="1">
        <v>0</v>
      </c>
      <c r="AN14" s="1">
        <v>0</v>
      </c>
      <c r="AO14" s="18">
        <f t="shared" si="15"/>
        <v>0</v>
      </c>
      <c r="AP14" s="129">
        <f t="shared" si="50"/>
        <v>0</v>
      </c>
      <c r="AQ14" s="1">
        <v>0</v>
      </c>
      <c r="AR14" s="1">
        <v>0</v>
      </c>
      <c r="AS14" s="171">
        <f>CPP!I14</f>
        <v>0</v>
      </c>
      <c r="AT14" s="129">
        <f t="shared" si="16"/>
        <v>0</v>
      </c>
      <c r="AU14" s="1">
        <f t="shared" si="51"/>
        <v>0</v>
      </c>
      <c r="AV14" s="1">
        <v>0</v>
      </c>
      <c r="AW14" s="1">
        <v>0</v>
      </c>
      <c r="AX14" s="170">
        <f>CPP!J14</f>
        <v>0</v>
      </c>
      <c r="AY14" s="1">
        <f t="shared" si="17"/>
        <v>0</v>
      </c>
      <c r="AZ14" s="1">
        <f t="shared" si="52"/>
        <v>2296.2069999999903</v>
      </c>
      <c r="BA14" s="1">
        <v>186.68</v>
      </c>
      <c r="BB14" s="1">
        <v>0</v>
      </c>
      <c r="BC14" s="170">
        <f>CPP!K14</f>
        <v>0</v>
      </c>
      <c r="BD14" s="1">
        <f t="shared" si="18"/>
        <v>2482.8869999999902</v>
      </c>
      <c r="BE14" s="1">
        <f t="shared" si="53"/>
        <v>0</v>
      </c>
      <c r="BF14" s="1">
        <v>0</v>
      </c>
      <c r="BG14" s="1">
        <v>0</v>
      </c>
      <c r="BH14" s="170">
        <f>CPP!L14</f>
        <v>0</v>
      </c>
      <c r="BI14" s="1">
        <f t="shared" si="19"/>
        <v>0</v>
      </c>
      <c r="BJ14" s="1">
        <f t="shared" si="54"/>
        <v>0</v>
      </c>
      <c r="BK14" s="1">
        <v>0</v>
      </c>
      <c r="BL14" s="1">
        <v>0</v>
      </c>
      <c r="BM14" s="170">
        <f>CPP!M14</f>
        <v>0</v>
      </c>
      <c r="BN14" s="1">
        <f t="shared" si="55"/>
        <v>0</v>
      </c>
      <c r="BO14" s="1">
        <f t="shared" si="20"/>
        <v>0</v>
      </c>
      <c r="BP14" s="1">
        <v>0</v>
      </c>
      <c r="BQ14" s="1">
        <v>0</v>
      </c>
      <c r="BR14" s="170">
        <f>CPP!N14</f>
        <v>0</v>
      </c>
      <c r="BS14" s="1">
        <f t="shared" si="21"/>
        <v>0</v>
      </c>
      <c r="BT14" s="1">
        <f t="shared" si="22"/>
        <v>0</v>
      </c>
      <c r="BU14" s="1">
        <v>0</v>
      </c>
      <c r="BV14" s="1">
        <v>0</v>
      </c>
      <c r="BW14" s="170">
        <f>CPP!O14</f>
        <v>0</v>
      </c>
      <c r="BX14" s="1">
        <f t="shared" si="23"/>
        <v>0</v>
      </c>
      <c r="BY14" s="174">
        <f t="shared" si="56"/>
        <v>0</v>
      </c>
      <c r="BZ14" s="1">
        <v>0</v>
      </c>
      <c r="CA14" s="1">
        <v>0</v>
      </c>
      <c r="CB14" s="170"/>
      <c r="CC14" s="26">
        <f t="shared" si="24"/>
        <v>0</v>
      </c>
      <c r="CD14" s="1">
        <f t="shared" si="57"/>
        <v>0</v>
      </c>
      <c r="CE14" s="1">
        <v>0</v>
      </c>
      <c r="CF14" s="1">
        <v>0</v>
      </c>
      <c r="CG14" s="170">
        <f>CPP!P14</f>
        <v>0</v>
      </c>
      <c r="CH14" s="26">
        <f t="shared" si="25"/>
        <v>0</v>
      </c>
      <c r="CI14" s="1">
        <f t="shared" si="58"/>
        <v>0</v>
      </c>
      <c r="CJ14" s="1">
        <v>0</v>
      </c>
      <c r="CK14" s="1">
        <v>0</v>
      </c>
      <c r="CL14" s="170">
        <f>CPP!Q14</f>
        <v>0</v>
      </c>
      <c r="CM14" s="1">
        <f t="shared" si="26"/>
        <v>0</v>
      </c>
      <c r="CN14" s="1">
        <f t="shared" si="59"/>
        <v>5.0000000000181899E-2</v>
      </c>
      <c r="CO14" s="1">
        <v>0</v>
      </c>
      <c r="CP14" s="1">
        <v>0</v>
      </c>
      <c r="CQ14" s="170">
        <f>CPP!R14</f>
        <v>0</v>
      </c>
      <c r="CR14" s="1">
        <f t="shared" si="27"/>
        <v>5.0000000000181899E-2</v>
      </c>
      <c r="CS14" s="129">
        <f t="shared" si="60"/>
        <v>0</v>
      </c>
      <c r="CT14" s="1">
        <v>0</v>
      </c>
      <c r="CU14" s="1">
        <v>0</v>
      </c>
      <c r="CV14" s="171">
        <f>CPP!S14</f>
        <v>0</v>
      </c>
      <c r="CW14" s="129">
        <f t="shared" si="28"/>
        <v>0</v>
      </c>
      <c r="CX14" s="129">
        <f t="shared" si="61"/>
        <v>0</v>
      </c>
      <c r="CY14" s="1">
        <v>0</v>
      </c>
      <c r="CZ14" s="1">
        <v>0</v>
      </c>
      <c r="DA14" s="171">
        <f>CPP!T14</f>
        <v>0</v>
      </c>
      <c r="DB14" s="129">
        <f t="shared" si="29"/>
        <v>0</v>
      </c>
      <c r="DC14" s="129">
        <f t="shared" si="62"/>
        <v>1.0000000000013998E-2</v>
      </c>
      <c r="DD14" s="1">
        <v>0</v>
      </c>
      <c r="DE14" s="1">
        <v>0</v>
      </c>
      <c r="DF14" s="171">
        <f>CPP!U14</f>
        <v>0</v>
      </c>
      <c r="DG14" s="129">
        <f t="shared" si="30"/>
        <v>1.0000000000013998E-2</v>
      </c>
      <c r="DH14" s="129">
        <f t="shared" si="63"/>
        <v>0</v>
      </c>
      <c r="DI14" s="1">
        <v>0</v>
      </c>
      <c r="DJ14" s="1">
        <v>0</v>
      </c>
      <c r="DK14" s="171">
        <f>CPP!V14</f>
        <v>0</v>
      </c>
      <c r="DL14" s="129">
        <f t="shared" si="31"/>
        <v>0</v>
      </c>
      <c r="DM14" s="129">
        <f t="shared" si="64"/>
        <v>304</v>
      </c>
      <c r="DN14" s="1">
        <v>0</v>
      </c>
      <c r="DO14" s="1">
        <v>0</v>
      </c>
      <c r="DP14" s="171">
        <f>CPP!W14</f>
        <v>0</v>
      </c>
      <c r="DQ14" s="129">
        <f t="shared" si="32"/>
        <v>304</v>
      </c>
      <c r="DR14" s="129">
        <f t="shared" si="65"/>
        <v>28.11000000000206</v>
      </c>
      <c r="DS14" s="1">
        <v>0</v>
      </c>
      <c r="DT14" s="1">
        <v>28.1</v>
      </c>
      <c r="DU14" s="171">
        <f>CPP!X14</f>
        <v>0</v>
      </c>
      <c r="DV14" s="129">
        <f>DR14+DS14-DT14-DU14</f>
        <v>1.0000000002058584E-2</v>
      </c>
      <c r="DW14" s="129">
        <f t="shared" si="66"/>
        <v>0</v>
      </c>
      <c r="DX14" s="1">
        <v>0</v>
      </c>
      <c r="DY14" s="1">
        <v>0</v>
      </c>
      <c r="DZ14" s="171">
        <f>CPP!Y14</f>
        <v>0</v>
      </c>
      <c r="EA14" s="129">
        <f t="shared" si="34"/>
        <v>0</v>
      </c>
      <c r="EB14" s="129">
        <f t="shared" si="35"/>
        <v>3691.3669999999906</v>
      </c>
      <c r="EC14" s="170">
        <f t="shared" si="36"/>
        <v>186.68</v>
      </c>
      <c r="ED14" s="170">
        <f t="shared" si="37"/>
        <v>314.77000000000004</v>
      </c>
      <c r="EE14" s="129">
        <f t="shared" si="38"/>
        <v>3563.2769999999905</v>
      </c>
      <c r="EF14" s="18">
        <f t="shared" si="39"/>
        <v>4079.0699999999933</v>
      </c>
      <c r="EG14" s="170">
        <f t="shared" si="40"/>
        <v>95</v>
      </c>
      <c r="EH14" s="170">
        <f>CPP!D14+CPP!E14+CPP!F14+CPP!G14+CPP!H14+CPP!I14+CPP!J14+CPP!K14+CPP!L14+CPP!M14+CPP!N14+CPP!O14+CPP!P14+CPP!Q14+CPP!R14+CPP!S14+DA14+DF14+DK14+CPP!W14+DU14</f>
        <v>137</v>
      </c>
      <c r="EI14" s="18">
        <f>EF14+EG14-CPP!G14-CPP!E14-CPP!F14-CPP!P14-CPP!Q14-CL14-CQ14-DU14</f>
        <v>4037.0699999999933</v>
      </c>
      <c r="EJ14" s="16">
        <f t="shared" si="41"/>
        <v>23774.943583938162</v>
      </c>
      <c r="EK14" s="1">
        <v>1710</v>
      </c>
      <c r="EL14" s="253">
        <f>'Daily CEM-1'!AG15+'Daily  CEM - 2'!AF15-EQ14</f>
        <v>2081.5040027619998</v>
      </c>
      <c r="EM14" s="9">
        <f t="shared" si="42"/>
        <v>23403.439581176164</v>
      </c>
      <c r="EN14" s="1">
        <v>0</v>
      </c>
      <c r="EO14" s="18">
        <f t="shared" si="67"/>
        <v>5306.1090080001359</v>
      </c>
      <c r="EP14" s="1">
        <v>0</v>
      </c>
      <c r="EQ14" s="1">
        <v>0</v>
      </c>
      <c r="ER14" s="17">
        <f t="shared" si="43"/>
        <v>5306.1090080001359</v>
      </c>
      <c r="ES14">
        <f t="shared" si="44"/>
        <v>483.51</v>
      </c>
      <c r="ET14">
        <v>483.51</v>
      </c>
      <c r="EU14" s="51">
        <f t="shared" si="45"/>
        <v>2081.5040027619998</v>
      </c>
      <c r="EV14" s="51">
        <f t="shared" si="46"/>
        <v>2081.5040027619998</v>
      </c>
      <c r="EW14" s="51">
        <f>(EU14/Production2!CG14)*100</f>
        <v>78.547320858943394</v>
      </c>
      <c r="EX14">
        <v>74.81780821917809</v>
      </c>
    </row>
    <row r="15" spans="2:155">
      <c r="B15" s="4">
        <v>13</v>
      </c>
      <c r="C15" s="39">
        <f t="shared" si="3"/>
        <v>1847.92</v>
      </c>
      <c r="D15" s="1">
        <v>0</v>
      </c>
      <c r="E15" s="269">
        <f>F15+'RAW MILL 2'!F15</f>
        <v>46</v>
      </c>
      <c r="F15" s="1">
        <v>42</v>
      </c>
      <c r="G15" s="9">
        <f t="shared" si="4"/>
        <v>1801.92</v>
      </c>
      <c r="H15" s="39">
        <f t="shared" si="5"/>
        <v>1269.9400168375182</v>
      </c>
      <c r="I15" s="33">
        <f>Production2!N15+Production2!Q15</f>
        <v>1955.28</v>
      </c>
      <c r="J15" s="33">
        <f>Production2!K15</f>
        <v>2021.2</v>
      </c>
      <c r="K15" s="18">
        <f t="shared" si="6"/>
        <v>1204.0200168375184</v>
      </c>
      <c r="L15" s="39">
        <f t="shared" si="7"/>
        <v>0</v>
      </c>
      <c r="M15" s="1">
        <v>0</v>
      </c>
      <c r="N15" s="33">
        <f>CPP!D15</f>
        <v>0</v>
      </c>
      <c r="O15" s="1">
        <v>0</v>
      </c>
      <c r="P15" s="33">
        <f t="shared" si="0"/>
        <v>0</v>
      </c>
      <c r="Q15" s="9">
        <f t="shared" si="48"/>
        <v>0</v>
      </c>
      <c r="R15" s="39">
        <f t="shared" si="8"/>
        <v>0</v>
      </c>
      <c r="S15" s="1">
        <v>0</v>
      </c>
      <c r="T15" s="33">
        <f>CPP!E15</f>
        <v>0</v>
      </c>
      <c r="U15" s="26">
        <v>0</v>
      </c>
      <c r="V15" s="38">
        <f t="shared" si="9"/>
        <v>0</v>
      </c>
      <c r="W15" s="9">
        <f t="shared" si="10"/>
        <v>0</v>
      </c>
      <c r="X15" s="39">
        <f t="shared" si="11"/>
        <v>776.36999999999807</v>
      </c>
      <c r="Y15" s="1">
        <v>0</v>
      </c>
      <c r="Z15" s="33">
        <f>CPP!H15</f>
        <v>0</v>
      </c>
      <c r="AA15" s="1">
        <v>242.22</v>
      </c>
      <c r="AB15" s="9">
        <f t="shared" si="12"/>
        <v>534.14999999999804</v>
      </c>
      <c r="AC15" s="39">
        <f t="shared" si="13"/>
        <v>0</v>
      </c>
      <c r="AD15" s="1">
        <v>0</v>
      </c>
      <c r="AE15" s="1">
        <v>0</v>
      </c>
      <c r="AF15" s="9">
        <f t="shared" si="1"/>
        <v>0</v>
      </c>
      <c r="AG15" s="39">
        <f t="shared" si="14"/>
        <v>4037.0199999999932</v>
      </c>
      <c r="AH15" s="1">
        <v>0</v>
      </c>
      <c r="AI15" s="1">
        <v>0</v>
      </c>
      <c r="AJ15" s="170">
        <f>CPP!G15</f>
        <v>126</v>
      </c>
      <c r="AK15" s="9">
        <f>AG15+AH15-AI15-AJ15</f>
        <v>3911.0199999999932</v>
      </c>
      <c r="AL15" s="129">
        <f t="shared" si="49"/>
        <v>0</v>
      </c>
      <c r="AM15" s="1">
        <v>0</v>
      </c>
      <c r="AN15" s="1">
        <v>0</v>
      </c>
      <c r="AO15" s="18">
        <f t="shared" si="15"/>
        <v>0</v>
      </c>
      <c r="AP15" s="129">
        <f t="shared" si="50"/>
        <v>0</v>
      </c>
      <c r="AQ15" s="1">
        <v>0</v>
      </c>
      <c r="AR15" s="1">
        <v>0</v>
      </c>
      <c r="AS15" s="171">
        <f>CPP!I15</f>
        <v>0</v>
      </c>
      <c r="AT15" s="129">
        <f t="shared" si="16"/>
        <v>0</v>
      </c>
      <c r="AU15" s="1">
        <f t="shared" si="51"/>
        <v>0</v>
      </c>
      <c r="AV15" s="1">
        <v>0</v>
      </c>
      <c r="AW15" s="1">
        <v>0</v>
      </c>
      <c r="AX15" s="170">
        <f>CPP!J15</f>
        <v>0</v>
      </c>
      <c r="AY15" s="1">
        <f t="shared" si="17"/>
        <v>0</v>
      </c>
      <c r="AZ15" s="1">
        <f t="shared" si="52"/>
        <v>2482.8869999999902</v>
      </c>
      <c r="BA15" s="1">
        <v>0</v>
      </c>
      <c r="BB15" s="1">
        <v>0</v>
      </c>
      <c r="BC15" s="170">
        <f>CPP!K15</f>
        <v>0</v>
      </c>
      <c r="BD15" s="1">
        <f t="shared" si="18"/>
        <v>2482.8869999999902</v>
      </c>
      <c r="BE15" s="1">
        <f t="shared" si="53"/>
        <v>0</v>
      </c>
      <c r="BF15" s="1">
        <v>0</v>
      </c>
      <c r="BG15" s="1">
        <v>0</v>
      </c>
      <c r="BH15" s="170">
        <f>CPP!L15</f>
        <v>0</v>
      </c>
      <c r="BI15" s="1">
        <f t="shared" si="19"/>
        <v>0</v>
      </c>
      <c r="BJ15" s="1">
        <f t="shared" si="54"/>
        <v>0</v>
      </c>
      <c r="BK15" s="1">
        <v>0</v>
      </c>
      <c r="BL15" s="1">
        <v>0</v>
      </c>
      <c r="BM15" s="170">
        <f>CPP!M15</f>
        <v>0</v>
      </c>
      <c r="BN15" s="1">
        <f t="shared" si="55"/>
        <v>0</v>
      </c>
      <c r="BO15" s="1">
        <f t="shared" si="20"/>
        <v>0</v>
      </c>
      <c r="BP15" s="1">
        <v>0</v>
      </c>
      <c r="BQ15" s="1">
        <v>0</v>
      </c>
      <c r="BR15" s="170">
        <f>CPP!N15</f>
        <v>0</v>
      </c>
      <c r="BS15" s="1">
        <f t="shared" si="21"/>
        <v>0</v>
      </c>
      <c r="BT15" s="1">
        <f t="shared" si="22"/>
        <v>0</v>
      </c>
      <c r="BU15" s="1">
        <v>0</v>
      </c>
      <c r="BV15" s="1">
        <v>0</v>
      </c>
      <c r="BW15" s="170">
        <f>CPP!O15</f>
        <v>0</v>
      </c>
      <c r="BX15" s="1">
        <f t="shared" si="23"/>
        <v>0</v>
      </c>
      <c r="BY15" s="174">
        <f t="shared" si="56"/>
        <v>0</v>
      </c>
      <c r="BZ15" s="1">
        <v>0</v>
      </c>
      <c r="CA15" s="1">
        <v>0</v>
      </c>
      <c r="CB15" s="170"/>
      <c r="CC15" s="26">
        <f t="shared" si="24"/>
        <v>0</v>
      </c>
      <c r="CD15" s="1">
        <f t="shared" si="57"/>
        <v>0</v>
      </c>
      <c r="CE15" s="1">
        <v>0</v>
      </c>
      <c r="CF15" s="1">
        <v>0</v>
      </c>
      <c r="CG15" s="170">
        <f>CPP!P15</f>
        <v>0</v>
      </c>
      <c r="CH15" s="26">
        <f t="shared" si="25"/>
        <v>0</v>
      </c>
      <c r="CI15" s="1">
        <f t="shared" si="58"/>
        <v>0</v>
      </c>
      <c r="CJ15" s="1">
        <v>0</v>
      </c>
      <c r="CK15" s="1">
        <v>0</v>
      </c>
      <c r="CL15" s="170">
        <f>CPP!Q15</f>
        <v>0</v>
      </c>
      <c r="CM15" s="1">
        <f t="shared" si="26"/>
        <v>0</v>
      </c>
      <c r="CN15" s="1">
        <f t="shared" si="59"/>
        <v>5.0000000000181899E-2</v>
      </c>
      <c r="CO15" s="1">
        <v>0</v>
      </c>
      <c r="CP15" s="1">
        <v>0</v>
      </c>
      <c r="CQ15" s="170">
        <f>CPP!R15</f>
        <v>0</v>
      </c>
      <c r="CR15" s="1">
        <f t="shared" si="27"/>
        <v>5.0000000000181899E-2</v>
      </c>
      <c r="CS15" s="129">
        <f t="shared" si="60"/>
        <v>0</v>
      </c>
      <c r="CT15" s="1">
        <v>0</v>
      </c>
      <c r="CU15" s="1">
        <v>0</v>
      </c>
      <c r="CV15" s="171">
        <f>CPP!S15</f>
        <v>0</v>
      </c>
      <c r="CW15" s="129">
        <f t="shared" si="28"/>
        <v>0</v>
      </c>
      <c r="CX15" s="129">
        <f t="shared" si="61"/>
        <v>0</v>
      </c>
      <c r="CY15" s="1">
        <v>0</v>
      </c>
      <c r="CZ15" s="1">
        <v>0</v>
      </c>
      <c r="DA15" s="171">
        <f>CPP!T15</f>
        <v>0</v>
      </c>
      <c r="DB15" s="129">
        <f t="shared" si="29"/>
        <v>0</v>
      </c>
      <c r="DC15" s="129">
        <f t="shared" si="62"/>
        <v>1.0000000000013998E-2</v>
      </c>
      <c r="DD15" s="1">
        <v>0</v>
      </c>
      <c r="DE15" s="1">
        <v>0</v>
      </c>
      <c r="DF15" s="171">
        <f>CPP!U15</f>
        <v>0</v>
      </c>
      <c r="DG15" s="129">
        <f t="shared" si="30"/>
        <v>1.0000000000013998E-2</v>
      </c>
      <c r="DH15" s="129">
        <f t="shared" si="63"/>
        <v>0</v>
      </c>
      <c r="DI15" s="1">
        <v>0</v>
      </c>
      <c r="DJ15" s="1">
        <v>0</v>
      </c>
      <c r="DK15" s="171">
        <f>CPP!V15</f>
        <v>0</v>
      </c>
      <c r="DL15" s="129">
        <f t="shared" si="31"/>
        <v>0</v>
      </c>
      <c r="DM15" s="129">
        <f t="shared" si="64"/>
        <v>304</v>
      </c>
      <c r="DN15" s="1">
        <v>0</v>
      </c>
      <c r="DO15" s="1">
        <v>0</v>
      </c>
      <c r="DP15" s="171">
        <f>CPP!W15</f>
        <v>0</v>
      </c>
      <c r="DQ15" s="129">
        <f t="shared" si="32"/>
        <v>304</v>
      </c>
      <c r="DR15" s="129">
        <f t="shared" si="65"/>
        <v>1.0000000002058584E-2</v>
      </c>
      <c r="DS15" s="1">
        <v>0</v>
      </c>
      <c r="DT15" s="1">
        <v>0</v>
      </c>
      <c r="DU15" s="171">
        <f>CPP!X15</f>
        <v>0</v>
      </c>
      <c r="DV15" s="129">
        <f t="shared" si="33"/>
        <v>1.0000000002058584E-2</v>
      </c>
      <c r="DW15" s="129">
        <f t="shared" si="66"/>
        <v>0</v>
      </c>
      <c r="DX15" s="1">
        <v>0</v>
      </c>
      <c r="DY15" s="1">
        <v>0</v>
      </c>
      <c r="DZ15" s="171">
        <f>CPP!Y15</f>
        <v>0</v>
      </c>
      <c r="EA15" s="129">
        <f t="shared" si="34"/>
        <v>0</v>
      </c>
      <c r="EB15" s="129">
        <f t="shared" si="35"/>
        <v>3563.2769999999905</v>
      </c>
      <c r="EC15" s="170">
        <f t="shared" si="36"/>
        <v>0</v>
      </c>
      <c r="ED15" s="170">
        <f>O15+AA15+AN15+AR15+AW15+BB15+BG15+BL15+BQ15+BV15+CA15+CU15+CZ15+DE15+DJ15+DO15+DY15+DT15+AI15</f>
        <v>242.22</v>
      </c>
      <c r="EE15" s="129">
        <f t="shared" si="38"/>
        <v>3321.0569999999907</v>
      </c>
      <c r="EF15" s="18">
        <f t="shared" si="39"/>
        <v>4037.0699999999933</v>
      </c>
      <c r="EG15" s="170">
        <f t="shared" si="40"/>
        <v>0</v>
      </c>
      <c r="EH15" s="170">
        <f>CPP!D15+CPP!E15+CPP!F15+CPP!G15+CPP!H15+CPP!I15+CPP!J15+CPP!K15+CPP!L15+CPP!M15+CPP!N15+CPP!O15+CPP!P15+CPP!Q15+CPP!R15+CPP!S15+DA15+DF15+DK15+CPP!W15+DU15</f>
        <v>126</v>
      </c>
      <c r="EI15" s="18">
        <f>EF15+EG15-CPP!G15-CPP!E15-CPP!F15-CPP!P15-CPP!Q15-CL15-CQ15-DU15</f>
        <v>3911.0699999999933</v>
      </c>
      <c r="EJ15" s="16">
        <f t="shared" si="41"/>
        <v>23403.439581176164</v>
      </c>
      <c r="EK15" s="1">
        <v>1304</v>
      </c>
      <c r="EL15" s="253">
        <f>'Daily CEM-1'!AG16+'Daily  CEM - 2'!AF16-EQ15</f>
        <v>2171.6030015528004</v>
      </c>
      <c r="EM15" s="9">
        <f t="shared" si="42"/>
        <v>22535.836579623363</v>
      </c>
      <c r="EN15" s="1">
        <v>0</v>
      </c>
      <c r="EO15" s="18">
        <f t="shared" si="67"/>
        <v>5306.1090080001359</v>
      </c>
      <c r="EP15" s="1">
        <v>0</v>
      </c>
      <c r="EQ15" s="1">
        <v>0</v>
      </c>
      <c r="ER15" s="17">
        <f t="shared" si="43"/>
        <v>5306.1090080001359</v>
      </c>
      <c r="ES15">
        <f t="shared" si="44"/>
        <v>0</v>
      </c>
      <c r="EU15" s="51">
        <f t="shared" si="45"/>
        <v>2171.6030015528004</v>
      </c>
      <c r="EV15" s="51">
        <f t="shared" si="46"/>
        <v>2171.6030015528004</v>
      </c>
      <c r="EW15" s="51">
        <f>(EU15/Production2!CG15)*100</f>
        <v>77.779477132979963</v>
      </c>
      <c r="EX15">
        <v>76.586363636363672</v>
      </c>
    </row>
    <row r="16" spans="2:155">
      <c r="B16" s="4">
        <v>14</v>
      </c>
      <c r="C16" s="39">
        <f t="shared" si="3"/>
        <v>1801.92</v>
      </c>
      <c r="D16" s="1">
        <v>0</v>
      </c>
      <c r="E16" s="269">
        <f>F16+'RAW MILL 2'!F16</f>
        <v>61</v>
      </c>
      <c r="F16" s="1">
        <v>56</v>
      </c>
      <c r="G16" s="9">
        <f t="shared" si="4"/>
        <v>1740.92</v>
      </c>
      <c r="H16" s="39">
        <f t="shared" si="5"/>
        <v>1204.0200168375184</v>
      </c>
      <c r="I16" s="33">
        <f>Production2!N16+Production2!Q16</f>
        <v>2022.33</v>
      </c>
      <c r="J16" s="33">
        <f>Production2!K16</f>
        <v>2022.75</v>
      </c>
      <c r="K16" s="18">
        <f t="shared" si="6"/>
        <v>1203.6000168375185</v>
      </c>
      <c r="L16" s="39">
        <f t="shared" si="7"/>
        <v>0</v>
      </c>
      <c r="M16" s="1">
        <v>0</v>
      </c>
      <c r="N16" s="33">
        <f>CPP!D16</f>
        <v>0</v>
      </c>
      <c r="O16" s="1">
        <v>0</v>
      </c>
      <c r="P16" s="33">
        <f t="shared" si="0"/>
        <v>0</v>
      </c>
      <c r="Q16" s="9">
        <f t="shared" si="48"/>
        <v>0</v>
      </c>
      <c r="R16" s="39">
        <f t="shared" si="8"/>
        <v>0</v>
      </c>
      <c r="S16" s="1">
        <v>0</v>
      </c>
      <c r="T16" s="33">
        <f>CPP!E16</f>
        <v>0</v>
      </c>
      <c r="U16" s="26">
        <v>0</v>
      </c>
      <c r="V16" s="38">
        <f t="shared" si="9"/>
        <v>0</v>
      </c>
      <c r="W16" s="9">
        <f t="shared" si="10"/>
        <v>0</v>
      </c>
      <c r="X16" s="39">
        <f t="shared" si="11"/>
        <v>534.14999999999804</v>
      </c>
      <c r="Y16" s="1">
        <v>0</v>
      </c>
      <c r="Z16" s="33">
        <f>CPP!H16</f>
        <v>0</v>
      </c>
      <c r="AA16" s="1">
        <v>227.78</v>
      </c>
      <c r="AB16" s="9">
        <f t="shared" si="12"/>
        <v>306.36999999999807</v>
      </c>
      <c r="AC16" s="39">
        <f t="shared" si="13"/>
        <v>0</v>
      </c>
      <c r="AD16" s="1">
        <v>0</v>
      </c>
      <c r="AE16" s="1">
        <v>0</v>
      </c>
      <c r="AF16" s="9">
        <f t="shared" si="1"/>
        <v>0</v>
      </c>
      <c r="AG16" s="39">
        <f t="shared" si="14"/>
        <v>3911.0199999999932</v>
      </c>
      <c r="AH16" s="1">
        <v>0</v>
      </c>
      <c r="AI16" s="1">
        <v>0</v>
      </c>
      <c r="AJ16" s="170">
        <f>CPP!G16</f>
        <v>130</v>
      </c>
      <c r="AK16" s="9">
        <f t="shared" ref="AK16:AK33" si="68">AG16+AH16-AI16-AJ16</f>
        <v>3781.0199999999932</v>
      </c>
      <c r="AL16" s="129">
        <f t="shared" si="49"/>
        <v>0</v>
      </c>
      <c r="AM16" s="1">
        <v>0</v>
      </c>
      <c r="AN16" s="1">
        <v>0</v>
      </c>
      <c r="AO16" s="18">
        <f t="shared" si="15"/>
        <v>0</v>
      </c>
      <c r="AP16" s="129">
        <f t="shared" si="50"/>
        <v>0</v>
      </c>
      <c r="AQ16" s="1">
        <v>0</v>
      </c>
      <c r="AR16" s="1">
        <v>0</v>
      </c>
      <c r="AS16" s="171">
        <f>CPP!I16</f>
        <v>0</v>
      </c>
      <c r="AT16" s="129">
        <f t="shared" si="16"/>
        <v>0</v>
      </c>
      <c r="AU16" s="1">
        <f t="shared" si="51"/>
        <v>0</v>
      </c>
      <c r="AV16" s="1">
        <v>0</v>
      </c>
      <c r="AW16" s="1">
        <v>0</v>
      </c>
      <c r="AX16" s="170">
        <f>CPP!J16</f>
        <v>0</v>
      </c>
      <c r="AY16" s="1">
        <f t="shared" si="17"/>
        <v>0</v>
      </c>
      <c r="AZ16" s="1">
        <f t="shared" si="52"/>
        <v>2482.8869999999902</v>
      </c>
      <c r="BA16" s="1">
        <v>0</v>
      </c>
      <c r="BB16" s="1">
        <v>0</v>
      </c>
      <c r="BC16" s="170">
        <f>CPP!K16</f>
        <v>0</v>
      </c>
      <c r="BD16" s="1">
        <f t="shared" si="18"/>
        <v>2482.8869999999902</v>
      </c>
      <c r="BE16" s="1">
        <f t="shared" si="53"/>
        <v>0</v>
      </c>
      <c r="BF16" s="1">
        <v>0</v>
      </c>
      <c r="BG16" s="1">
        <v>0</v>
      </c>
      <c r="BH16" s="170">
        <f>CPP!L16</f>
        <v>0</v>
      </c>
      <c r="BI16" s="1">
        <f t="shared" si="19"/>
        <v>0</v>
      </c>
      <c r="BJ16" s="1">
        <f t="shared" si="54"/>
        <v>0</v>
      </c>
      <c r="BK16" s="1">
        <v>0</v>
      </c>
      <c r="BL16" s="1">
        <v>0</v>
      </c>
      <c r="BM16" s="170">
        <f>CPP!M16</f>
        <v>0</v>
      </c>
      <c r="BN16" s="1">
        <f t="shared" si="55"/>
        <v>0</v>
      </c>
      <c r="BO16" s="1">
        <f t="shared" si="20"/>
        <v>0</v>
      </c>
      <c r="BP16" s="1">
        <v>0</v>
      </c>
      <c r="BQ16" s="1">
        <v>0</v>
      </c>
      <c r="BR16" s="170">
        <f>CPP!N16</f>
        <v>0</v>
      </c>
      <c r="BS16" s="1">
        <f t="shared" si="21"/>
        <v>0</v>
      </c>
      <c r="BT16" s="1">
        <f t="shared" si="22"/>
        <v>0</v>
      </c>
      <c r="BU16" s="1">
        <v>0</v>
      </c>
      <c r="BV16" s="1">
        <v>0</v>
      </c>
      <c r="BW16" s="170">
        <f>CPP!O16</f>
        <v>0</v>
      </c>
      <c r="BX16" s="1">
        <f t="shared" si="23"/>
        <v>0</v>
      </c>
      <c r="BY16" s="174">
        <f t="shared" si="56"/>
        <v>0</v>
      </c>
      <c r="BZ16" s="1">
        <v>0</v>
      </c>
      <c r="CA16" s="1">
        <v>0</v>
      </c>
      <c r="CB16" s="170"/>
      <c r="CC16" s="26">
        <f t="shared" si="24"/>
        <v>0</v>
      </c>
      <c r="CD16" s="1">
        <f t="shared" si="57"/>
        <v>0</v>
      </c>
      <c r="CE16" s="1">
        <v>0</v>
      </c>
      <c r="CF16" s="1">
        <v>0</v>
      </c>
      <c r="CG16" s="170">
        <f>CPP!P16</f>
        <v>0</v>
      </c>
      <c r="CH16" s="26">
        <f t="shared" si="25"/>
        <v>0</v>
      </c>
      <c r="CI16" s="1">
        <f t="shared" si="58"/>
        <v>0</v>
      </c>
      <c r="CJ16" s="1">
        <v>0</v>
      </c>
      <c r="CK16" s="1">
        <v>0</v>
      </c>
      <c r="CL16" s="170">
        <f>CPP!Q16</f>
        <v>0</v>
      </c>
      <c r="CM16" s="1">
        <f t="shared" si="26"/>
        <v>0</v>
      </c>
      <c r="CN16" s="1">
        <f t="shared" si="59"/>
        <v>5.0000000000181899E-2</v>
      </c>
      <c r="CO16" s="1">
        <v>0</v>
      </c>
      <c r="CP16" s="1">
        <v>0</v>
      </c>
      <c r="CQ16" s="170">
        <f>CPP!R16</f>
        <v>0</v>
      </c>
      <c r="CR16" s="1">
        <f t="shared" si="27"/>
        <v>5.0000000000181899E-2</v>
      </c>
      <c r="CS16" s="129">
        <f t="shared" si="60"/>
        <v>0</v>
      </c>
      <c r="CT16" s="1">
        <v>0</v>
      </c>
      <c r="CU16" s="1">
        <v>0</v>
      </c>
      <c r="CV16" s="171">
        <f>CPP!S16</f>
        <v>0</v>
      </c>
      <c r="CW16" s="129">
        <f t="shared" si="28"/>
        <v>0</v>
      </c>
      <c r="CX16" s="129">
        <f t="shared" si="61"/>
        <v>0</v>
      </c>
      <c r="CY16" s="1">
        <v>0</v>
      </c>
      <c r="CZ16" s="1">
        <v>0</v>
      </c>
      <c r="DA16" s="171">
        <f>CPP!T16</f>
        <v>0</v>
      </c>
      <c r="DB16" s="129">
        <f t="shared" si="29"/>
        <v>0</v>
      </c>
      <c r="DC16" s="129">
        <f t="shared" si="62"/>
        <v>1.0000000000013998E-2</v>
      </c>
      <c r="DD16" s="1">
        <v>0</v>
      </c>
      <c r="DE16" s="1">
        <v>0</v>
      </c>
      <c r="DF16" s="171">
        <f>CPP!U16</f>
        <v>0</v>
      </c>
      <c r="DG16" s="129">
        <f t="shared" si="30"/>
        <v>1.0000000000013998E-2</v>
      </c>
      <c r="DH16" s="129">
        <f t="shared" si="63"/>
        <v>0</v>
      </c>
      <c r="DI16" s="1">
        <v>0</v>
      </c>
      <c r="DJ16" s="1">
        <v>0</v>
      </c>
      <c r="DK16" s="171">
        <f>CPP!V16</f>
        <v>0</v>
      </c>
      <c r="DL16" s="129">
        <f t="shared" si="31"/>
        <v>0</v>
      </c>
      <c r="DM16" s="129">
        <f t="shared" si="64"/>
        <v>304</v>
      </c>
      <c r="DN16" s="1">
        <v>0</v>
      </c>
      <c r="DO16" s="1">
        <v>0</v>
      </c>
      <c r="DP16" s="171">
        <f>CPP!W16</f>
        <v>0</v>
      </c>
      <c r="DQ16" s="129">
        <f t="shared" si="32"/>
        <v>304</v>
      </c>
      <c r="DR16" s="129">
        <f t="shared" si="65"/>
        <v>1.0000000002058584E-2</v>
      </c>
      <c r="DS16" s="1">
        <v>0</v>
      </c>
      <c r="DT16" s="1">
        <v>0</v>
      </c>
      <c r="DU16" s="171">
        <f>CPP!X16</f>
        <v>0</v>
      </c>
      <c r="DV16" s="129">
        <f t="shared" si="33"/>
        <v>1.0000000002058584E-2</v>
      </c>
      <c r="DW16" s="129">
        <f t="shared" si="66"/>
        <v>0</v>
      </c>
      <c r="DX16" s="1">
        <v>0</v>
      </c>
      <c r="DY16" s="1">
        <v>0</v>
      </c>
      <c r="DZ16" s="171">
        <f>CPP!Y16</f>
        <v>0</v>
      </c>
      <c r="EA16" s="129">
        <f t="shared" si="34"/>
        <v>0</v>
      </c>
      <c r="EB16" s="129">
        <f t="shared" si="35"/>
        <v>3321.0569999999907</v>
      </c>
      <c r="EC16" s="170">
        <f t="shared" si="36"/>
        <v>0</v>
      </c>
      <c r="ED16" s="170">
        <f t="shared" ref="ED16:ED33" si="69">O16+AA16+AN16+AR16+AW16+BB16+BG16+BL16+BQ16+BV16+CA16+CU16+CZ16+DE16+DJ16+DO16+DY16+DT16+AI16</f>
        <v>227.78</v>
      </c>
      <c r="EE16" s="129">
        <f t="shared" si="38"/>
        <v>3093.2769999999905</v>
      </c>
      <c r="EF16" s="18">
        <f t="shared" si="39"/>
        <v>3911.0699999999933</v>
      </c>
      <c r="EG16" s="170">
        <f t="shared" si="40"/>
        <v>0</v>
      </c>
      <c r="EH16" s="170">
        <f>CPP!D16+CPP!E16+CPP!F16+CPP!G16+CPP!H16+CPP!I16+CPP!J16+CPP!K16+CPP!L16+CPP!M16+CPP!N16+CPP!O16+CPP!P16+CPP!Q16+CPP!R16+CPP!S16+DA16+DF16+DK16+CPP!W16+DU16</f>
        <v>130</v>
      </c>
      <c r="EI16" s="18">
        <f>EF16+EG16-CPP!G16-CPP!E16-CPP!F16-CPP!P16-CPP!Q16-CL16-CQ16-DU16</f>
        <v>3781.0699999999933</v>
      </c>
      <c r="EJ16" s="16">
        <f t="shared" si="41"/>
        <v>22535.836579623363</v>
      </c>
      <c r="EK16" s="1">
        <v>1305</v>
      </c>
      <c r="EL16" s="253">
        <f>'Daily CEM-1'!AG17+'Daily  CEM - 2'!AF17-EQ16</f>
        <v>2083.5799999910705</v>
      </c>
      <c r="EM16" s="9">
        <f t="shared" si="42"/>
        <v>21757.256579632292</v>
      </c>
      <c r="EN16" s="1">
        <v>0</v>
      </c>
      <c r="EO16" s="18">
        <f t="shared" si="67"/>
        <v>5306.1090080001359</v>
      </c>
      <c r="EP16" s="1">
        <v>0</v>
      </c>
      <c r="EQ16" s="1">
        <v>0</v>
      </c>
      <c r="ER16" s="17">
        <f t="shared" si="43"/>
        <v>5306.1090080001359</v>
      </c>
      <c r="ES16">
        <f t="shared" si="44"/>
        <v>0</v>
      </c>
      <c r="EU16" s="51">
        <f t="shared" si="45"/>
        <v>2083.5799999910705</v>
      </c>
      <c r="EW16" s="51">
        <f>(EU16/Production2!CG16)*100</f>
        <v>78.477589453524317</v>
      </c>
      <c r="EX16">
        <v>75.618219037871029</v>
      </c>
    </row>
    <row r="17" spans="2:154">
      <c r="B17" s="4">
        <v>15</v>
      </c>
      <c r="C17" s="39">
        <f t="shared" si="3"/>
        <v>1740.92</v>
      </c>
      <c r="D17" s="1">
        <v>0</v>
      </c>
      <c r="E17" s="269">
        <f>F17+'RAW MILL 2'!F17</f>
        <v>63</v>
      </c>
      <c r="F17" s="1">
        <v>61</v>
      </c>
      <c r="G17" s="9">
        <f t="shared" si="4"/>
        <v>1677.92</v>
      </c>
      <c r="H17" s="39">
        <f t="shared" si="5"/>
        <v>1203.6000168375185</v>
      </c>
      <c r="I17" s="33">
        <f>Production2!N17+Production2!Q17</f>
        <v>2311.29</v>
      </c>
      <c r="J17" s="33">
        <f>Production2!K17</f>
        <v>2092.5</v>
      </c>
      <c r="K17" s="18">
        <f t="shared" si="6"/>
        <v>1422.3900168375185</v>
      </c>
      <c r="L17" s="39">
        <f t="shared" si="7"/>
        <v>0</v>
      </c>
      <c r="M17" s="1">
        <v>0</v>
      </c>
      <c r="N17" s="33">
        <f>CPP!D17</f>
        <v>0</v>
      </c>
      <c r="O17" s="1">
        <v>0</v>
      </c>
      <c r="P17" s="33">
        <f t="shared" si="0"/>
        <v>0</v>
      </c>
      <c r="Q17" s="9">
        <f t="shared" si="48"/>
        <v>0</v>
      </c>
      <c r="R17" s="39">
        <f t="shared" si="8"/>
        <v>0</v>
      </c>
      <c r="S17" s="1">
        <v>0</v>
      </c>
      <c r="T17" s="33">
        <f>CPP!E17</f>
        <v>0</v>
      </c>
      <c r="U17" s="26">
        <v>0</v>
      </c>
      <c r="V17" s="38">
        <f t="shared" si="9"/>
        <v>0</v>
      </c>
      <c r="W17" s="9">
        <f t="shared" si="10"/>
        <v>0</v>
      </c>
      <c r="X17" s="39">
        <f t="shared" si="11"/>
        <v>306.36999999999807</v>
      </c>
      <c r="Y17" s="1">
        <v>0</v>
      </c>
      <c r="Z17" s="33">
        <f>CPP!H17</f>
        <v>0</v>
      </c>
      <c r="AA17" s="1">
        <v>205.23</v>
      </c>
      <c r="AB17" s="9">
        <f t="shared" si="12"/>
        <v>101.13999999999808</v>
      </c>
      <c r="AC17" s="39">
        <f t="shared" si="13"/>
        <v>0</v>
      </c>
      <c r="AD17" s="1">
        <v>0</v>
      </c>
      <c r="AE17" s="1">
        <v>0</v>
      </c>
      <c r="AF17" s="9">
        <f t="shared" si="1"/>
        <v>0</v>
      </c>
      <c r="AG17" s="39">
        <f t="shared" si="14"/>
        <v>3781.0199999999932</v>
      </c>
      <c r="AH17" s="1">
        <v>764.75</v>
      </c>
      <c r="AI17" s="1">
        <v>0</v>
      </c>
      <c r="AJ17" s="170">
        <f>CPP!G17</f>
        <v>147</v>
      </c>
      <c r="AK17" s="9">
        <f t="shared" si="68"/>
        <v>4398.7699999999932</v>
      </c>
      <c r="AL17" s="129">
        <f t="shared" si="49"/>
        <v>0</v>
      </c>
      <c r="AM17" s="1">
        <v>0</v>
      </c>
      <c r="AN17" s="1">
        <v>0</v>
      </c>
      <c r="AO17" s="18">
        <f t="shared" si="15"/>
        <v>0</v>
      </c>
      <c r="AP17" s="129">
        <f t="shared" si="50"/>
        <v>0</v>
      </c>
      <c r="AQ17" s="1">
        <v>0</v>
      </c>
      <c r="AR17" s="1">
        <v>0</v>
      </c>
      <c r="AS17" s="171">
        <f>CPP!I17</f>
        <v>0</v>
      </c>
      <c r="AT17" s="129">
        <f t="shared" si="16"/>
        <v>0</v>
      </c>
      <c r="AU17" s="1">
        <f t="shared" si="51"/>
        <v>0</v>
      </c>
      <c r="AV17" s="1">
        <v>0</v>
      </c>
      <c r="AW17" s="1">
        <v>0</v>
      </c>
      <c r="AX17" s="170">
        <f>CPP!J17</f>
        <v>0</v>
      </c>
      <c r="AY17" s="1">
        <f t="shared" si="17"/>
        <v>0</v>
      </c>
      <c r="AZ17" s="1">
        <f t="shared" si="52"/>
        <v>2482.8869999999902</v>
      </c>
      <c r="BA17" s="1">
        <v>155.24</v>
      </c>
      <c r="BB17" s="1">
        <v>0</v>
      </c>
      <c r="BC17" s="170">
        <f>CPP!K17</f>
        <v>0</v>
      </c>
      <c r="BD17" s="1">
        <f t="shared" si="18"/>
        <v>2638.1269999999904</v>
      </c>
      <c r="BE17" s="1">
        <f t="shared" si="53"/>
        <v>0</v>
      </c>
      <c r="BF17" s="1">
        <v>0</v>
      </c>
      <c r="BG17" s="1">
        <v>0</v>
      </c>
      <c r="BH17" s="170">
        <f>CPP!L17</f>
        <v>0</v>
      </c>
      <c r="BI17" s="1">
        <f t="shared" si="19"/>
        <v>0</v>
      </c>
      <c r="BJ17" s="1">
        <f t="shared" si="54"/>
        <v>0</v>
      </c>
      <c r="BK17" s="1">
        <v>0</v>
      </c>
      <c r="BL17" s="1">
        <v>0</v>
      </c>
      <c r="BM17" s="170">
        <f>CPP!M17</f>
        <v>0</v>
      </c>
      <c r="BN17" s="1">
        <f t="shared" si="55"/>
        <v>0</v>
      </c>
      <c r="BO17" s="1">
        <f t="shared" si="20"/>
        <v>0</v>
      </c>
      <c r="BP17" s="1">
        <v>0</v>
      </c>
      <c r="BQ17" s="1">
        <v>0</v>
      </c>
      <c r="BR17" s="170">
        <f>CPP!N17</f>
        <v>0</v>
      </c>
      <c r="BS17" s="1">
        <f t="shared" si="21"/>
        <v>0</v>
      </c>
      <c r="BT17" s="1">
        <f t="shared" si="22"/>
        <v>0</v>
      </c>
      <c r="BU17" s="1">
        <v>0</v>
      </c>
      <c r="BV17" s="1">
        <v>0</v>
      </c>
      <c r="BW17" s="170">
        <f>CPP!O17</f>
        <v>0</v>
      </c>
      <c r="BX17" s="1">
        <f t="shared" si="23"/>
        <v>0</v>
      </c>
      <c r="BY17" s="174">
        <f t="shared" si="56"/>
        <v>0</v>
      </c>
      <c r="BZ17" s="1">
        <v>0</v>
      </c>
      <c r="CA17" s="1">
        <v>0</v>
      </c>
      <c r="CB17" s="170"/>
      <c r="CC17" s="26">
        <f t="shared" si="24"/>
        <v>0</v>
      </c>
      <c r="CD17" s="1">
        <f t="shared" si="57"/>
        <v>0</v>
      </c>
      <c r="CE17" s="1">
        <v>0</v>
      </c>
      <c r="CF17" s="1">
        <v>0</v>
      </c>
      <c r="CG17" s="170">
        <f>CPP!P17</f>
        <v>0</v>
      </c>
      <c r="CH17" s="26">
        <f t="shared" si="25"/>
        <v>0</v>
      </c>
      <c r="CI17" s="1">
        <f t="shared" si="58"/>
        <v>0</v>
      </c>
      <c r="CJ17" s="1">
        <v>0</v>
      </c>
      <c r="CK17" s="1">
        <v>0</v>
      </c>
      <c r="CL17" s="170">
        <f>CPP!Q17</f>
        <v>0</v>
      </c>
      <c r="CM17" s="1">
        <f t="shared" si="26"/>
        <v>0</v>
      </c>
      <c r="CN17" s="1">
        <f t="shared" si="59"/>
        <v>5.0000000000181899E-2</v>
      </c>
      <c r="CO17" s="1">
        <v>0</v>
      </c>
      <c r="CP17" s="1">
        <v>0</v>
      </c>
      <c r="CQ17" s="170">
        <f>CPP!R17</f>
        <v>0</v>
      </c>
      <c r="CR17" s="1">
        <f t="shared" si="27"/>
        <v>5.0000000000181899E-2</v>
      </c>
      <c r="CS17" s="129">
        <f t="shared" si="60"/>
        <v>0</v>
      </c>
      <c r="CT17" s="1">
        <v>0</v>
      </c>
      <c r="CU17" s="1">
        <v>0</v>
      </c>
      <c r="CV17" s="171">
        <f>CPP!S17</f>
        <v>0</v>
      </c>
      <c r="CW17" s="129">
        <f t="shared" si="28"/>
        <v>0</v>
      </c>
      <c r="CX17" s="129">
        <f t="shared" si="61"/>
        <v>0</v>
      </c>
      <c r="CY17" s="1">
        <v>0</v>
      </c>
      <c r="CZ17" s="1">
        <v>0</v>
      </c>
      <c r="DA17" s="171">
        <f>CPP!T17</f>
        <v>0</v>
      </c>
      <c r="DB17" s="129">
        <f t="shared" si="29"/>
        <v>0</v>
      </c>
      <c r="DC17" s="129">
        <f t="shared" si="62"/>
        <v>1.0000000000013998E-2</v>
      </c>
      <c r="DD17" s="1">
        <v>0</v>
      </c>
      <c r="DE17" s="1">
        <v>0</v>
      </c>
      <c r="DF17" s="171">
        <f>CPP!U17</f>
        <v>0</v>
      </c>
      <c r="DG17" s="129">
        <f t="shared" si="30"/>
        <v>1.0000000000013998E-2</v>
      </c>
      <c r="DH17" s="129">
        <f t="shared" si="63"/>
        <v>0</v>
      </c>
      <c r="DI17" s="1">
        <v>0</v>
      </c>
      <c r="DJ17" s="1">
        <v>0</v>
      </c>
      <c r="DK17" s="171">
        <f>CPP!V17</f>
        <v>0</v>
      </c>
      <c r="DL17" s="129">
        <f t="shared" si="31"/>
        <v>0</v>
      </c>
      <c r="DM17" s="129">
        <f t="shared" si="64"/>
        <v>304</v>
      </c>
      <c r="DN17" s="1">
        <v>0</v>
      </c>
      <c r="DO17" s="1">
        <v>0</v>
      </c>
      <c r="DP17" s="171">
        <f>CPP!W17</f>
        <v>0</v>
      </c>
      <c r="DQ17" s="129">
        <f t="shared" si="32"/>
        <v>304</v>
      </c>
      <c r="DR17" s="129">
        <f t="shared" si="65"/>
        <v>1.0000000002058584E-2</v>
      </c>
      <c r="DS17" s="1">
        <v>0</v>
      </c>
      <c r="DT17" s="1">
        <v>0</v>
      </c>
      <c r="DU17" s="171">
        <f>CPP!X17</f>
        <v>0</v>
      </c>
      <c r="DV17" s="129">
        <f t="shared" si="33"/>
        <v>1.0000000002058584E-2</v>
      </c>
      <c r="DW17" s="129">
        <f t="shared" si="66"/>
        <v>0</v>
      </c>
      <c r="DX17" s="1">
        <v>0</v>
      </c>
      <c r="DY17" s="1">
        <v>0</v>
      </c>
      <c r="DZ17" s="171">
        <f>CPP!Y17</f>
        <v>0</v>
      </c>
      <c r="EA17" s="129">
        <f t="shared" si="34"/>
        <v>0</v>
      </c>
      <c r="EB17" s="129">
        <f t="shared" si="35"/>
        <v>3093.2769999999905</v>
      </c>
      <c r="EC17" s="170">
        <f t="shared" si="36"/>
        <v>155.24</v>
      </c>
      <c r="ED17" s="170">
        <f t="shared" si="69"/>
        <v>205.23</v>
      </c>
      <c r="EE17" s="129">
        <f t="shared" si="38"/>
        <v>3043.2869999999907</v>
      </c>
      <c r="EF17" s="18">
        <f t="shared" si="39"/>
        <v>3781.0699999999933</v>
      </c>
      <c r="EG17" s="170">
        <f t="shared" si="40"/>
        <v>764.75</v>
      </c>
      <c r="EH17" s="170">
        <f>CPP!D17+CPP!E17+CPP!F17+CPP!G17+CPP!H17+CPP!I17+CPP!J17+CPP!K17+CPP!L17+CPP!M17+CPP!N17+CPP!O17+CPP!P17+CPP!Q17+CPP!R17+CPP!S17+DA17+DF17+DK17+CPP!W17+DU17</f>
        <v>147</v>
      </c>
      <c r="EI17" s="18">
        <f>EF17+EG17-CPP!G17-CPP!E17-CPP!F17-CPP!P17-CPP!Q17-CL17-CQ17-DU17</f>
        <v>4398.8199999999933</v>
      </c>
      <c r="EJ17" s="16">
        <f t="shared" si="41"/>
        <v>21757.256579632292</v>
      </c>
      <c r="EK17" s="1">
        <v>1350</v>
      </c>
      <c r="EL17" s="253">
        <f>'Daily CEM-1'!AG18+'Daily  CEM - 2'!AF18-EQ17</f>
        <v>1585.1330100003695</v>
      </c>
      <c r="EM17" s="9">
        <f t="shared" si="42"/>
        <v>21522.123569631924</v>
      </c>
      <c r="EN17" s="1">
        <v>0</v>
      </c>
      <c r="EO17" s="18">
        <f t="shared" si="67"/>
        <v>5306.1090080001359</v>
      </c>
      <c r="EP17" s="1">
        <v>0</v>
      </c>
      <c r="EQ17" s="1">
        <v>361.53500000000003</v>
      </c>
      <c r="ER17" s="17">
        <f>EO17+EP17-EQ17</f>
        <v>4944.574008000136</v>
      </c>
      <c r="ES17">
        <f t="shared" si="44"/>
        <v>3202.87</v>
      </c>
      <c r="ET17">
        <v>3202.87</v>
      </c>
      <c r="EU17" s="51">
        <f t="shared" si="45"/>
        <v>1946.6680100003696</v>
      </c>
      <c r="EW17" s="51">
        <f>(EU17/Production2!CG17)*100</f>
        <v>79.100691182461176</v>
      </c>
      <c r="EX17">
        <v>76.999896393782379</v>
      </c>
    </row>
    <row r="18" spans="2:154">
      <c r="B18" s="4">
        <v>16</v>
      </c>
      <c r="C18" s="39">
        <f t="shared" si="3"/>
        <v>1677.92</v>
      </c>
      <c r="D18" s="1">
        <v>0</v>
      </c>
      <c r="E18" s="269">
        <f>F18+'RAW MILL 2'!F18</f>
        <v>72</v>
      </c>
      <c r="F18" s="1">
        <v>72</v>
      </c>
      <c r="G18" s="9">
        <f t="shared" si="4"/>
        <v>1605.92</v>
      </c>
      <c r="H18" s="39">
        <f>K17</f>
        <v>1422.3900168375185</v>
      </c>
      <c r="I18" s="33">
        <f>Production2!N18+Production2!Q18</f>
        <v>2409.66</v>
      </c>
      <c r="J18" s="33">
        <f>Production2!K18</f>
        <v>2154.5</v>
      </c>
      <c r="K18" s="18">
        <f t="shared" si="6"/>
        <v>1677.5500168375183</v>
      </c>
      <c r="L18" s="49">
        <f t="shared" si="7"/>
        <v>0</v>
      </c>
      <c r="M18" s="1">
        <v>0</v>
      </c>
      <c r="N18" s="33">
        <f>CPP!D18</f>
        <v>0</v>
      </c>
      <c r="O18" s="1">
        <v>0</v>
      </c>
      <c r="P18" s="33">
        <f t="shared" si="0"/>
        <v>0</v>
      </c>
      <c r="Q18" s="9">
        <f t="shared" si="48"/>
        <v>0</v>
      </c>
      <c r="R18" s="39">
        <f t="shared" si="8"/>
        <v>0</v>
      </c>
      <c r="S18" s="1">
        <v>0</v>
      </c>
      <c r="T18" s="33">
        <f>CPP!E18</f>
        <v>0</v>
      </c>
      <c r="U18" s="26">
        <v>0</v>
      </c>
      <c r="V18" s="38">
        <f t="shared" si="9"/>
        <v>0</v>
      </c>
      <c r="W18" s="9">
        <f t="shared" si="10"/>
        <v>0</v>
      </c>
      <c r="X18" s="39">
        <f t="shared" si="11"/>
        <v>101.13999999999808</v>
      </c>
      <c r="Y18" s="1">
        <v>0</v>
      </c>
      <c r="Z18" s="33">
        <f>CPP!H18</f>
        <v>0</v>
      </c>
      <c r="AA18" s="1">
        <v>101.1</v>
      </c>
      <c r="AB18" s="9">
        <f t="shared" si="12"/>
        <v>3.9999999998087787E-2</v>
      </c>
      <c r="AC18" s="39">
        <f t="shared" si="13"/>
        <v>0</v>
      </c>
      <c r="AD18" s="1">
        <v>0</v>
      </c>
      <c r="AE18" s="1">
        <v>0</v>
      </c>
      <c r="AF18" s="9">
        <f t="shared" si="1"/>
        <v>0</v>
      </c>
      <c r="AG18" s="39">
        <f t="shared" si="14"/>
        <v>4398.7699999999932</v>
      </c>
      <c r="AH18" s="1">
        <v>124.25</v>
      </c>
      <c r="AI18" s="1">
        <v>0</v>
      </c>
      <c r="AJ18" s="170">
        <f>CPP!G18</f>
        <v>172</v>
      </c>
      <c r="AK18" s="9">
        <f t="shared" si="68"/>
        <v>4351.0199999999932</v>
      </c>
      <c r="AL18" s="129">
        <f t="shared" si="49"/>
        <v>0</v>
      </c>
      <c r="AM18" s="1">
        <v>0</v>
      </c>
      <c r="AN18" s="1">
        <v>0</v>
      </c>
      <c r="AO18" s="18">
        <f t="shared" si="15"/>
        <v>0</v>
      </c>
      <c r="AP18" s="129">
        <f t="shared" si="50"/>
        <v>0</v>
      </c>
      <c r="AQ18" s="1">
        <v>0</v>
      </c>
      <c r="AR18" s="1">
        <v>0</v>
      </c>
      <c r="AS18" s="171">
        <f>CPP!I18</f>
        <v>0</v>
      </c>
      <c r="AT18" s="129">
        <f t="shared" si="16"/>
        <v>0</v>
      </c>
      <c r="AU18" s="1">
        <f t="shared" si="51"/>
        <v>0</v>
      </c>
      <c r="AV18" s="1">
        <v>0</v>
      </c>
      <c r="AW18" s="1">
        <v>0</v>
      </c>
      <c r="AX18" s="170">
        <f>CPP!J18</f>
        <v>0</v>
      </c>
      <c r="AY18" s="1">
        <f t="shared" si="17"/>
        <v>0</v>
      </c>
      <c r="AZ18" s="1">
        <f t="shared" si="52"/>
        <v>2638.1269999999904</v>
      </c>
      <c r="BA18" s="1">
        <v>123.28</v>
      </c>
      <c r="BB18" s="1">
        <v>143.34</v>
      </c>
      <c r="BC18" s="170">
        <f>CPP!K18</f>
        <v>0</v>
      </c>
      <c r="BD18" s="1">
        <f t="shared" si="18"/>
        <v>2618.0669999999905</v>
      </c>
      <c r="BE18" s="1">
        <f t="shared" si="53"/>
        <v>0</v>
      </c>
      <c r="BF18" s="1">
        <v>0</v>
      </c>
      <c r="BG18" s="1">
        <v>0</v>
      </c>
      <c r="BH18" s="170">
        <f>CPP!L18</f>
        <v>0</v>
      </c>
      <c r="BI18" s="1">
        <f t="shared" si="19"/>
        <v>0</v>
      </c>
      <c r="BJ18" s="1">
        <f t="shared" si="54"/>
        <v>0</v>
      </c>
      <c r="BK18" s="1">
        <v>0</v>
      </c>
      <c r="BL18" s="1">
        <v>0</v>
      </c>
      <c r="BM18" s="170">
        <f>CPP!M18</f>
        <v>0</v>
      </c>
      <c r="BN18" s="1">
        <f t="shared" si="55"/>
        <v>0</v>
      </c>
      <c r="BO18" s="1">
        <f t="shared" si="20"/>
        <v>0</v>
      </c>
      <c r="BP18" s="1">
        <v>0</v>
      </c>
      <c r="BQ18" s="1">
        <v>0</v>
      </c>
      <c r="BR18" s="170">
        <f>CPP!N18</f>
        <v>0</v>
      </c>
      <c r="BS18" s="1">
        <f t="shared" si="21"/>
        <v>0</v>
      </c>
      <c r="BT18" s="1">
        <f t="shared" si="22"/>
        <v>0</v>
      </c>
      <c r="BU18" s="1">
        <v>0</v>
      </c>
      <c r="BV18" s="1">
        <v>0</v>
      </c>
      <c r="BW18" s="170">
        <f>CPP!O18</f>
        <v>0</v>
      </c>
      <c r="BX18" s="1">
        <f t="shared" si="23"/>
        <v>0</v>
      </c>
      <c r="BY18" s="174">
        <f t="shared" si="56"/>
        <v>0</v>
      </c>
      <c r="BZ18" s="1">
        <v>0</v>
      </c>
      <c r="CA18" s="1">
        <v>0</v>
      </c>
      <c r="CB18" s="170"/>
      <c r="CC18" s="26">
        <f t="shared" si="24"/>
        <v>0</v>
      </c>
      <c r="CD18" s="1">
        <f t="shared" si="57"/>
        <v>0</v>
      </c>
      <c r="CE18" s="1">
        <v>0</v>
      </c>
      <c r="CF18" s="1">
        <v>0</v>
      </c>
      <c r="CG18" s="170">
        <f>CPP!P18</f>
        <v>0</v>
      </c>
      <c r="CH18" s="26">
        <f t="shared" si="25"/>
        <v>0</v>
      </c>
      <c r="CI18" s="1">
        <f t="shared" si="58"/>
        <v>0</v>
      </c>
      <c r="CJ18" s="1">
        <v>0</v>
      </c>
      <c r="CK18" s="1">
        <v>0</v>
      </c>
      <c r="CL18" s="170">
        <f>CPP!Q18</f>
        <v>0</v>
      </c>
      <c r="CM18" s="1">
        <f t="shared" si="26"/>
        <v>0</v>
      </c>
      <c r="CN18" s="1">
        <f t="shared" si="59"/>
        <v>5.0000000000181899E-2</v>
      </c>
      <c r="CO18" s="1">
        <v>0</v>
      </c>
      <c r="CP18" s="1">
        <v>0</v>
      </c>
      <c r="CQ18" s="170">
        <f>CPP!R18</f>
        <v>0</v>
      </c>
      <c r="CR18" s="1">
        <f t="shared" si="27"/>
        <v>5.0000000000181899E-2</v>
      </c>
      <c r="CS18" s="129">
        <f t="shared" si="60"/>
        <v>0</v>
      </c>
      <c r="CT18" s="1">
        <v>0</v>
      </c>
      <c r="CU18" s="1">
        <v>0</v>
      </c>
      <c r="CV18" s="171">
        <f>CPP!S18</f>
        <v>0</v>
      </c>
      <c r="CW18" s="129">
        <f t="shared" si="28"/>
        <v>0</v>
      </c>
      <c r="CX18" s="129">
        <f t="shared" si="61"/>
        <v>0</v>
      </c>
      <c r="CY18" s="1">
        <v>0</v>
      </c>
      <c r="CZ18" s="1">
        <v>0</v>
      </c>
      <c r="DA18" s="171">
        <f>CPP!T18</f>
        <v>0</v>
      </c>
      <c r="DB18" s="129">
        <f t="shared" si="29"/>
        <v>0</v>
      </c>
      <c r="DC18" s="129">
        <f t="shared" si="62"/>
        <v>1.0000000000013998E-2</v>
      </c>
      <c r="DD18" s="1">
        <v>0</v>
      </c>
      <c r="DE18" s="1">
        <v>0</v>
      </c>
      <c r="DF18" s="171">
        <f>CPP!U18</f>
        <v>0</v>
      </c>
      <c r="DG18" s="129">
        <f t="shared" si="30"/>
        <v>1.0000000000013998E-2</v>
      </c>
      <c r="DH18" s="129">
        <f t="shared" si="63"/>
        <v>0</v>
      </c>
      <c r="DI18" s="1">
        <v>0</v>
      </c>
      <c r="DJ18" s="1">
        <v>0</v>
      </c>
      <c r="DK18" s="171">
        <f>CPP!V18</f>
        <v>0</v>
      </c>
      <c r="DL18" s="129">
        <f t="shared" si="31"/>
        <v>0</v>
      </c>
      <c r="DM18" s="129">
        <f t="shared" si="64"/>
        <v>304</v>
      </c>
      <c r="DN18" s="1">
        <v>0</v>
      </c>
      <c r="DO18" s="1">
        <v>0</v>
      </c>
      <c r="DP18" s="171">
        <f>CPP!W18</f>
        <v>0</v>
      </c>
      <c r="DQ18" s="129">
        <f t="shared" si="32"/>
        <v>304</v>
      </c>
      <c r="DR18" s="129">
        <f t="shared" si="65"/>
        <v>1.0000000002058584E-2</v>
      </c>
      <c r="DS18" s="1">
        <v>0</v>
      </c>
      <c r="DT18" s="1">
        <v>0</v>
      </c>
      <c r="DU18" s="171">
        <f>CPP!X18</f>
        <v>0</v>
      </c>
      <c r="DV18" s="129">
        <f t="shared" si="33"/>
        <v>1.0000000002058584E-2</v>
      </c>
      <c r="DW18" s="129">
        <f t="shared" si="66"/>
        <v>0</v>
      </c>
      <c r="DX18" s="1">
        <v>0</v>
      </c>
      <c r="DY18" s="1">
        <v>0</v>
      </c>
      <c r="DZ18" s="171">
        <f>CPP!Y18</f>
        <v>0</v>
      </c>
      <c r="EA18" s="129">
        <f t="shared" si="34"/>
        <v>0</v>
      </c>
      <c r="EB18" s="129">
        <f t="shared" si="35"/>
        <v>3043.2869999999907</v>
      </c>
      <c r="EC18" s="170">
        <f t="shared" si="36"/>
        <v>123.28</v>
      </c>
      <c r="ED18" s="170">
        <f t="shared" si="69"/>
        <v>244.44</v>
      </c>
      <c r="EE18" s="129">
        <f t="shared" si="38"/>
        <v>2922.1269999999909</v>
      </c>
      <c r="EF18" s="18">
        <f t="shared" si="39"/>
        <v>4398.8199999999933</v>
      </c>
      <c r="EG18" s="170">
        <f t="shared" si="40"/>
        <v>124.25</v>
      </c>
      <c r="EH18" s="170">
        <f>CPP!D18+CPP!E18+CPP!F18+CPP!G18+CPP!H18+CPP!I18+CPP!J18+CPP!K18+CPP!L18+CPP!M18+CPP!N18+CPP!O18+CPP!P18+CPP!Q18+CPP!R18+CPP!S18+DA18+DF18+DK18+CPP!W18+DU18</f>
        <v>172</v>
      </c>
      <c r="EI18" s="18">
        <f>EF18+EG18-CPP!G18-CPP!E18-CPP!F18-CPP!P18-CPP!Q18-CL18-CQ18-DU18</f>
        <v>4351.0699999999933</v>
      </c>
      <c r="EJ18" s="16">
        <f t="shared" si="41"/>
        <v>21522.123569631924</v>
      </c>
      <c r="EK18" s="1">
        <v>1390</v>
      </c>
      <c r="EL18" s="253">
        <f>'Daily CEM-1'!AG19+'Daily  CEM - 2'!AF19-EQ18</f>
        <v>1039.4349999570004</v>
      </c>
      <c r="EM18" s="9">
        <f t="shared" si="42"/>
        <v>21872.688569674923</v>
      </c>
      <c r="EN18" s="1">
        <v>0</v>
      </c>
      <c r="EO18" s="18">
        <f>ER17</f>
        <v>4944.574008000136</v>
      </c>
      <c r="EP18" s="1">
        <v>0</v>
      </c>
      <c r="EQ18" s="1">
        <v>1259.0940000000001</v>
      </c>
      <c r="ER18" s="17">
        <f>EO18+EP18-EQ18</f>
        <v>3685.480008000136</v>
      </c>
      <c r="ES18">
        <f t="shared" si="44"/>
        <v>789.98</v>
      </c>
      <c r="ET18">
        <v>789.98</v>
      </c>
      <c r="EU18" s="51">
        <f t="shared" si="45"/>
        <v>2298.5289999570005</v>
      </c>
      <c r="EW18" s="51">
        <f>(EU18/Production2!CG18)*100</f>
        <v>79.259620688172433</v>
      </c>
      <c r="EX18">
        <v>75.560657336760556</v>
      </c>
    </row>
    <row r="19" spans="2:154" s="319" customFormat="1">
      <c r="B19" s="346">
        <v>17</v>
      </c>
      <c r="C19" s="347">
        <f t="shared" si="3"/>
        <v>1605.92</v>
      </c>
      <c r="D19" s="1">
        <v>0</v>
      </c>
      <c r="E19" s="348">
        <f>F19+'RAW MILL 2'!F19</f>
        <v>47</v>
      </c>
      <c r="F19" s="1">
        <v>47</v>
      </c>
      <c r="G19" s="349">
        <f t="shared" si="4"/>
        <v>1558.92</v>
      </c>
      <c r="H19" s="347">
        <f t="shared" si="5"/>
        <v>1677.5500168375183</v>
      </c>
      <c r="I19" s="33">
        <f>Production2!N19+Production2!Q19</f>
        <v>1619.61</v>
      </c>
      <c r="J19" s="350">
        <f>Production2!K19</f>
        <v>2208.75</v>
      </c>
      <c r="K19" s="18">
        <f t="shared" si="6"/>
        <v>1088.410016837518</v>
      </c>
      <c r="L19" s="352">
        <f t="shared" si="7"/>
        <v>0</v>
      </c>
      <c r="M19" s="320">
        <v>0</v>
      </c>
      <c r="N19" s="350">
        <f>CPP!D19</f>
        <v>0</v>
      </c>
      <c r="O19" s="320">
        <v>0</v>
      </c>
      <c r="P19" s="350">
        <f t="shared" si="0"/>
        <v>0</v>
      </c>
      <c r="Q19" s="349">
        <f t="shared" si="48"/>
        <v>0</v>
      </c>
      <c r="R19" s="347">
        <f t="shared" si="8"/>
        <v>0</v>
      </c>
      <c r="S19" s="320">
        <v>0</v>
      </c>
      <c r="T19" s="350">
        <f>CPP!E19</f>
        <v>0</v>
      </c>
      <c r="U19" s="353">
        <v>0</v>
      </c>
      <c r="V19" s="354">
        <f t="shared" si="9"/>
        <v>0</v>
      </c>
      <c r="W19" s="349">
        <f t="shared" si="10"/>
        <v>0</v>
      </c>
      <c r="X19" s="347">
        <f t="shared" si="11"/>
        <v>3.9999999998087787E-2</v>
      </c>
      <c r="Y19" s="1">
        <v>0</v>
      </c>
      <c r="Z19" s="350">
        <f>CPP!H19</f>
        <v>0</v>
      </c>
      <c r="AA19" s="1">
        <v>0</v>
      </c>
      <c r="AB19" s="349">
        <f t="shared" si="12"/>
        <v>3.9999999998087787E-2</v>
      </c>
      <c r="AC19" s="347">
        <f t="shared" si="13"/>
        <v>0</v>
      </c>
      <c r="AD19" s="320">
        <v>0</v>
      </c>
      <c r="AE19" s="320">
        <v>0</v>
      </c>
      <c r="AF19" s="349">
        <f t="shared" si="1"/>
        <v>0</v>
      </c>
      <c r="AG19" s="347">
        <f t="shared" si="14"/>
        <v>4351.0199999999932</v>
      </c>
      <c r="AH19" s="1">
        <v>32</v>
      </c>
      <c r="AI19" s="1">
        <v>0</v>
      </c>
      <c r="AJ19" s="338">
        <f>CPP!G19</f>
        <v>155</v>
      </c>
      <c r="AK19" s="9">
        <f t="shared" si="68"/>
        <v>4228.0199999999932</v>
      </c>
      <c r="AL19" s="355">
        <f t="shared" si="49"/>
        <v>0</v>
      </c>
      <c r="AM19" s="320">
        <v>0</v>
      </c>
      <c r="AN19" s="320">
        <v>0</v>
      </c>
      <c r="AO19" s="351">
        <f t="shared" si="15"/>
        <v>0</v>
      </c>
      <c r="AP19" s="355">
        <f t="shared" si="50"/>
        <v>0</v>
      </c>
      <c r="AQ19" s="320">
        <v>0</v>
      </c>
      <c r="AR19" s="320">
        <v>0</v>
      </c>
      <c r="AS19" s="356">
        <f>CPP!I19</f>
        <v>0</v>
      </c>
      <c r="AT19" s="355">
        <f t="shared" si="16"/>
        <v>0</v>
      </c>
      <c r="AU19" s="320">
        <f t="shared" si="51"/>
        <v>0</v>
      </c>
      <c r="AV19" s="320">
        <v>0</v>
      </c>
      <c r="AW19" s="320">
        <v>0</v>
      </c>
      <c r="AX19" s="338">
        <f>CPP!J19</f>
        <v>0</v>
      </c>
      <c r="AY19" s="320">
        <f t="shared" si="17"/>
        <v>0</v>
      </c>
      <c r="AZ19" s="320">
        <f t="shared" si="52"/>
        <v>2618.0669999999905</v>
      </c>
      <c r="BA19" s="1">
        <v>64.14</v>
      </c>
      <c r="BB19" s="1">
        <v>244.44</v>
      </c>
      <c r="BC19" s="338">
        <f>CPP!K19</f>
        <v>0</v>
      </c>
      <c r="BD19" s="320">
        <f t="shared" si="18"/>
        <v>2437.7669999999903</v>
      </c>
      <c r="BE19" s="320">
        <f t="shared" si="53"/>
        <v>0</v>
      </c>
      <c r="BF19" s="320">
        <v>0</v>
      </c>
      <c r="BG19" s="320">
        <v>0</v>
      </c>
      <c r="BH19" s="338">
        <f>CPP!L19</f>
        <v>0</v>
      </c>
      <c r="BI19" s="320">
        <f t="shared" si="19"/>
        <v>0</v>
      </c>
      <c r="BJ19" s="320">
        <f t="shared" si="54"/>
        <v>0</v>
      </c>
      <c r="BK19" s="320">
        <v>0</v>
      </c>
      <c r="BL19" s="320">
        <v>0</v>
      </c>
      <c r="BM19" s="338">
        <f>CPP!M19</f>
        <v>0</v>
      </c>
      <c r="BN19" s="320">
        <f t="shared" si="55"/>
        <v>0</v>
      </c>
      <c r="BO19" s="320">
        <f t="shared" si="20"/>
        <v>0</v>
      </c>
      <c r="BP19" s="320">
        <v>0</v>
      </c>
      <c r="BQ19" s="320">
        <v>0</v>
      </c>
      <c r="BR19" s="338">
        <f>CPP!N19</f>
        <v>0</v>
      </c>
      <c r="BS19" s="320">
        <f t="shared" si="21"/>
        <v>0</v>
      </c>
      <c r="BT19" s="320">
        <f t="shared" si="22"/>
        <v>0</v>
      </c>
      <c r="BU19" s="320">
        <v>0</v>
      </c>
      <c r="BV19" s="320">
        <v>0</v>
      </c>
      <c r="BW19" s="338">
        <f>CPP!O19</f>
        <v>0</v>
      </c>
      <c r="BX19" s="320">
        <f t="shared" si="23"/>
        <v>0</v>
      </c>
      <c r="BY19" s="357">
        <f t="shared" si="56"/>
        <v>0</v>
      </c>
      <c r="BZ19" s="320">
        <v>0</v>
      </c>
      <c r="CA19" s="320">
        <v>0</v>
      </c>
      <c r="CB19" s="338"/>
      <c r="CC19" s="353">
        <f t="shared" si="24"/>
        <v>0</v>
      </c>
      <c r="CD19" s="320">
        <f t="shared" si="57"/>
        <v>0</v>
      </c>
      <c r="CE19" s="320">
        <v>0</v>
      </c>
      <c r="CF19" s="320">
        <v>0</v>
      </c>
      <c r="CG19" s="338">
        <f>CPP!P19</f>
        <v>0</v>
      </c>
      <c r="CH19" s="353">
        <f t="shared" si="25"/>
        <v>0</v>
      </c>
      <c r="CI19" s="320">
        <f t="shared" si="58"/>
        <v>0</v>
      </c>
      <c r="CJ19" s="320">
        <v>0</v>
      </c>
      <c r="CK19" s="320">
        <v>0</v>
      </c>
      <c r="CL19" s="338">
        <f>CPP!Q19</f>
        <v>0</v>
      </c>
      <c r="CM19" s="320">
        <f t="shared" si="26"/>
        <v>0</v>
      </c>
      <c r="CN19" s="320">
        <f t="shared" si="59"/>
        <v>5.0000000000181899E-2</v>
      </c>
      <c r="CO19" s="320">
        <v>0</v>
      </c>
      <c r="CP19" s="320">
        <v>0</v>
      </c>
      <c r="CQ19" s="338">
        <f>CPP!R19</f>
        <v>0</v>
      </c>
      <c r="CR19" s="320">
        <f t="shared" si="27"/>
        <v>5.0000000000181899E-2</v>
      </c>
      <c r="CS19" s="355">
        <f t="shared" si="60"/>
        <v>0</v>
      </c>
      <c r="CT19" s="320">
        <v>0</v>
      </c>
      <c r="CU19" s="320">
        <v>0</v>
      </c>
      <c r="CV19" s="356">
        <f>CPP!S19</f>
        <v>0</v>
      </c>
      <c r="CW19" s="355">
        <f t="shared" si="28"/>
        <v>0</v>
      </c>
      <c r="CX19" s="355">
        <f t="shared" si="61"/>
        <v>0</v>
      </c>
      <c r="CY19" s="320">
        <v>0</v>
      </c>
      <c r="CZ19" s="320">
        <v>0</v>
      </c>
      <c r="DA19" s="356">
        <f>CPP!T19</f>
        <v>0</v>
      </c>
      <c r="DB19" s="355">
        <f t="shared" si="29"/>
        <v>0</v>
      </c>
      <c r="DC19" s="355">
        <f t="shared" si="62"/>
        <v>1.0000000000013998E-2</v>
      </c>
      <c r="DD19" s="320">
        <v>0</v>
      </c>
      <c r="DE19" s="1">
        <v>0</v>
      </c>
      <c r="DF19" s="356">
        <f>CPP!U19</f>
        <v>0</v>
      </c>
      <c r="DG19" s="355">
        <f t="shared" si="30"/>
        <v>1.0000000000013998E-2</v>
      </c>
      <c r="DH19" s="355">
        <f t="shared" si="63"/>
        <v>0</v>
      </c>
      <c r="DI19" s="320">
        <v>0</v>
      </c>
      <c r="DJ19" s="320">
        <v>0</v>
      </c>
      <c r="DK19" s="356">
        <f>CPP!V19</f>
        <v>0</v>
      </c>
      <c r="DL19" s="355">
        <f t="shared" si="31"/>
        <v>0</v>
      </c>
      <c r="DM19" s="355">
        <f t="shared" si="64"/>
        <v>304</v>
      </c>
      <c r="DN19" s="1">
        <v>0</v>
      </c>
      <c r="DO19" s="320">
        <v>0</v>
      </c>
      <c r="DP19" s="356">
        <f>CPP!W19</f>
        <v>0</v>
      </c>
      <c r="DQ19" s="355">
        <f t="shared" si="32"/>
        <v>304</v>
      </c>
      <c r="DR19" s="355">
        <f t="shared" si="65"/>
        <v>1.0000000002058584E-2</v>
      </c>
      <c r="DS19" s="1">
        <v>0</v>
      </c>
      <c r="DT19" s="1">
        <v>0</v>
      </c>
      <c r="DU19" s="356">
        <f>CPP!X19</f>
        <v>0</v>
      </c>
      <c r="DV19" s="355">
        <f t="shared" si="33"/>
        <v>1.0000000002058584E-2</v>
      </c>
      <c r="DW19" s="355">
        <f t="shared" si="66"/>
        <v>0</v>
      </c>
      <c r="DX19" s="320">
        <v>0</v>
      </c>
      <c r="DY19" s="320">
        <v>0</v>
      </c>
      <c r="DZ19" s="356">
        <f>CPP!Y19</f>
        <v>0</v>
      </c>
      <c r="EA19" s="355">
        <f t="shared" si="34"/>
        <v>0</v>
      </c>
      <c r="EB19" s="129">
        <f t="shared" si="35"/>
        <v>2922.1269999999909</v>
      </c>
      <c r="EC19" s="170">
        <f t="shared" si="36"/>
        <v>64.14</v>
      </c>
      <c r="ED19" s="170">
        <f t="shared" si="69"/>
        <v>244.44</v>
      </c>
      <c r="EE19" s="129">
        <f t="shared" si="38"/>
        <v>2741.8269999999907</v>
      </c>
      <c r="EF19" s="18">
        <f t="shared" si="39"/>
        <v>4351.0699999999933</v>
      </c>
      <c r="EG19" s="170">
        <f t="shared" si="40"/>
        <v>32</v>
      </c>
      <c r="EH19" s="338">
        <f>CPP!D19+CPP!E19+CPP!F19+CPP!G19+CPP!H19+CPP!I19+CPP!J19+CPP!K19+CPP!L19+CPP!M19+CPP!N19+CPP!O19+CPP!P19+CPP!Q19+CPP!R19+CPP!S19+DA19+DF19+DK19+CPP!W19+DU19</f>
        <v>155</v>
      </c>
      <c r="EI19" s="351">
        <f>EF19+EG19-CPP!G19-CPP!E19-CPP!F19-CPP!P19-CPP!Q19-CL19-CQ19-DU19</f>
        <v>4228.0699999999933</v>
      </c>
      <c r="EJ19" s="358">
        <f t="shared" si="41"/>
        <v>21872.688569674923</v>
      </c>
      <c r="EK19" s="1">
        <v>1425</v>
      </c>
      <c r="EL19" s="359">
        <f>'Daily CEM-1'!AG20+'Daily  CEM - 2'!AF20-EQ19</f>
        <v>976.72800000015513</v>
      </c>
      <c r="EM19" s="349">
        <f t="shared" si="42"/>
        <v>22320.960569674768</v>
      </c>
      <c r="EN19" s="320">
        <v>0</v>
      </c>
      <c r="EO19" s="351">
        <f t="shared" si="67"/>
        <v>3685.480008000136</v>
      </c>
      <c r="EP19" s="1">
        <v>0</v>
      </c>
      <c r="EQ19" s="1">
        <v>1192.962</v>
      </c>
      <c r="ER19" s="360">
        <f t="shared" si="43"/>
        <v>2492.518008000136</v>
      </c>
      <c r="ES19" s="319">
        <f t="shared" si="44"/>
        <v>1597.29</v>
      </c>
      <c r="ET19" s="319">
        <v>1597.29</v>
      </c>
      <c r="EU19" s="361">
        <f t="shared" si="45"/>
        <v>2169.6900000001551</v>
      </c>
      <c r="EW19" s="51">
        <f>(EU19/Production2!CG19)*100</f>
        <v>77.076021314392719</v>
      </c>
      <c r="EX19" s="319">
        <v>71.967948717948744</v>
      </c>
    </row>
    <row r="20" spans="2:154">
      <c r="B20" s="4">
        <v>18</v>
      </c>
      <c r="C20" s="39">
        <f t="shared" si="3"/>
        <v>1558.92</v>
      </c>
      <c r="D20" s="1">
        <v>0</v>
      </c>
      <c r="E20" s="269">
        <f>F20+'RAW MILL 2'!F20</f>
        <v>88</v>
      </c>
      <c r="F20" s="1">
        <v>88</v>
      </c>
      <c r="G20" s="9">
        <f t="shared" si="4"/>
        <v>1470.92</v>
      </c>
      <c r="H20" s="39">
        <f t="shared" si="5"/>
        <v>1088.410016837518</v>
      </c>
      <c r="I20" s="33">
        <f>Production2!N20+Production2!Q20</f>
        <v>2080.7399999999998</v>
      </c>
      <c r="J20" s="33">
        <f>Production2!K20</f>
        <v>2092.5</v>
      </c>
      <c r="K20" s="18">
        <f t="shared" si="6"/>
        <v>1076.6500168375178</v>
      </c>
      <c r="L20" s="49">
        <f t="shared" si="7"/>
        <v>0</v>
      </c>
      <c r="M20" s="1">
        <v>0</v>
      </c>
      <c r="N20" s="33">
        <f>CPP!D20</f>
        <v>0</v>
      </c>
      <c r="O20" s="1">
        <v>0</v>
      </c>
      <c r="P20" s="33">
        <f t="shared" si="0"/>
        <v>0</v>
      </c>
      <c r="Q20" s="9">
        <f t="shared" si="48"/>
        <v>0</v>
      </c>
      <c r="R20" s="39">
        <f t="shared" si="8"/>
        <v>0</v>
      </c>
      <c r="S20" s="1">
        <v>0</v>
      </c>
      <c r="T20" s="33">
        <f>CPP!E20</f>
        <v>0</v>
      </c>
      <c r="U20" s="26">
        <v>0</v>
      </c>
      <c r="V20" s="38">
        <f t="shared" si="9"/>
        <v>0</v>
      </c>
      <c r="W20" s="9">
        <f t="shared" si="10"/>
        <v>0</v>
      </c>
      <c r="X20" s="39">
        <f t="shared" si="11"/>
        <v>3.9999999998087787E-2</v>
      </c>
      <c r="Y20" s="1">
        <v>0</v>
      </c>
      <c r="Z20" s="33">
        <f>CPP!H20</f>
        <v>0</v>
      </c>
      <c r="AA20" s="1">
        <v>0</v>
      </c>
      <c r="AB20" s="9">
        <f t="shared" si="12"/>
        <v>3.9999999998087787E-2</v>
      </c>
      <c r="AC20" s="39">
        <f t="shared" si="13"/>
        <v>0</v>
      </c>
      <c r="AD20" s="1">
        <v>0</v>
      </c>
      <c r="AE20" s="1">
        <v>0</v>
      </c>
      <c r="AF20" s="9">
        <f t="shared" si="1"/>
        <v>0</v>
      </c>
      <c r="AG20" s="39">
        <f t="shared" si="14"/>
        <v>4228.0199999999932</v>
      </c>
      <c r="AH20" s="1">
        <v>251.7</v>
      </c>
      <c r="AI20" s="1">
        <v>0</v>
      </c>
      <c r="AJ20" s="170">
        <f>CPP!G20</f>
        <v>164</v>
      </c>
      <c r="AK20" s="9">
        <f t="shared" si="68"/>
        <v>4315.719999999993</v>
      </c>
      <c r="AL20" s="129">
        <f t="shared" si="49"/>
        <v>0</v>
      </c>
      <c r="AM20" s="1">
        <v>0</v>
      </c>
      <c r="AN20" s="1">
        <v>0</v>
      </c>
      <c r="AO20" s="18">
        <f t="shared" si="15"/>
        <v>0</v>
      </c>
      <c r="AP20" s="129">
        <f t="shared" si="50"/>
        <v>0</v>
      </c>
      <c r="AQ20" s="1">
        <v>0</v>
      </c>
      <c r="AR20" s="1">
        <v>0</v>
      </c>
      <c r="AS20" s="171">
        <f>CPP!I20</f>
        <v>0</v>
      </c>
      <c r="AT20" s="129">
        <f t="shared" si="16"/>
        <v>0</v>
      </c>
      <c r="AU20" s="1">
        <f t="shared" si="51"/>
        <v>0</v>
      </c>
      <c r="AV20" s="1">
        <v>0</v>
      </c>
      <c r="AW20" s="1">
        <v>0</v>
      </c>
      <c r="AX20" s="170">
        <f>CPP!J20</f>
        <v>0</v>
      </c>
      <c r="AY20" s="1">
        <f t="shared" si="17"/>
        <v>0</v>
      </c>
      <c r="AZ20" s="1">
        <f t="shared" si="52"/>
        <v>2437.7669999999903</v>
      </c>
      <c r="BA20" s="1">
        <v>186.46</v>
      </c>
      <c r="BB20" s="1">
        <v>237.78</v>
      </c>
      <c r="BC20" s="170">
        <f>CPP!K20</f>
        <v>0</v>
      </c>
      <c r="BD20" s="1">
        <f t="shared" si="18"/>
        <v>2386.4469999999901</v>
      </c>
      <c r="BE20" s="1">
        <f t="shared" si="53"/>
        <v>0</v>
      </c>
      <c r="BF20" s="1">
        <v>0</v>
      </c>
      <c r="BG20" s="1">
        <v>0</v>
      </c>
      <c r="BH20" s="170">
        <f>CPP!L20</f>
        <v>0</v>
      </c>
      <c r="BI20" s="1">
        <f t="shared" si="19"/>
        <v>0</v>
      </c>
      <c r="BJ20" s="1">
        <f t="shared" si="54"/>
        <v>0</v>
      </c>
      <c r="BK20" s="1">
        <v>0</v>
      </c>
      <c r="BL20" s="1">
        <v>0</v>
      </c>
      <c r="BM20" s="170">
        <f>CPP!M20</f>
        <v>0</v>
      </c>
      <c r="BN20" s="1">
        <f t="shared" si="55"/>
        <v>0</v>
      </c>
      <c r="BO20" s="1">
        <f t="shared" si="20"/>
        <v>0</v>
      </c>
      <c r="BP20" s="1">
        <v>0</v>
      </c>
      <c r="BQ20" s="1">
        <v>0</v>
      </c>
      <c r="BR20" s="170">
        <f>CPP!N20</f>
        <v>0</v>
      </c>
      <c r="BS20" s="1">
        <f t="shared" si="21"/>
        <v>0</v>
      </c>
      <c r="BT20" s="1">
        <f t="shared" si="22"/>
        <v>0</v>
      </c>
      <c r="BU20" s="1">
        <v>0</v>
      </c>
      <c r="BV20" s="1">
        <v>0</v>
      </c>
      <c r="BW20" s="170">
        <f>CPP!O20</f>
        <v>0</v>
      </c>
      <c r="BX20" s="1">
        <f t="shared" si="23"/>
        <v>0</v>
      </c>
      <c r="BY20" s="174">
        <f t="shared" si="56"/>
        <v>0</v>
      </c>
      <c r="BZ20" s="1">
        <v>0</v>
      </c>
      <c r="CA20" s="1">
        <v>0</v>
      </c>
      <c r="CB20" s="170"/>
      <c r="CC20" s="26">
        <f t="shared" si="24"/>
        <v>0</v>
      </c>
      <c r="CD20" s="1">
        <f t="shared" si="57"/>
        <v>0</v>
      </c>
      <c r="CE20" s="1">
        <v>0</v>
      </c>
      <c r="CF20" s="1">
        <v>0</v>
      </c>
      <c r="CG20" s="170">
        <f>CPP!P20</f>
        <v>0</v>
      </c>
      <c r="CH20" s="26">
        <f t="shared" si="25"/>
        <v>0</v>
      </c>
      <c r="CI20" s="1">
        <f t="shared" si="58"/>
        <v>0</v>
      </c>
      <c r="CJ20" s="1">
        <v>0</v>
      </c>
      <c r="CK20" s="1">
        <v>0</v>
      </c>
      <c r="CL20" s="170">
        <f>CPP!Q20</f>
        <v>0</v>
      </c>
      <c r="CM20" s="1">
        <f t="shared" si="26"/>
        <v>0</v>
      </c>
      <c r="CN20" s="1">
        <f t="shared" si="59"/>
        <v>5.0000000000181899E-2</v>
      </c>
      <c r="CO20" s="1">
        <v>0</v>
      </c>
      <c r="CP20" s="1">
        <v>0</v>
      </c>
      <c r="CQ20" s="170">
        <f>CPP!R20</f>
        <v>0</v>
      </c>
      <c r="CR20" s="1">
        <f t="shared" si="27"/>
        <v>5.0000000000181899E-2</v>
      </c>
      <c r="CS20" s="129">
        <f t="shared" si="60"/>
        <v>0</v>
      </c>
      <c r="CT20" s="1">
        <v>0</v>
      </c>
      <c r="CU20" s="1">
        <v>0</v>
      </c>
      <c r="CV20" s="171">
        <f>CPP!S20</f>
        <v>0</v>
      </c>
      <c r="CW20" s="129">
        <f t="shared" si="28"/>
        <v>0</v>
      </c>
      <c r="CX20" s="129">
        <f t="shared" si="61"/>
        <v>0</v>
      </c>
      <c r="CY20" s="1">
        <v>0</v>
      </c>
      <c r="CZ20" s="1">
        <v>0</v>
      </c>
      <c r="DA20" s="171">
        <f>CPP!T20</f>
        <v>0</v>
      </c>
      <c r="DB20" s="129">
        <f t="shared" si="29"/>
        <v>0</v>
      </c>
      <c r="DC20" s="129">
        <f t="shared" si="62"/>
        <v>1.0000000000013998E-2</v>
      </c>
      <c r="DD20" s="1">
        <v>0</v>
      </c>
      <c r="DE20" s="1">
        <v>0</v>
      </c>
      <c r="DF20" s="171">
        <f>CPP!U20</f>
        <v>0</v>
      </c>
      <c r="DG20" s="129">
        <f t="shared" si="30"/>
        <v>1.0000000000013998E-2</v>
      </c>
      <c r="DH20" s="129">
        <f t="shared" si="63"/>
        <v>0</v>
      </c>
      <c r="DI20" s="1">
        <v>0</v>
      </c>
      <c r="DJ20" s="1">
        <v>0</v>
      </c>
      <c r="DK20" s="171">
        <f>CPP!V20</f>
        <v>0</v>
      </c>
      <c r="DL20" s="129">
        <f t="shared" si="31"/>
        <v>0</v>
      </c>
      <c r="DM20" s="129">
        <f t="shared" si="64"/>
        <v>304</v>
      </c>
      <c r="DN20" s="1">
        <v>0</v>
      </c>
      <c r="DO20" s="1">
        <v>0</v>
      </c>
      <c r="DP20" s="171">
        <f>CPP!W20</f>
        <v>0</v>
      </c>
      <c r="DQ20" s="129">
        <f t="shared" si="32"/>
        <v>304</v>
      </c>
      <c r="DR20" s="129">
        <f t="shared" si="65"/>
        <v>1.0000000002058584E-2</v>
      </c>
      <c r="DS20" s="1">
        <v>0</v>
      </c>
      <c r="DT20" s="1">
        <v>0</v>
      </c>
      <c r="DU20" s="171">
        <f>CPP!X20</f>
        <v>0</v>
      </c>
      <c r="DV20" s="129">
        <f t="shared" si="33"/>
        <v>1.0000000002058584E-2</v>
      </c>
      <c r="DW20" s="129">
        <f t="shared" si="66"/>
        <v>0</v>
      </c>
      <c r="DX20" s="1">
        <v>0</v>
      </c>
      <c r="DY20" s="1">
        <v>0</v>
      </c>
      <c r="DZ20" s="171">
        <f>CPP!Y20</f>
        <v>0</v>
      </c>
      <c r="EA20" s="129">
        <f t="shared" si="34"/>
        <v>0</v>
      </c>
      <c r="EB20" s="129">
        <f t="shared" si="35"/>
        <v>2741.8269999999907</v>
      </c>
      <c r="EC20" s="170">
        <f t="shared" si="36"/>
        <v>186.46</v>
      </c>
      <c r="ED20" s="170">
        <f t="shared" si="69"/>
        <v>237.78</v>
      </c>
      <c r="EE20" s="129">
        <f t="shared" si="38"/>
        <v>2690.5069999999905</v>
      </c>
      <c r="EF20" s="18">
        <f t="shared" si="39"/>
        <v>4228.0699999999933</v>
      </c>
      <c r="EG20" s="170">
        <f t="shared" si="40"/>
        <v>251.7</v>
      </c>
      <c r="EH20" s="170">
        <f>CPP!D20+CPP!E20+CPP!F20+CPP!G20+CPP!H20+CPP!I20+CPP!J20+CPP!K20+CPP!L20+CPP!M20+CPP!N20+CPP!O20+CPP!P20+CPP!Q20+CPP!R20+CPP!S20+DA20+DF20+DK20+CPP!W20+DU20</f>
        <v>164</v>
      </c>
      <c r="EI20" s="18">
        <f>EF20+EG20-CPP!G20-CPP!E20-CPP!F20-CPP!P20-CPP!Q20-CL20-CQ20-DU20</f>
        <v>4315.7699999999932</v>
      </c>
      <c r="EJ20" s="16">
        <f t="shared" si="41"/>
        <v>22320.960569674768</v>
      </c>
      <c r="EK20" s="1">
        <v>1350</v>
      </c>
      <c r="EL20" s="253">
        <f>'Daily CEM-1'!AG21+'Daily  CEM - 2'!AF21-EQ20</f>
        <v>1172.3580000000015</v>
      </c>
      <c r="EM20" s="9">
        <f t="shared" si="42"/>
        <v>22498.602569674767</v>
      </c>
      <c r="EN20" s="1">
        <v>0</v>
      </c>
      <c r="EO20" s="18">
        <f t="shared" si="67"/>
        <v>2492.518008000136</v>
      </c>
      <c r="EP20" s="1">
        <v>0</v>
      </c>
      <c r="EQ20" s="1">
        <v>1060.192</v>
      </c>
      <c r="ER20" s="17">
        <f t="shared" si="43"/>
        <v>1432.326008000136</v>
      </c>
      <c r="ES20">
        <f t="shared" si="44"/>
        <v>1322.99</v>
      </c>
      <c r="ET20">
        <v>1322.99</v>
      </c>
      <c r="EU20" s="51">
        <f t="shared" si="45"/>
        <v>2232.5500000000015</v>
      </c>
      <c r="EW20" s="51">
        <f>(EU20/Production2!CG20)*100</f>
        <v>79.450177935943117</v>
      </c>
      <c r="EX20">
        <v>73.707297514033741</v>
      </c>
    </row>
    <row r="21" spans="2:154" s="319" customFormat="1">
      <c r="B21" s="346">
        <v>19</v>
      </c>
      <c r="C21" s="347">
        <f t="shared" si="3"/>
        <v>1470.92</v>
      </c>
      <c r="D21" s="1">
        <v>0</v>
      </c>
      <c r="E21" s="269">
        <f>F21+'RAW MILL 2'!F21</f>
        <v>80</v>
      </c>
      <c r="F21" s="1">
        <v>80</v>
      </c>
      <c r="G21" s="349">
        <f t="shared" si="4"/>
        <v>1390.92</v>
      </c>
      <c r="H21" s="347">
        <f t="shared" si="5"/>
        <v>1076.6500168375178</v>
      </c>
      <c r="I21" s="33">
        <f>Production2!N21+Production2!Q21</f>
        <v>1893.3</v>
      </c>
      <c r="J21" s="350">
        <f>Production2!K21</f>
        <v>2069.25</v>
      </c>
      <c r="K21" s="18">
        <f t="shared" si="6"/>
        <v>900.70001683751798</v>
      </c>
      <c r="L21" s="352">
        <f t="shared" si="7"/>
        <v>0</v>
      </c>
      <c r="M21" s="320">
        <v>0</v>
      </c>
      <c r="N21" s="350">
        <f>CPP!D21</f>
        <v>0</v>
      </c>
      <c r="O21" s="320">
        <v>0</v>
      </c>
      <c r="P21" s="350">
        <f t="shared" si="0"/>
        <v>0</v>
      </c>
      <c r="Q21" s="349">
        <f t="shared" si="48"/>
        <v>0</v>
      </c>
      <c r="R21" s="347">
        <f t="shared" si="8"/>
        <v>0</v>
      </c>
      <c r="S21" s="320">
        <v>0</v>
      </c>
      <c r="T21" s="350">
        <f>CPP!E21</f>
        <v>0</v>
      </c>
      <c r="U21" s="353">
        <v>0</v>
      </c>
      <c r="V21" s="354">
        <f t="shared" si="9"/>
        <v>0</v>
      </c>
      <c r="W21" s="349">
        <f t="shared" si="10"/>
        <v>0</v>
      </c>
      <c r="X21" s="347">
        <f t="shared" si="11"/>
        <v>3.9999999998087787E-2</v>
      </c>
      <c r="Y21" s="1">
        <v>0</v>
      </c>
      <c r="Z21" s="350">
        <f>CPP!H21</f>
        <v>0</v>
      </c>
      <c r="AA21" s="1">
        <v>0</v>
      </c>
      <c r="AB21" s="349">
        <f t="shared" si="12"/>
        <v>3.9999999998087787E-2</v>
      </c>
      <c r="AC21" s="347">
        <f t="shared" si="13"/>
        <v>0</v>
      </c>
      <c r="AD21" s="320">
        <v>0</v>
      </c>
      <c r="AE21" s="320">
        <v>0</v>
      </c>
      <c r="AF21" s="349">
        <f t="shared" si="1"/>
        <v>0</v>
      </c>
      <c r="AG21" s="347">
        <f t="shared" si="14"/>
        <v>4315.719999999993</v>
      </c>
      <c r="AH21" s="1">
        <v>59.3</v>
      </c>
      <c r="AI21" s="1">
        <v>0</v>
      </c>
      <c r="AJ21" s="338">
        <f>CPP!G21</f>
        <v>172</v>
      </c>
      <c r="AK21" s="9">
        <f t="shared" si="68"/>
        <v>4203.0199999999932</v>
      </c>
      <c r="AL21" s="355">
        <f t="shared" si="49"/>
        <v>0</v>
      </c>
      <c r="AM21" s="320">
        <v>0</v>
      </c>
      <c r="AN21" s="320">
        <v>0</v>
      </c>
      <c r="AO21" s="351">
        <f t="shared" si="15"/>
        <v>0</v>
      </c>
      <c r="AP21" s="355">
        <f t="shared" si="50"/>
        <v>0</v>
      </c>
      <c r="AQ21" s="320">
        <v>0</v>
      </c>
      <c r="AR21" s="320">
        <v>0</v>
      </c>
      <c r="AS21" s="356">
        <f>CPP!I21</f>
        <v>0</v>
      </c>
      <c r="AT21" s="355">
        <f t="shared" si="16"/>
        <v>0</v>
      </c>
      <c r="AU21" s="320">
        <f t="shared" si="51"/>
        <v>0</v>
      </c>
      <c r="AV21" s="320">
        <v>0</v>
      </c>
      <c r="AW21" s="320">
        <v>0</v>
      </c>
      <c r="AX21" s="338">
        <f>CPP!J21</f>
        <v>0</v>
      </c>
      <c r="AY21" s="320">
        <f t="shared" si="17"/>
        <v>0</v>
      </c>
      <c r="AZ21" s="320">
        <f t="shared" si="52"/>
        <v>2386.4469999999901</v>
      </c>
      <c r="BA21" s="1">
        <v>120.74</v>
      </c>
      <c r="BB21" s="1">
        <v>236.67</v>
      </c>
      <c r="BC21" s="338">
        <f>CPP!K21</f>
        <v>0</v>
      </c>
      <c r="BD21" s="320">
        <f t="shared" si="18"/>
        <v>2270.5169999999898</v>
      </c>
      <c r="BE21" s="320">
        <f t="shared" si="53"/>
        <v>0</v>
      </c>
      <c r="BF21" s="320">
        <v>0</v>
      </c>
      <c r="BG21" s="320">
        <v>0</v>
      </c>
      <c r="BH21" s="338">
        <f>CPP!L21</f>
        <v>0</v>
      </c>
      <c r="BI21" s="320">
        <f t="shared" si="19"/>
        <v>0</v>
      </c>
      <c r="BJ21" s="320">
        <f t="shared" si="54"/>
        <v>0</v>
      </c>
      <c r="BK21" s="320">
        <v>0</v>
      </c>
      <c r="BL21" s="320">
        <v>0</v>
      </c>
      <c r="BM21" s="338">
        <f>CPP!M21</f>
        <v>0</v>
      </c>
      <c r="BN21" s="320">
        <f t="shared" si="55"/>
        <v>0</v>
      </c>
      <c r="BO21" s="320">
        <f t="shared" si="20"/>
        <v>0</v>
      </c>
      <c r="BP21" s="320">
        <v>0</v>
      </c>
      <c r="BQ21" s="320">
        <v>0</v>
      </c>
      <c r="BR21" s="338">
        <f>CPP!N21</f>
        <v>0</v>
      </c>
      <c r="BS21" s="320">
        <f t="shared" si="21"/>
        <v>0</v>
      </c>
      <c r="BT21" s="320">
        <f t="shared" si="22"/>
        <v>0</v>
      </c>
      <c r="BU21" s="320">
        <v>0</v>
      </c>
      <c r="BV21" s="320">
        <v>0</v>
      </c>
      <c r="BW21" s="338">
        <f>CPP!O21</f>
        <v>0</v>
      </c>
      <c r="BX21" s="320">
        <f t="shared" si="23"/>
        <v>0</v>
      </c>
      <c r="BY21" s="357">
        <f t="shared" si="56"/>
        <v>0</v>
      </c>
      <c r="BZ21" s="320">
        <v>0</v>
      </c>
      <c r="CA21" s="320">
        <v>0</v>
      </c>
      <c r="CB21" s="338"/>
      <c r="CC21" s="353">
        <f t="shared" si="24"/>
        <v>0</v>
      </c>
      <c r="CD21" s="320">
        <f t="shared" si="57"/>
        <v>0</v>
      </c>
      <c r="CE21" s="320">
        <v>0</v>
      </c>
      <c r="CF21" s="320">
        <v>0</v>
      </c>
      <c r="CG21" s="338">
        <f>CPP!P21</f>
        <v>0</v>
      </c>
      <c r="CH21" s="353">
        <f t="shared" si="25"/>
        <v>0</v>
      </c>
      <c r="CI21" s="320">
        <f t="shared" si="58"/>
        <v>0</v>
      </c>
      <c r="CJ21" s="320">
        <v>0</v>
      </c>
      <c r="CK21" s="320">
        <v>0</v>
      </c>
      <c r="CL21" s="338">
        <f>CPP!Q21</f>
        <v>0</v>
      </c>
      <c r="CM21" s="320">
        <f t="shared" si="26"/>
        <v>0</v>
      </c>
      <c r="CN21" s="320">
        <f t="shared" si="59"/>
        <v>5.0000000000181899E-2</v>
      </c>
      <c r="CO21" s="320">
        <v>0</v>
      </c>
      <c r="CP21" s="320">
        <v>0</v>
      </c>
      <c r="CQ21" s="338">
        <f>CPP!R21</f>
        <v>0</v>
      </c>
      <c r="CR21" s="320">
        <f t="shared" si="27"/>
        <v>5.0000000000181899E-2</v>
      </c>
      <c r="CS21" s="355">
        <f t="shared" si="60"/>
        <v>0</v>
      </c>
      <c r="CT21" s="320">
        <v>0</v>
      </c>
      <c r="CU21" s="320">
        <v>0</v>
      </c>
      <c r="CV21" s="356">
        <f>CPP!S21</f>
        <v>0</v>
      </c>
      <c r="CW21" s="355">
        <f t="shared" si="28"/>
        <v>0</v>
      </c>
      <c r="CX21" s="355">
        <f t="shared" si="61"/>
        <v>0</v>
      </c>
      <c r="CY21" s="320">
        <v>0</v>
      </c>
      <c r="CZ21" s="320">
        <v>0</v>
      </c>
      <c r="DA21" s="356">
        <f>CPP!T21</f>
        <v>0</v>
      </c>
      <c r="DB21" s="355">
        <f t="shared" si="29"/>
        <v>0</v>
      </c>
      <c r="DC21" s="355">
        <f t="shared" si="62"/>
        <v>1.0000000000013998E-2</v>
      </c>
      <c r="DD21" s="320">
        <v>0</v>
      </c>
      <c r="DE21" s="1">
        <v>0</v>
      </c>
      <c r="DF21" s="356">
        <f>CPP!U21</f>
        <v>0</v>
      </c>
      <c r="DG21" s="355">
        <f t="shared" si="30"/>
        <v>1.0000000000013998E-2</v>
      </c>
      <c r="DH21" s="355">
        <f t="shared" si="63"/>
        <v>0</v>
      </c>
      <c r="DI21" s="320">
        <v>0</v>
      </c>
      <c r="DJ21" s="320">
        <v>0</v>
      </c>
      <c r="DK21" s="356">
        <f>CPP!V21</f>
        <v>0</v>
      </c>
      <c r="DL21" s="355">
        <f t="shared" si="31"/>
        <v>0</v>
      </c>
      <c r="DM21" s="355">
        <f t="shared" si="64"/>
        <v>304</v>
      </c>
      <c r="DN21" s="1">
        <v>0</v>
      </c>
      <c r="DO21" s="320">
        <v>0</v>
      </c>
      <c r="DP21" s="356">
        <f>CPP!W21</f>
        <v>0</v>
      </c>
      <c r="DQ21" s="355">
        <f t="shared" si="32"/>
        <v>304</v>
      </c>
      <c r="DR21" s="355">
        <f t="shared" si="65"/>
        <v>1.0000000002058584E-2</v>
      </c>
      <c r="DS21" s="1">
        <v>0</v>
      </c>
      <c r="DT21" s="1">
        <v>0</v>
      </c>
      <c r="DU21" s="356">
        <f>CPP!X21</f>
        <v>0</v>
      </c>
      <c r="DV21" s="355">
        <f t="shared" si="33"/>
        <v>1.0000000002058584E-2</v>
      </c>
      <c r="DW21" s="355">
        <f t="shared" si="66"/>
        <v>0</v>
      </c>
      <c r="DX21" s="320">
        <v>0</v>
      </c>
      <c r="DY21" s="320">
        <v>0</v>
      </c>
      <c r="DZ21" s="356">
        <f>CPP!Y21</f>
        <v>0</v>
      </c>
      <c r="EA21" s="355">
        <f t="shared" si="34"/>
        <v>0</v>
      </c>
      <c r="EB21" s="129">
        <f t="shared" si="35"/>
        <v>2690.5069999999905</v>
      </c>
      <c r="EC21" s="170">
        <f t="shared" si="36"/>
        <v>120.74</v>
      </c>
      <c r="ED21" s="170">
        <f t="shared" si="69"/>
        <v>236.67</v>
      </c>
      <c r="EE21" s="129">
        <f t="shared" si="38"/>
        <v>2574.5769999999902</v>
      </c>
      <c r="EF21" s="18">
        <f t="shared" si="39"/>
        <v>4315.7699999999932</v>
      </c>
      <c r="EG21" s="170">
        <f t="shared" si="40"/>
        <v>59.3</v>
      </c>
      <c r="EH21" s="338">
        <f>CPP!D21+CPP!E21+CPP!F21+CPP!G21+CPP!H21+CPP!I21+CPP!J21+CPP!K21+CPP!L21+CPP!M21+CPP!N21+CPP!O21+CPP!P21+CPP!Q21+CPP!R21+CPP!S21+DA21+DF21+DK21+CPP!W21+DU21</f>
        <v>172</v>
      </c>
      <c r="EI21" s="351">
        <f>EF21+EG21-CPP!G21-CPP!E21-CPP!F21-CPP!P21-CPP!Q21-CL21-CQ21-DU21</f>
        <v>4203.0699999999933</v>
      </c>
      <c r="EJ21" s="358">
        <f t="shared" si="41"/>
        <v>22498.602569674767</v>
      </c>
      <c r="EK21" s="1">
        <v>1335</v>
      </c>
      <c r="EL21" s="359">
        <f>'Daily CEM-1'!AG22+'Daily  CEM - 2'!AF22-EQ21</f>
        <v>1332.0030021814002</v>
      </c>
      <c r="EM21" s="377">
        <f>EJ21+EK21-EL21-EN21</f>
        <v>22501.599567493366</v>
      </c>
      <c r="EN21" s="320">
        <v>0</v>
      </c>
      <c r="EO21" s="351">
        <f t="shared" si="67"/>
        <v>1432.326008000136</v>
      </c>
      <c r="EP21" s="1">
        <v>0</v>
      </c>
      <c r="EQ21" s="1">
        <v>1050.8050000000001</v>
      </c>
      <c r="ER21" s="360">
        <f t="shared" si="43"/>
        <v>381.52100800013591</v>
      </c>
      <c r="ES21" s="319">
        <f t="shared" si="44"/>
        <v>1142.58</v>
      </c>
      <c r="ET21" s="319">
        <v>1142.58</v>
      </c>
      <c r="EU21" s="361">
        <f t="shared" si="45"/>
        <v>2382.8080021814003</v>
      </c>
      <c r="EW21" s="51">
        <f>(EU21/Production2!CG21)*100</f>
        <v>79.960000073201357</v>
      </c>
      <c r="EX21" s="319">
        <v>76.916376306620265</v>
      </c>
    </row>
    <row r="22" spans="2:154" s="395" customFormat="1">
      <c r="B22" s="378">
        <v>20</v>
      </c>
      <c r="C22" s="379">
        <f t="shared" si="3"/>
        <v>1390.92</v>
      </c>
      <c r="D22" s="1">
        <v>0</v>
      </c>
      <c r="E22" s="269">
        <f>F22+'RAW MILL 2'!F22</f>
        <v>68</v>
      </c>
      <c r="F22" s="1">
        <v>68</v>
      </c>
      <c r="G22" s="382">
        <f t="shared" si="4"/>
        <v>1322.92</v>
      </c>
      <c r="H22" s="379">
        <f t="shared" si="5"/>
        <v>900.70001683751798</v>
      </c>
      <c r="I22" s="33">
        <f>Production2!N22+Production2!Q22</f>
        <v>1612.14</v>
      </c>
      <c r="J22" s="383">
        <f>Production2!K22</f>
        <v>1968.5</v>
      </c>
      <c r="K22" s="18">
        <f t="shared" si="6"/>
        <v>544.34001683751831</v>
      </c>
      <c r="L22" s="385">
        <f t="shared" si="7"/>
        <v>0</v>
      </c>
      <c r="M22" s="380">
        <v>0</v>
      </c>
      <c r="N22" s="383">
        <f>CPP!D22</f>
        <v>0</v>
      </c>
      <c r="O22" s="380">
        <v>0</v>
      </c>
      <c r="P22" s="383">
        <f t="shared" si="0"/>
        <v>0</v>
      </c>
      <c r="Q22" s="382">
        <f t="shared" si="48"/>
        <v>0</v>
      </c>
      <c r="R22" s="379">
        <f t="shared" si="8"/>
        <v>0</v>
      </c>
      <c r="S22" s="380">
        <v>0</v>
      </c>
      <c r="T22" s="383">
        <f>CPP!E22</f>
        <v>0</v>
      </c>
      <c r="U22" s="386">
        <v>0</v>
      </c>
      <c r="V22" s="387">
        <f t="shared" si="9"/>
        <v>0</v>
      </c>
      <c r="W22" s="382">
        <f t="shared" si="10"/>
        <v>0</v>
      </c>
      <c r="X22" s="379">
        <f t="shared" si="11"/>
        <v>3.9999999998087787E-2</v>
      </c>
      <c r="Y22" s="1">
        <v>0</v>
      </c>
      <c r="Z22" s="383">
        <f>CPP!H22</f>
        <v>0</v>
      </c>
      <c r="AA22" s="1">
        <v>0</v>
      </c>
      <c r="AB22" s="382">
        <f t="shared" si="12"/>
        <v>3.9999999998087787E-2</v>
      </c>
      <c r="AC22" s="379">
        <f t="shared" si="13"/>
        <v>0</v>
      </c>
      <c r="AD22" s="380">
        <v>0</v>
      </c>
      <c r="AE22" s="380">
        <v>0</v>
      </c>
      <c r="AF22" s="382">
        <f t="shared" si="1"/>
        <v>0</v>
      </c>
      <c r="AG22" s="379">
        <f t="shared" si="14"/>
        <v>4203.0199999999932</v>
      </c>
      <c r="AH22" s="1">
        <v>0</v>
      </c>
      <c r="AI22" s="1">
        <v>0</v>
      </c>
      <c r="AJ22" s="388">
        <f>CPP!G22</f>
        <v>171</v>
      </c>
      <c r="AK22" s="9">
        <f t="shared" si="68"/>
        <v>4032.0199999999932</v>
      </c>
      <c r="AL22" s="389">
        <f t="shared" si="49"/>
        <v>0</v>
      </c>
      <c r="AM22" s="380">
        <v>0</v>
      </c>
      <c r="AN22" s="380">
        <v>0</v>
      </c>
      <c r="AO22" s="384">
        <f t="shared" si="15"/>
        <v>0</v>
      </c>
      <c r="AP22" s="389">
        <f t="shared" si="50"/>
        <v>0</v>
      </c>
      <c r="AQ22" s="380">
        <v>0</v>
      </c>
      <c r="AR22" s="380">
        <v>0</v>
      </c>
      <c r="AS22" s="390">
        <f>CPP!I22</f>
        <v>0</v>
      </c>
      <c r="AT22" s="389">
        <f t="shared" si="16"/>
        <v>0</v>
      </c>
      <c r="AU22" s="380">
        <f t="shared" si="51"/>
        <v>0</v>
      </c>
      <c r="AV22" s="380">
        <v>0</v>
      </c>
      <c r="AW22" s="380">
        <v>0</v>
      </c>
      <c r="AX22" s="388">
        <f>CPP!J22</f>
        <v>0</v>
      </c>
      <c r="AY22" s="380">
        <f t="shared" si="17"/>
        <v>0</v>
      </c>
      <c r="AZ22" s="380">
        <f t="shared" si="52"/>
        <v>2270.5169999999898</v>
      </c>
      <c r="BA22" s="1">
        <v>0</v>
      </c>
      <c r="BB22" s="1">
        <v>227.78</v>
      </c>
      <c r="BC22" s="388">
        <f>CPP!K22</f>
        <v>0</v>
      </c>
      <c r="BD22" s="380">
        <f t="shared" si="18"/>
        <v>2042.7369999999898</v>
      </c>
      <c r="BE22" s="380">
        <f t="shared" si="53"/>
        <v>0</v>
      </c>
      <c r="BF22" s="380">
        <v>0</v>
      </c>
      <c r="BG22" s="380">
        <v>0</v>
      </c>
      <c r="BH22" s="388">
        <f>CPP!L22</f>
        <v>0</v>
      </c>
      <c r="BI22" s="380">
        <f t="shared" si="19"/>
        <v>0</v>
      </c>
      <c r="BJ22" s="380">
        <f t="shared" si="54"/>
        <v>0</v>
      </c>
      <c r="BK22" s="380">
        <v>0</v>
      </c>
      <c r="BL22" s="380">
        <v>0</v>
      </c>
      <c r="BM22" s="388">
        <f>CPP!M22</f>
        <v>0</v>
      </c>
      <c r="BN22" s="380">
        <f t="shared" si="55"/>
        <v>0</v>
      </c>
      <c r="BO22" s="380">
        <f t="shared" si="20"/>
        <v>0</v>
      </c>
      <c r="BP22" s="380">
        <v>0</v>
      </c>
      <c r="BQ22" s="380">
        <v>0</v>
      </c>
      <c r="BR22" s="388">
        <f>CPP!N22</f>
        <v>0</v>
      </c>
      <c r="BS22" s="380">
        <f t="shared" si="21"/>
        <v>0</v>
      </c>
      <c r="BT22" s="380">
        <f t="shared" si="22"/>
        <v>0</v>
      </c>
      <c r="BU22" s="380">
        <v>0</v>
      </c>
      <c r="BV22" s="380">
        <v>0</v>
      </c>
      <c r="BW22" s="388">
        <f>CPP!O22</f>
        <v>0</v>
      </c>
      <c r="BX22" s="380">
        <f t="shared" si="23"/>
        <v>0</v>
      </c>
      <c r="BY22" s="391">
        <f t="shared" si="56"/>
        <v>0</v>
      </c>
      <c r="BZ22" s="380">
        <v>0</v>
      </c>
      <c r="CA22" s="380">
        <v>0</v>
      </c>
      <c r="CB22" s="388"/>
      <c r="CC22" s="386">
        <f t="shared" si="24"/>
        <v>0</v>
      </c>
      <c r="CD22" s="380">
        <f t="shared" si="57"/>
        <v>0</v>
      </c>
      <c r="CE22" s="380">
        <v>0</v>
      </c>
      <c r="CF22" s="380">
        <v>0</v>
      </c>
      <c r="CG22" s="388">
        <f>CPP!P22</f>
        <v>0</v>
      </c>
      <c r="CH22" s="386">
        <f t="shared" si="25"/>
        <v>0</v>
      </c>
      <c r="CI22" s="380">
        <f t="shared" si="58"/>
        <v>0</v>
      </c>
      <c r="CJ22" s="380">
        <v>0</v>
      </c>
      <c r="CK22" s="380">
        <v>0</v>
      </c>
      <c r="CL22" s="388">
        <f>CPP!Q22</f>
        <v>0</v>
      </c>
      <c r="CM22" s="380">
        <f t="shared" si="26"/>
        <v>0</v>
      </c>
      <c r="CN22" s="380">
        <f t="shared" si="59"/>
        <v>5.0000000000181899E-2</v>
      </c>
      <c r="CO22" s="380">
        <v>0</v>
      </c>
      <c r="CP22" s="380">
        <v>0</v>
      </c>
      <c r="CQ22" s="388">
        <f>CPP!R22</f>
        <v>0</v>
      </c>
      <c r="CR22" s="380">
        <f t="shared" si="27"/>
        <v>5.0000000000181899E-2</v>
      </c>
      <c r="CS22" s="389">
        <f t="shared" si="60"/>
        <v>0</v>
      </c>
      <c r="CT22" s="380">
        <v>0</v>
      </c>
      <c r="CU22" s="380">
        <v>0</v>
      </c>
      <c r="CV22" s="390">
        <f>CPP!S22</f>
        <v>0</v>
      </c>
      <c r="CW22" s="389">
        <f t="shared" si="28"/>
        <v>0</v>
      </c>
      <c r="CX22" s="389">
        <f t="shared" si="61"/>
        <v>0</v>
      </c>
      <c r="CY22" s="380">
        <v>0</v>
      </c>
      <c r="CZ22" s="380">
        <v>0</v>
      </c>
      <c r="DA22" s="390">
        <f>CPP!T22</f>
        <v>0</v>
      </c>
      <c r="DB22" s="389">
        <f t="shared" si="29"/>
        <v>0</v>
      </c>
      <c r="DC22" s="389">
        <f t="shared" si="62"/>
        <v>1.0000000000013998E-2</v>
      </c>
      <c r="DD22" s="380">
        <v>0</v>
      </c>
      <c r="DE22" s="1">
        <v>0</v>
      </c>
      <c r="DF22" s="390">
        <f>CPP!U22</f>
        <v>0</v>
      </c>
      <c r="DG22" s="389">
        <f t="shared" si="30"/>
        <v>1.0000000000013998E-2</v>
      </c>
      <c r="DH22" s="389">
        <f t="shared" si="63"/>
        <v>0</v>
      </c>
      <c r="DI22" s="380">
        <v>0</v>
      </c>
      <c r="DJ22" s="380">
        <v>0</v>
      </c>
      <c r="DK22" s="390">
        <f>CPP!V22</f>
        <v>0</v>
      </c>
      <c r="DL22" s="389">
        <f t="shared" si="31"/>
        <v>0</v>
      </c>
      <c r="DM22" s="389">
        <f t="shared" si="64"/>
        <v>304</v>
      </c>
      <c r="DN22" s="1">
        <v>0</v>
      </c>
      <c r="DO22" s="380">
        <v>0</v>
      </c>
      <c r="DP22" s="390">
        <f>CPP!W22</f>
        <v>0</v>
      </c>
      <c r="DQ22" s="389">
        <f t="shared" si="32"/>
        <v>304</v>
      </c>
      <c r="DR22" s="389">
        <f t="shared" si="65"/>
        <v>1.0000000002058584E-2</v>
      </c>
      <c r="DS22" s="1">
        <v>0</v>
      </c>
      <c r="DT22" s="1">
        <v>0</v>
      </c>
      <c r="DU22" s="390">
        <f>CPP!X22</f>
        <v>0</v>
      </c>
      <c r="DV22" s="389">
        <f t="shared" si="33"/>
        <v>1.0000000002058584E-2</v>
      </c>
      <c r="DW22" s="389">
        <f t="shared" si="66"/>
        <v>0</v>
      </c>
      <c r="DX22" s="380">
        <v>0</v>
      </c>
      <c r="DY22" s="380">
        <v>0</v>
      </c>
      <c r="DZ22" s="390">
        <f>CPP!Y22</f>
        <v>0</v>
      </c>
      <c r="EA22" s="389">
        <f t="shared" si="34"/>
        <v>0</v>
      </c>
      <c r="EB22" s="129">
        <f t="shared" si="35"/>
        <v>2574.5769999999902</v>
      </c>
      <c r="EC22" s="170">
        <f t="shared" si="36"/>
        <v>0</v>
      </c>
      <c r="ED22" s="170">
        <f t="shared" si="69"/>
        <v>227.78</v>
      </c>
      <c r="EE22" s="129">
        <f t="shared" si="38"/>
        <v>2346.79699999999</v>
      </c>
      <c r="EF22" s="18">
        <f t="shared" si="39"/>
        <v>4203.0699999999933</v>
      </c>
      <c r="EG22" s="170">
        <f t="shared" si="40"/>
        <v>0</v>
      </c>
      <c r="EH22" s="388">
        <f>CPP!D22+CPP!E22+CPP!F22+CPP!G22+CPP!H22+CPP!I22+CPP!J22+CPP!K22+CPP!L22+CPP!M22+CPP!N22+CPP!O22+CPP!P22+CPP!Q22+CPP!R22+CPP!S22+DA22+DF22+DK22+CPP!W22+DU22</f>
        <v>171</v>
      </c>
      <c r="EI22" s="384">
        <f>EF22+EG22-CPP!G22-CPP!E22-CPP!F22-CPP!P22-CPP!Q22-CL22-CQ22-DU22</f>
        <v>4032.0699999999933</v>
      </c>
      <c r="EJ22" s="392">
        <f t="shared" si="41"/>
        <v>22501.599567493366</v>
      </c>
      <c r="EK22" s="1">
        <v>1270</v>
      </c>
      <c r="EL22" s="393">
        <f>'Daily CEM-1'!AG23+'Daily  CEM - 2'!AF23-EQ22</f>
        <v>2446.5670030946003</v>
      </c>
      <c r="EM22" s="382">
        <f t="shared" si="42"/>
        <v>21325.032564398767</v>
      </c>
      <c r="EN22" s="380">
        <v>0</v>
      </c>
      <c r="EO22" s="384">
        <f t="shared" si="67"/>
        <v>381.52100800013591</v>
      </c>
      <c r="EP22" s="1">
        <v>0</v>
      </c>
      <c r="EQ22" s="1">
        <v>0</v>
      </c>
      <c r="ER22" s="394">
        <f t="shared" si="43"/>
        <v>381.52100800013591</v>
      </c>
      <c r="ES22" s="395">
        <f t="shared" si="44"/>
        <v>1111.95</v>
      </c>
      <c r="ET22" s="395">
        <v>1111.95</v>
      </c>
      <c r="EU22" s="396">
        <f t="shared" si="45"/>
        <v>2446.5670030946003</v>
      </c>
      <c r="EW22" s="51">
        <f>(EU22/Production2!CG22)*100</f>
        <v>81.389454527431809</v>
      </c>
      <c r="EX22" s="395">
        <v>77.48419429452585</v>
      </c>
    </row>
    <row r="23" spans="2:154" s="319" customFormat="1">
      <c r="B23" s="346">
        <v>21</v>
      </c>
      <c r="C23" s="347">
        <f t="shared" si="3"/>
        <v>1322.92</v>
      </c>
      <c r="D23" s="1">
        <v>0</v>
      </c>
      <c r="E23" s="269">
        <f>F23+'RAW MILL 2'!F23</f>
        <v>42</v>
      </c>
      <c r="F23" s="1">
        <v>42</v>
      </c>
      <c r="G23" s="349">
        <f t="shared" si="4"/>
        <v>1280.92</v>
      </c>
      <c r="H23" s="347">
        <f t="shared" si="5"/>
        <v>544.34001683751831</v>
      </c>
      <c r="I23" s="33">
        <f>Production2!N23+Production2!Q23</f>
        <v>1809.96</v>
      </c>
      <c r="J23" s="350">
        <f>Production2!K23</f>
        <v>1798</v>
      </c>
      <c r="K23" s="18">
        <f t="shared" si="6"/>
        <v>556.30001683751834</v>
      </c>
      <c r="L23" s="352">
        <f t="shared" si="7"/>
        <v>0</v>
      </c>
      <c r="M23" s="320">
        <v>0</v>
      </c>
      <c r="N23" s="350">
        <f>CPP!D23</f>
        <v>0</v>
      </c>
      <c r="O23" s="320">
        <v>0</v>
      </c>
      <c r="P23" s="350">
        <f t="shared" si="0"/>
        <v>0</v>
      </c>
      <c r="Q23" s="349">
        <f t="shared" si="48"/>
        <v>0</v>
      </c>
      <c r="R23" s="347">
        <f t="shared" si="8"/>
        <v>0</v>
      </c>
      <c r="S23" s="320">
        <v>0</v>
      </c>
      <c r="T23" s="350">
        <f>CPP!E23</f>
        <v>0</v>
      </c>
      <c r="U23" s="353">
        <v>0</v>
      </c>
      <c r="V23" s="354">
        <f t="shared" si="9"/>
        <v>0</v>
      </c>
      <c r="W23" s="349">
        <f>R23+S23-V23</f>
        <v>0</v>
      </c>
      <c r="X23" s="347">
        <f t="shared" si="11"/>
        <v>3.9999999998087787E-2</v>
      </c>
      <c r="Y23" s="1">
        <v>0</v>
      </c>
      <c r="Z23" s="350">
        <f>CPP!H23</f>
        <v>0</v>
      </c>
      <c r="AA23" s="1">
        <v>0</v>
      </c>
      <c r="AB23" s="349">
        <f t="shared" si="12"/>
        <v>3.9999999998087787E-2</v>
      </c>
      <c r="AC23" s="347">
        <f t="shared" si="13"/>
        <v>0</v>
      </c>
      <c r="AD23" s="320">
        <v>0</v>
      </c>
      <c r="AE23" s="320">
        <v>0</v>
      </c>
      <c r="AF23" s="349">
        <f t="shared" si="1"/>
        <v>0</v>
      </c>
      <c r="AG23" s="347">
        <f t="shared" si="14"/>
        <v>4032.0199999999932</v>
      </c>
      <c r="AH23" s="1">
        <v>0</v>
      </c>
      <c r="AI23" s="1">
        <v>0</v>
      </c>
      <c r="AJ23" s="338">
        <f>CPP!G23</f>
        <v>144</v>
      </c>
      <c r="AK23" s="9">
        <f t="shared" si="68"/>
        <v>3888.0199999999932</v>
      </c>
      <c r="AL23" s="355">
        <f t="shared" si="49"/>
        <v>0</v>
      </c>
      <c r="AM23" s="320">
        <v>0</v>
      </c>
      <c r="AN23" s="320">
        <v>0</v>
      </c>
      <c r="AO23" s="351">
        <f t="shared" si="15"/>
        <v>0</v>
      </c>
      <c r="AP23" s="355">
        <f t="shared" si="50"/>
        <v>0</v>
      </c>
      <c r="AQ23" s="320">
        <v>0</v>
      </c>
      <c r="AR23" s="320">
        <v>0</v>
      </c>
      <c r="AS23" s="356">
        <f>CPP!I23</f>
        <v>0</v>
      </c>
      <c r="AT23" s="355">
        <f t="shared" si="16"/>
        <v>0</v>
      </c>
      <c r="AU23" s="320">
        <f t="shared" si="51"/>
        <v>0</v>
      </c>
      <c r="AV23" s="320">
        <v>0</v>
      </c>
      <c r="AW23" s="320">
        <v>0</v>
      </c>
      <c r="AX23" s="338">
        <f>CPP!J23</f>
        <v>0</v>
      </c>
      <c r="AY23" s="320">
        <f t="shared" si="17"/>
        <v>0</v>
      </c>
      <c r="AZ23" s="320">
        <f t="shared" si="52"/>
        <v>2042.7369999999898</v>
      </c>
      <c r="BA23" s="1">
        <v>0</v>
      </c>
      <c r="BB23" s="1">
        <v>211.11</v>
      </c>
      <c r="BC23" s="338">
        <f>CPP!K23</f>
        <v>0</v>
      </c>
      <c r="BD23" s="320">
        <f t="shared" si="18"/>
        <v>1831.6269999999899</v>
      </c>
      <c r="BE23" s="320">
        <f t="shared" si="53"/>
        <v>0</v>
      </c>
      <c r="BF23" s="320">
        <v>0</v>
      </c>
      <c r="BG23" s="320">
        <v>0</v>
      </c>
      <c r="BH23" s="338">
        <f>CPP!L23</f>
        <v>0</v>
      </c>
      <c r="BI23" s="320">
        <f t="shared" si="19"/>
        <v>0</v>
      </c>
      <c r="BJ23" s="320">
        <f t="shared" si="54"/>
        <v>0</v>
      </c>
      <c r="BK23" s="320">
        <v>0</v>
      </c>
      <c r="BL23" s="320">
        <v>0</v>
      </c>
      <c r="BM23" s="338">
        <f>CPP!M23</f>
        <v>0</v>
      </c>
      <c r="BN23" s="320">
        <f t="shared" si="55"/>
        <v>0</v>
      </c>
      <c r="BO23" s="320">
        <f t="shared" si="20"/>
        <v>0</v>
      </c>
      <c r="BP23" s="320">
        <v>0</v>
      </c>
      <c r="BQ23" s="320">
        <v>0</v>
      </c>
      <c r="BR23" s="338">
        <f>CPP!N23</f>
        <v>0</v>
      </c>
      <c r="BS23" s="320">
        <f t="shared" si="21"/>
        <v>0</v>
      </c>
      <c r="BT23" s="320">
        <f t="shared" si="22"/>
        <v>0</v>
      </c>
      <c r="BU23" s="320">
        <v>0</v>
      </c>
      <c r="BV23" s="320">
        <v>0</v>
      </c>
      <c r="BW23" s="338">
        <f>CPP!O23</f>
        <v>0</v>
      </c>
      <c r="BX23" s="320">
        <f t="shared" si="23"/>
        <v>0</v>
      </c>
      <c r="BY23" s="357">
        <f t="shared" si="56"/>
        <v>0</v>
      </c>
      <c r="BZ23" s="320">
        <v>0</v>
      </c>
      <c r="CA23" s="320">
        <v>0</v>
      </c>
      <c r="CB23" s="338"/>
      <c r="CC23" s="353">
        <f t="shared" si="24"/>
        <v>0</v>
      </c>
      <c r="CD23" s="320">
        <f t="shared" si="57"/>
        <v>0</v>
      </c>
      <c r="CE23" s="320">
        <v>0</v>
      </c>
      <c r="CF23" s="320">
        <v>0</v>
      </c>
      <c r="CG23" s="338">
        <f>CPP!P23</f>
        <v>0</v>
      </c>
      <c r="CH23" s="353">
        <f t="shared" si="25"/>
        <v>0</v>
      </c>
      <c r="CI23" s="320">
        <f t="shared" si="58"/>
        <v>0</v>
      </c>
      <c r="CJ23" s="320">
        <v>0</v>
      </c>
      <c r="CK23" s="320">
        <v>0</v>
      </c>
      <c r="CL23" s="338">
        <f>CPP!Q23</f>
        <v>0</v>
      </c>
      <c r="CM23" s="320">
        <f t="shared" si="26"/>
        <v>0</v>
      </c>
      <c r="CN23" s="320">
        <f t="shared" si="59"/>
        <v>5.0000000000181899E-2</v>
      </c>
      <c r="CO23" s="320">
        <v>0</v>
      </c>
      <c r="CP23" s="320">
        <v>0</v>
      </c>
      <c r="CQ23" s="338">
        <f>CPP!R23</f>
        <v>0</v>
      </c>
      <c r="CR23" s="320">
        <f t="shared" si="27"/>
        <v>5.0000000000181899E-2</v>
      </c>
      <c r="CS23" s="355">
        <f t="shared" si="60"/>
        <v>0</v>
      </c>
      <c r="CT23" s="320">
        <v>0</v>
      </c>
      <c r="CU23" s="320">
        <v>0</v>
      </c>
      <c r="CV23" s="356">
        <f>CPP!S23</f>
        <v>0</v>
      </c>
      <c r="CW23" s="355">
        <f t="shared" si="28"/>
        <v>0</v>
      </c>
      <c r="CX23" s="355">
        <f t="shared" si="61"/>
        <v>0</v>
      </c>
      <c r="CY23" s="320">
        <v>0</v>
      </c>
      <c r="CZ23" s="320">
        <v>0</v>
      </c>
      <c r="DA23" s="356">
        <f>CPP!T23</f>
        <v>0</v>
      </c>
      <c r="DB23" s="355">
        <f t="shared" si="29"/>
        <v>0</v>
      </c>
      <c r="DC23" s="355">
        <f t="shared" si="62"/>
        <v>1.0000000000013998E-2</v>
      </c>
      <c r="DD23" s="320">
        <v>0</v>
      </c>
      <c r="DE23" s="1">
        <v>0</v>
      </c>
      <c r="DF23" s="356">
        <f>CPP!U23</f>
        <v>0</v>
      </c>
      <c r="DG23" s="355">
        <f t="shared" si="30"/>
        <v>1.0000000000013998E-2</v>
      </c>
      <c r="DH23" s="355">
        <f t="shared" si="63"/>
        <v>0</v>
      </c>
      <c r="DI23" s="320">
        <v>0</v>
      </c>
      <c r="DJ23" s="320">
        <v>0</v>
      </c>
      <c r="DK23" s="356">
        <f>CPP!V23</f>
        <v>0</v>
      </c>
      <c r="DL23" s="355">
        <f t="shared" si="31"/>
        <v>0</v>
      </c>
      <c r="DM23" s="355">
        <f t="shared" si="64"/>
        <v>304</v>
      </c>
      <c r="DN23" s="1">
        <v>0</v>
      </c>
      <c r="DO23" s="320">
        <v>0</v>
      </c>
      <c r="DP23" s="356">
        <f>CPP!W23</f>
        <v>0</v>
      </c>
      <c r="DQ23" s="355">
        <f t="shared" si="32"/>
        <v>304</v>
      </c>
      <c r="DR23" s="355">
        <f t="shared" si="65"/>
        <v>1.0000000002058584E-2</v>
      </c>
      <c r="DS23" s="1">
        <v>0</v>
      </c>
      <c r="DT23" s="1">
        <v>0</v>
      </c>
      <c r="DU23" s="356">
        <f>CPP!X23</f>
        <v>0</v>
      </c>
      <c r="DV23" s="355">
        <f t="shared" si="33"/>
        <v>1.0000000002058584E-2</v>
      </c>
      <c r="DW23" s="355">
        <f t="shared" si="66"/>
        <v>0</v>
      </c>
      <c r="DX23" s="320">
        <v>0</v>
      </c>
      <c r="DY23" s="320">
        <v>0</v>
      </c>
      <c r="DZ23" s="356">
        <f>CPP!Y23</f>
        <v>0</v>
      </c>
      <c r="EA23" s="355">
        <f t="shared" si="34"/>
        <v>0</v>
      </c>
      <c r="EB23" s="129">
        <f t="shared" si="35"/>
        <v>2346.79699999999</v>
      </c>
      <c r="EC23" s="170">
        <f t="shared" si="36"/>
        <v>0</v>
      </c>
      <c r="ED23" s="170">
        <f t="shared" si="69"/>
        <v>211.11</v>
      </c>
      <c r="EE23" s="129">
        <f t="shared" si="38"/>
        <v>2135.6869999999899</v>
      </c>
      <c r="EF23" s="18">
        <f t="shared" si="39"/>
        <v>4032.0699999999933</v>
      </c>
      <c r="EG23" s="170">
        <f t="shared" si="40"/>
        <v>0</v>
      </c>
      <c r="EH23" s="338">
        <f>CPP!D23+CPP!E23+CPP!F23+CPP!G23+CPP!H23+CPP!I23+CPP!J23+CPP!K23+CPP!L23+CPP!M23+CPP!N23+CPP!O23+CPP!P23+CPP!Q23+CPP!R23+CPP!S23+DA23+DF23+DK23+CPP!W23+DU23</f>
        <v>144</v>
      </c>
      <c r="EI23" s="351">
        <f>EF23+EG23-CPP!G23-CPP!E23-CPP!F23-CPP!P23-CPP!Q23-CL23-CQ23-DU23</f>
        <v>3888.0699999999933</v>
      </c>
      <c r="EJ23" s="358">
        <f t="shared" si="41"/>
        <v>21325.032564398767</v>
      </c>
      <c r="EK23" s="1">
        <v>1160</v>
      </c>
      <c r="EL23" s="359">
        <f>'Daily CEM-1'!AG24+'Daily  CEM - 2'!AF24-EQ23</f>
        <v>2192.277000000001</v>
      </c>
      <c r="EM23" s="349">
        <f t="shared" si="42"/>
        <v>20292.755564398765</v>
      </c>
      <c r="EN23" s="320">
        <v>0</v>
      </c>
      <c r="EO23" s="351">
        <f t="shared" si="67"/>
        <v>381.52100800013591</v>
      </c>
      <c r="EP23" s="1">
        <v>0</v>
      </c>
      <c r="EQ23" s="1">
        <v>291.76299999999998</v>
      </c>
      <c r="ER23" s="360">
        <f t="shared" si="43"/>
        <v>89.758008000135931</v>
      </c>
      <c r="ES23" s="319">
        <f t="shared" si="44"/>
        <v>0</v>
      </c>
      <c r="EU23" s="361">
        <f t="shared" si="45"/>
        <v>2484.0400000000009</v>
      </c>
      <c r="EW23" s="51">
        <f>(EU23/Production2!CG23)*100</f>
        <v>82.526245847176099</v>
      </c>
      <c r="EX23" s="319">
        <v>76.9458789857093</v>
      </c>
    </row>
    <row r="24" spans="2:154" s="319" customFormat="1">
      <c r="B24" s="346">
        <v>22</v>
      </c>
      <c r="C24" s="347">
        <f t="shared" si="3"/>
        <v>1280.92</v>
      </c>
      <c r="D24" s="1">
        <v>29.72</v>
      </c>
      <c r="E24" s="269">
        <f>F24+'RAW MILL 2'!F24</f>
        <v>55</v>
      </c>
      <c r="F24" s="1">
        <v>55</v>
      </c>
      <c r="G24" s="349">
        <f t="shared" si="4"/>
        <v>1255.6400000000001</v>
      </c>
      <c r="H24" s="347">
        <f t="shared" si="5"/>
        <v>556.30001683751834</v>
      </c>
      <c r="I24" s="33">
        <f>Production2!N24+Production2!Q24</f>
        <v>1509.63</v>
      </c>
      <c r="J24" s="350">
        <f>Production2!K24</f>
        <v>1557.75</v>
      </c>
      <c r="K24" s="18">
        <f t="shared" si="6"/>
        <v>508.18001683751845</v>
      </c>
      <c r="L24" s="352">
        <f t="shared" si="7"/>
        <v>0</v>
      </c>
      <c r="M24" s="320">
        <v>0</v>
      </c>
      <c r="N24" s="350">
        <f>CPP!D24</f>
        <v>0</v>
      </c>
      <c r="O24" s="320">
        <v>0</v>
      </c>
      <c r="P24" s="350">
        <f t="shared" si="0"/>
        <v>0</v>
      </c>
      <c r="Q24" s="349">
        <f t="shared" si="48"/>
        <v>0</v>
      </c>
      <c r="R24" s="347">
        <f t="shared" si="8"/>
        <v>0</v>
      </c>
      <c r="S24" s="320">
        <v>0</v>
      </c>
      <c r="T24" s="350">
        <f>CPP!E24</f>
        <v>0</v>
      </c>
      <c r="U24" s="353">
        <v>0</v>
      </c>
      <c r="V24" s="354">
        <f t="shared" si="9"/>
        <v>0</v>
      </c>
      <c r="W24" s="349">
        <f t="shared" si="10"/>
        <v>0</v>
      </c>
      <c r="X24" s="347">
        <f t="shared" si="11"/>
        <v>3.9999999998087787E-2</v>
      </c>
      <c r="Y24" s="1">
        <v>0</v>
      </c>
      <c r="Z24" s="350">
        <f>CPP!H24</f>
        <v>0</v>
      </c>
      <c r="AA24" s="1">
        <v>0</v>
      </c>
      <c r="AB24" s="349">
        <f t="shared" si="12"/>
        <v>3.9999999998087787E-2</v>
      </c>
      <c r="AC24" s="347">
        <f t="shared" si="13"/>
        <v>0</v>
      </c>
      <c r="AD24" s="320">
        <v>0</v>
      </c>
      <c r="AE24" s="320">
        <v>0</v>
      </c>
      <c r="AF24" s="349">
        <f t="shared" si="1"/>
        <v>0</v>
      </c>
      <c r="AG24" s="347">
        <f t="shared" si="14"/>
        <v>3888.0199999999932</v>
      </c>
      <c r="AH24" s="1">
        <v>330.25</v>
      </c>
      <c r="AI24" s="1">
        <v>0</v>
      </c>
      <c r="AJ24" s="338">
        <f>CPP!G24</f>
        <v>161</v>
      </c>
      <c r="AK24" s="9">
        <f t="shared" si="68"/>
        <v>4057.2699999999932</v>
      </c>
      <c r="AL24" s="355">
        <f t="shared" si="49"/>
        <v>0</v>
      </c>
      <c r="AM24" s="320">
        <v>0</v>
      </c>
      <c r="AN24" s="320">
        <v>0</v>
      </c>
      <c r="AO24" s="351">
        <f t="shared" si="15"/>
        <v>0</v>
      </c>
      <c r="AP24" s="355">
        <f t="shared" si="50"/>
        <v>0</v>
      </c>
      <c r="AQ24" s="320">
        <v>0</v>
      </c>
      <c r="AR24" s="320">
        <v>0</v>
      </c>
      <c r="AS24" s="356">
        <f>CPP!I24</f>
        <v>0</v>
      </c>
      <c r="AT24" s="355">
        <f t="shared" si="16"/>
        <v>0</v>
      </c>
      <c r="AU24" s="320">
        <f t="shared" si="51"/>
        <v>0</v>
      </c>
      <c r="AV24" s="320">
        <v>0</v>
      </c>
      <c r="AW24" s="320">
        <v>0</v>
      </c>
      <c r="AX24" s="338">
        <f>CPP!J24</f>
        <v>0</v>
      </c>
      <c r="AY24" s="320">
        <f t="shared" si="17"/>
        <v>0</v>
      </c>
      <c r="AZ24" s="320">
        <f t="shared" si="52"/>
        <v>1831.6269999999899</v>
      </c>
      <c r="BA24" s="1">
        <v>1009.82</v>
      </c>
      <c r="BB24" s="1">
        <v>169</v>
      </c>
      <c r="BC24" s="338">
        <f>CPP!K24</f>
        <v>0</v>
      </c>
      <c r="BD24" s="320">
        <f t="shared" si="18"/>
        <v>2672.4469999999901</v>
      </c>
      <c r="BE24" s="320">
        <f t="shared" si="53"/>
        <v>0</v>
      </c>
      <c r="BF24" s="320">
        <v>0</v>
      </c>
      <c r="BG24" s="320">
        <v>0</v>
      </c>
      <c r="BH24" s="338">
        <f>CPP!L24</f>
        <v>0</v>
      </c>
      <c r="BI24" s="320">
        <f t="shared" si="19"/>
        <v>0</v>
      </c>
      <c r="BJ24" s="320">
        <f t="shared" si="54"/>
        <v>0</v>
      </c>
      <c r="BK24" s="320">
        <v>0</v>
      </c>
      <c r="BL24" s="320">
        <v>0</v>
      </c>
      <c r="BM24" s="338">
        <f>CPP!M24</f>
        <v>0</v>
      </c>
      <c r="BN24" s="320">
        <f t="shared" si="55"/>
        <v>0</v>
      </c>
      <c r="BO24" s="320">
        <f t="shared" si="20"/>
        <v>0</v>
      </c>
      <c r="BP24" s="320">
        <v>0</v>
      </c>
      <c r="BQ24" s="320">
        <v>0</v>
      </c>
      <c r="BR24" s="338">
        <f>CPP!N24</f>
        <v>0</v>
      </c>
      <c r="BS24" s="320">
        <f>BO24+BP24-BQ24-BR24</f>
        <v>0</v>
      </c>
      <c r="BT24" s="320">
        <f t="shared" si="22"/>
        <v>0</v>
      </c>
      <c r="BU24" s="320">
        <v>0</v>
      </c>
      <c r="BV24" s="320">
        <v>0</v>
      </c>
      <c r="BW24" s="338">
        <f>CPP!O24</f>
        <v>0</v>
      </c>
      <c r="BX24" s="320">
        <f t="shared" si="23"/>
        <v>0</v>
      </c>
      <c r="BY24" s="357">
        <f t="shared" si="56"/>
        <v>0</v>
      </c>
      <c r="BZ24" s="320">
        <v>0</v>
      </c>
      <c r="CA24" s="320">
        <v>0</v>
      </c>
      <c r="CB24" s="338"/>
      <c r="CC24" s="353">
        <f t="shared" si="24"/>
        <v>0</v>
      </c>
      <c r="CD24" s="320">
        <f t="shared" si="57"/>
        <v>0</v>
      </c>
      <c r="CE24" s="320">
        <v>0</v>
      </c>
      <c r="CF24" s="320">
        <v>0</v>
      </c>
      <c r="CG24" s="338">
        <f>CPP!P24</f>
        <v>0</v>
      </c>
      <c r="CH24" s="353">
        <f t="shared" si="25"/>
        <v>0</v>
      </c>
      <c r="CI24" s="320">
        <f t="shared" si="58"/>
        <v>0</v>
      </c>
      <c r="CJ24" s="320">
        <v>0</v>
      </c>
      <c r="CK24" s="320">
        <v>0</v>
      </c>
      <c r="CL24" s="338">
        <f>CPP!Q24</f>
        <v>0</v>
      </c>
      <c r="CM24" s="320">
        <f t="shared" si="26"/>
        <v>0</v>
      </c>
      <c r="CN24" s="320">
        <f t="shared" si="59"/>
        <v>5.0000000000181899E-2</v>
      </c>
      <c r="CO24" s="320">
        <v>0</v>
      </c>
      <c r="CP24" s="320">
        <v>0</v>
      </c>
      <c r="CQ24" s="338">
        <f>CPP!R24</f>
        <v>0</v>
      </c>
      <c r="CR24" s="320">
        <f t="shared" si="27"/>
        <v>5.0000000000181899E-2</v>
      </c>
      <c r="CS24" s="355">
        <f t="shared" si="60"/>
        <v>0</v>
      </c>
      <c r="CT24" s="320">
        <v>0</v>
      </c>
      <c r="CU24" s="320">
        <v>0</v>
      </c>
      <c r="CV24" s="356">
        <f>CPP!S24</f>
        <v>0</v>
      </c>
      <c r="CW24" s="355">
        <f t="shared" si="28"/>
        <v>0</v>
      </c>
      <c r="CX24" s="355">
        <f t="shared" si="61"/>
        <v>0</v>
      </c>
      <c r="CY24" s="320">
        <v>0</v>
      </c>
      <c r="CZ24" s="320">
        <v>0</v>
      </c>
      <c r="DA24" s="356">
        <f>CPP!T24</f>
        <v>0</v>
      </c>
      <c r="DB24" s="355">
        <f t="shared" si="29"/>
        <v>0</v>
      </c>
      <c r="DC24" s="355">
        <f t="shared" si="62"/>
        <v>1.0000000000013998E-2</v>
      </c>
      <c r="DD24" s="320">
        <v>0</v>
      </c>
      <c r="DE24" s="1">
        <v>0</v>
      </c>
      <c r="DF24" s="356">
        <f>CPP!U24</f>
        <v>0</v>
      </c>
      <c r="DG24" s="355">
        <f t="shared" si="30"/>
        <v>1.0000000000013998E-2</v>
      </c>
      <c r="DH24" s="355">
        <f t="shared" si="63"/>
        <v>0</v>
      </c>
      <c r="DI24" s="320">
        <v>0</v>
      </c>
      <c r="DJ24" s="320">
        <v>0</v>
      </c>
      <c r="DK24" s="356">
        <f>CPP!V24</f>
        <v>0</v>
      </c>
      <c r="DL24" s="355">
        <f t="shared" si="31"/>
        <v>0</v>
      </c>
      <c r="DM24" s="355">
        <f t="shared" si="64"/>
        <v>304</v>
      </c>
      <c r="DN24" s="1">
        <v>0</v>
      </c>
      <c r="DO24" s="320">
        <v>0</v>
      </c>
      <c r="DP24" s="356">
        <f>CPP!W24</f>
        <v>0</v>
      </c>
      <c r="DQ24" s="355">
        <f t="shared" si="32"/>
        <v>304</v>
      </c>
      <c r="DR24" s="355">
        <f t="shared" si="65"/>
        <v>1.0000000002058584E-2</v>
      </c>
      <c r="DS24" s="1">
        <v>0</v>
      </c>
      <c r="DT24" s="1">
        <v>0</v>
      </c>
      <c r="DU24" s="356">
        <f>CPP!X24</f>
        <v>0</v>
      </c>
      <c r="DV24" s="355">
        <f t="shared" si="33"/>
        <v>1.0000000002058584E-2</v>
      </c>
      <c r="DW24" s="355">
        <f t="shared" si="66"/>
        <v>0</v>
      </c>
      <c r="DX24" s="320">
        <v>0</v>
      </c>
      <c r="DY24" s="320">
        <v>0</v>
      </c>
      <c r="DZ24" s="356">
        <f>CPP!Y24</f>
        <v>0</v>
      </c>
      <c r="EA24" s="355">
        <f t="shared" si="34"/>
        <v>0</v>
      </c>
      <c r="EB24" s="129">
        <f t="shared" si="35"/>
        <v>2135.6869999999899</v>
      </c>
      <c r="EC24" s="170">
        <f t="shared" si="36"/>
        <v>1009.82</v>
      </c>
      <c r="ED24" s="170">
        <f t="shared" si="69"/>
        <v>169</v>
      </c>
      <c r="EE24" s="129">
        <f t="shared" si="38"/>
        <v>2976.5069999999901</v>
      </c>
      <c r="EF24" s="18">
        <f t="shared" si="39"/>
        <v>3888.0699999999933</v>
      </c>
      <c r="EG24" s="170">
        <f t="shared" si="40"/>
        <v>330.25</v>
      </c>
      <c r="EH24" s="338">
        <f>CPP!D24+CPP!E24+CPP!F24+CPP!G24+CPP!H24+CPP!I24+CPP!J24+CPP!K24+CPP!L24+CPP!M24+CPP!N24+CPP!O24+CPP!P24+CPP!Q24+CPP!R24+CPP!S24+DA24+DF24+DK24+CPP!W24+DU24</f>
        <v>161</v>
      </c>
      <c r="EI24" s="351">
        <f>EF24+EG24-CPP!G24-CPP!E24-CPP!F24-CPP!P24-CPP!Q24-CL24-CQ24-DU24</f>
        <v>4057.3199999999933</v>
      </c>
      <c r="EJ24" s="358">
        <f t="shared" si="41"/>
        <v>20292.755564398765</v>
      </c>
      <c r="EK24" s="1">
        <v>1005</v>
      </c>
      <c r="EL24" s="359">
        <f>'Daily CEM-1'!AG25+'Daily  CEM - 2'!AF25-EQ24</f>
        <v>2456.1979999759005</v>
      </c>
      <c r="EM24" s="349">
        <f t="shared" si="42"/>
        <v>18841.557564422867</v>
      </c>
      <c r="EN24" s="320">
        <v>0</v>
      </c>
      <c r="EO24" s="351">
        <f t="shared" si="67"/>
        <v>89.758008000135931</v>
      </c>
      <c r="EP24" s="1">
        <v>0</v>
      </c>
      <c r="EQ24" s="1">
        <v>0</v>
      </c>
      <c r="ER24" s="360">
        <f t="shared" si="43"/>
        <v>89.758008000135931</v>
      </c>
      <c r="ES24" s="319">
        <f t="shared" si="44"/>
        <v>2278.44</v>
      </c>
      <c r="ET24" s="319">
        <v>2278.44</v>
      </c>
      <c r="EU24" s="361">
        <f t="shared" si="45"/>
        <v>2456.1979999759005</v>
      </c>
      <c r="EW24" s="51">
        <f>(EU24/Production2!CG24)*100</f>
        <v>82.009949915722885</v>
      </c>
      <c r="EX24" s="319">
        <v>76.848329682672599</v>
      </c>
    </row>
    <row r="25" spans="2:154" s="319" customFormat="1" ht="13.5" customHeight="1">
      <c r="B25" s="346">
        <v>23</v>
      </c>
      <c r="C25" s="347">
        <f t="shared" si="3"/>
        <v>1255.6400000000001</v>
      </c>
      <c r="D25" s="1">
        <v>0</v>
      </c>
      <c r="E25" s="269">
        <f>F25+'RAW MILL 2'!F25</f>
        <v>0</v>
      </c>
      <c r="F25" s="1">
        <v>0</v>
      </c>
      <c r="G25" s="349">
        <f t="shared" si="4"/>
        <v>1255.6400000000001</v>
      </c>
      <c r="H25" s="347">
        <f t="shared" si="5"/>
        <v>508.18001683751845</v>
      </c>
      <c r="I25" s="33">
        <f>Production2!N25+Production2!Q25</f>
        <v>0</v>
      </c>
      <c r="J25" s="350">
        <f>Production2!K25</f>
        <v>116.25</v>
      </c>
      <c r="K25" s="18">
        <f t="shared" si="6"/>
        <v>391.93001683751845</v>
      </c>
      <c r="L25" s="352">
        <f t="shared" si="7"/>
        <v>0</v>
      </c>
      <c r="M25" s="320">
        <v>0</v>
      </c>
      <c r="N25" s="350">
        <f>CPP!D25</f>
        <v>0</v>
      </c>
      <c r="O25" s="320">
        <v>0</v>
      </c>
      <c r="P25" s="350">
        <f t="shared" si="0"/>
        <v>0</v>
      </c>
      <c r="Q25" s="349">
        <f t="shared" si="48"/>
        <v>0</v>
      </c>
      <c r="R25" s="347">
        <f t="shared" si="8"/>
        <v>0</v>
      </c>
      <c r="S25" s="320">
        <v>0</v>
      </c>
      <c r="T25" s="350">
        <f>CPP!E25</f>
        <v>0</v>
      </c>
      <c r="U25" s="353">
        <v>0</v>
      </c>
      <c r="V25" s="354">
        <f t="shared" si="9"/>
        <v>0</v>
      </c>
      <c r="W25" s="349">
        <f t="shared" si="10"/>
        <v>0</v>
      </c>
      <c r="X25" s="347">
        <f t="shared" si="11"/>
        <v>3.9999999998087787E-2</v>
      </c>
      <c r="Y25" s="1">
        <v>0</v>
      </c>
      <c r="Z25" s="350">
        <f>CPP!H25</f>
        <v>0</v>
      </c>
      <c r="AA25" s="1">
        <v>0</v>
      </c>
      <c r="AB25" s="349">
        <f t="shared" si="12"/>
        <v>3.9999999998087787E-2</v>
      </c>
      <c r="AC25" s="347">
        <f t="shared" si="13"/>
        <v>0</v>
      </c>
      <c r="AD25" s="320">
        <v>0</v>
      </c>
      <c r="AE25" s="320">
        <v>0</v>
      </c>
      <c r="AF25" s="349">
        <f t="shared" si="1"/>
        <v>0</v>
      </c>
      <c r="AG25" s="347">
        <f t="shared" si="14"/>
        <v>4057.2699999999932</v>
      </c>
      <c r="AH25" s="1">
        <v>60</v>
      </c>
      <c r="AI25" s="1">
        <v>0</v>
      </c>
      <c r="AJ25" s="338">
        <f>CPP!G25</f>
        <v>94</v>
      </c>
      <c r="AK25" s="9">
        <f t="shared" si="68"/>
        <v>4023.2699999999932</v>
      </c>
      <c r="AL25" s="355">
        <f t="shared" si="49"/>
        <v>0</v>
      </c>
      <c r="AM25" s="320">
        <v>0</v>
      </c>
      <c r="AN25" s="320">
        <v>0</v>
      </c>
      <c r="AO25" s="351">
        <f t="shared" si="15"/>
        <v>0</v>
      </c>
      <c r="AP25" s="355">
        <f t="shared" si="50"/>
        <v>0</v>
      </c>
      <c r="AQ25" s="320">
        <v>0</v>
      </c>
      <c r="AR25" s="320">
        <v>0</v>
      </c>
      <c r="AS25" s="356">
        <f>CPP!I25</f>
        <v>0</v>
      </c>
      <c r="AT25" s="355">
        <f t="shared" si="16"/>
        <v>0</v>
      </c>
      <c r="AU25" s="320">
        <f t="shared" si="51"/>
        <v>0</v>
      </c>
      <c r="AV25" s="320">
        <v>0</v>
      </c>
      <c r="AW25" s="320">
        <v>0</v>
      </c>
      <c r="AX25" s="338">
        <f>CPP!J25</f>
        <v>0</v>
      </c>
      <c r="AY25" s="320">
        <f t="shared" si="17"/>
        <v>0</v>
      </c>
      <c r="AZ25" s="320">
        <f t="shared" si="52"/>
        <v>2672.4469999999901</v>
      </c>
      <c r="BA25" s="1">
        <v>155.32</v>
      </c>
      <c r="BB25" s="1">
        <v>14</v>
      </c>
      <c r="BC25" s="338">
        <f>CPP!K25</f>
        <v>0</v>
      </c>
      <c r="BD25" s="320">
        <f t="shared" si="18"/>
        <v>2813.7669999999903</v>
      </c>
      <c r="BE25" s="320">
        <f t="shared" si="53"/>
        <v>0</v>
      </c>
      <c r="BF25" s="320">
        <v>0</v>
      </c>
      <c r="BG25" s="320">
        <v>0</v>
      </c>
      <c r="BH25" s="338">
        <f>CPP!L25</f>
        <v>0</v>
      </c>
      <c r="BI25" s="320">
        <f t="shared" si="19"/>
        <v>0</v>
      </c>
      <c r="BJ25" s="320">
        <f t="shared" si="54"/>
        <v>0</v>
      </c>
      <c r="BK25" s="320">
        <v>0</v>
      </c>
      <c r="BL25" s="320">
        <v>0</v>
      </c>
      <c r="BM25" s="338">
        <f>CPP!M25</f>
        <v>0</v>
      </c>
      <c r="BN25" s="320">
        <f t="shared" si="55"/>
        <v>0</v>
      </c>
      <c r="BO25" s="320">
        <f t="shared" si="20"/>
        <v>0</v>
      </c>
      <c r="BP25" s="320">
        <v>0</v>
      </c>
      <c r="BQ25" s="320">
        <v>0</v>
      </c>
      <c r="BR25" s="338">
        <f>CPP!N25</f>
        <v>0</v>
      </c>
      <c r="BS25" s="320">
        <f t="shared" si="21"/>
        <v>0</v>
      </c>
      <c r="BT25" s="320">
        <f t="shared" si="22"/>
        <v>0</v>
      </c>
      <c r="BU25" s="320">
        <v>0</v>
      </c>
      <c r="BV25" s="320">
        <v>0</v>
      </c>
      <c r="BW25" s="338">
        <f>CPP!O25</f>
        <v>0</v>
      </c>
      <c r="BX25" s="320">
        <f t="shared" si="23"/>
        <v>0</v>
      </c>
      <c r="BY25" s="357">
        <f t="shared" si="56"/>
        <v>0</v>
      </c>
      <c r="BZ25" s="320">
        <v>0</v>
      </c>
      <c r="CA25" s="320">
        <v>0</v>
      </c>
      <c r="CB25" s="338"/>
      <c r="CC25" s="353">
        <f t="shared" si="24"/>
        <v>0</v>
      </c>
      <c r="CD25" s="320">
        <f t="shared" si="57"/>
        <v>0</v>
      </c>
      <c r="CE25" s="320">
        <v>0</v>
      </c>
      <c r="CF25" s="320">
        <v>0</v>
      </c>
      <c r="CG25" s="338">
        <f>CPP!P25</f>
        <v>0</v>
      </c>
      <c r="CH25" s="353">
        <f t="shared" si="25"/>
        <v>0</v>
      </c>
      <c r="CI25" s="320">
        <f t="shared" si="58"/>
        <v>0</v>
      </c>
      <c r="CJ25" s="320">
        <v>0</v>
      </c>
      <c r="CK25" s="320">
        <v>0</v>
      </c>
      <c r="CL25" s="338">
        <f>CPP!Q25</f>
        <v>0</v>
      </c>
      <c r="CM25" s="320">
        <f t="shared" si="26"/>
        <v>0</v>
      </c>
      <c r="CN25" s="320">
        <f t="shared" si="59"/>
        <v>5.0000000000181899E-2</v>
      </c>
      <c r="CO25" s="320">
        <v>0</v>
      </c>
      <c r="CP25" s="320">
        <v>0</v>
      </c>
      <c r="CQ25" s="338">
        <f>CPP!R25</f>
        <v>0</v>
      </c>
      <c r="CR25" s="320">
        <f t="shared" si="27"/>
        <v>5.0000000000181899E-2</v>
      </c>
      <c r="CS25" s="355">
        <f t="shared" si="60"/>
        <v>0</v>
      </c>
      <c r="CT25" s="320">
        <v>0</v>
      </c>
      <c r="CU25" s="320">
        <v>0</v>
      </c>
      <c r="CV25" s="356">
        <f>CPP!S25</f>
        <v>0</v>
      </c>
      <c r="CW25" s="355">
        <f t="shared" si="28"/>
        <v>0</v>
      </c>
      <c r="CX25" s="355">
        <f t="shared" si="61"/>
        <v>0</v>
      </c>
      <c r="CY25" s="320">
        <v>0</v>
      </c>
      <c r="CZ25" s="320">
        <v>0</v>
      </c>
      <c r="DA25" s="356">
        <f>CPP!T25</f>
        <v>0</v>
      </c>
      <c r="DB25" s="355">
        <f t="shared" si="29"/>
        <v>0</v>
      </c>
      <c r="DC25" s="355">
        <f t="shared" si="62"/>
        <v>1.0000000000013998E-2</v>
      </c>
      <c r="DD25" s="320">
        <v>0</v>
      </c>
      <c r="DE25" s="1">
        <v>0</v>
      </c>
      <c r="DF25" s="356">
        <f>CPP!U25</f>
        <v>0</v>
      </c>
      <c r="DG25" s="355">
        <f t="shared" si="30"/>
        <v>1.0000000000013998E-2</v>
      </c>
      <c r="DH25" s="355">
        <f t="shared" si="63"/>
        <v>0</v>
      </c>
      <c r="DI25" s="320">
        <v>0</v>
      </c>
      <c r="DJ25" s="320">
        <v>0</v>
      </c>
      <c r="DK25" s="356">
        <f>CPP!V25</f>
        <v>0</v>
      </c>
      <c r="DL25" s="355">
        <f t="shared" si="31"/>
        <v>0</v>
      </c>
      <c r="DM25" s="355">
        <f t="shared" si="64"/>
        <v>304</v>
      </c>
      <c r="DN25" s="1">
        <v>0</v>
      </c>
      <c r="DO25" s="320">
        <v>0</v>
      </c>
      <c r="DP25" s="356">
        <f>CPP!W25</f>
        <v>0</v>
      </c>
      <c r="DQ25" s="355">
        <f t="shared" si="32"/>
        <v>304</v>
      </c>
      <c r="DR25" s="355">
        <f t="shared" si="65"/>
        <v>1.0000000002058584E-2</v>
      </c>
      <c r="DS25" s="1">
        <v>0</v>
      </c>
      <c r="DT25" s="1">
        <v>0</v>
      </c>
      <c r="DU25" s="356">
        <f>CPP!X25</f>
        <v>0</v>
      </c>
      <c r="DV25" s="355">
        <f t="shared" si="33"/>
        <v>1.0000000002058584E-2</v>
      </c>
      <c r="DW25" s="355">
        <f t="shared" si="66"/>
        <v>0</v>
      </c>
      <c r="DX25" s="320">
        <v>0</v>
      </c>
      <c r="DY25" s="320">
        <v>0</v>
      </c>
      <c r="DZ25" s="356">
        <f>CPP!Y25</f>
        <v>0</v>
      </c>
      <c r="EA25" s="355">
        <f t="shared" si="34"/>
        <v>0</v>
      </c>
      <c r="EB25" s="129">
        <f t="shared" si="35"/>
        <v>2976.5069999999905</v>
      </c>
      <c r="EC25" s="170">
        <f t="shared" si="36"/>
        <v>155.32</v>
      </c>
      <c r="ED25" s="170">
        <f t="shared" si="69"/>
        <v>14</v>
      </c>
      <c r="EE25" s="129">
        <f t="shared" si="38"/>
        <v>3117.8269999999907</v>
      </c>
      <c r="EF25" s="18">
        <f t="shared" si="39"/>
        <v>4057.3199999999933</v>
      </c>
      <c r="EG25" s="170">
        <f t="shared" si="40"/>
        <v>60</v>
      </c>
      <c r="EH25" s="338">
        <f>CPP!D25+CPP!E25+CPP!F25+CPP!G25+CPP!H25+CPP!I25+CPP!J25+CPP!K25+CPP!L25+CPP!M25+CPP!N25+CPP!O25+CPP!P25+CPP!Q25+CPP!R25+CPP!S25+DA25+DF25+DK25+CPP!W25+DU25+DZ25</f>
        <v>94</v>
      </c>
      <c r="EI25" s="351">
        <f>EF25+EG25-CPP!G25-CPP!E25-CPP!F25-CPP!P25-CPP!Q25-CL25-CQ25-DU25</f>
        <v>4023.3199999999933</v>
      </c>
      <c r="EJ25" s="358">
        <f t="shared" si="41"/>
        <v>18841.557564422867</v>
      </c>
      <c r="EK25" s="1">
        <v>75</v>
      </c>
      <c r="EL25" s="359">
        <f>'Daily CEM-1'!AG26+'Daily  CEM - 2'!AF26-EQ25</f>
        <v>2314.1789999956709</v>
      </c>
      <c r="EM25" s="349">
        <f t="shared" si="42"/>
        <v>16602.378564427196</v>
      </c>
      <c r="EN25" s="320">
        <v>0</v>
      </c>
      <c r="EO25" s="351">
        <f t="shared" si="67"/>
        <v>89.758008000135931</v>
      </c>
      <c r="EP25" s="1">
        <v>0</v>
      </c>
      <c r="EQ25" s="1">
        <v>0.5</v>
      </c>
      <c r="ER25" s="360">
        <f t="shared" si="43"/>
        <v>89.258008000135931</v>
      </c>
      <c r="ES25" s="319">
        <f t="shared" si="44"/>
        <v>633.94000000000005</v>
      </c>
      <c r="ET25" s="319">
        <v>633.94000000000005</v>
      </c>
      <c r="EU25" s="361">
        <f t="shared" si="45"/>
        <v>2314.6789999956709</v>
      </c>
      <c r="EW25" s="51">
        <f>(EU25/Production2!CG25)*100</f>
        <v>82.197407670300819</v>
      </c>
      <c r="EX25" s="319">
        <v>76.354100793798565</v>
      </c>
    </row>
    <row r="26" spans="2:154" s="319" customFormat="1">
      <c r="B26" s="346">
        <v>24</v>
      </c>
      <c r="C26" s="347">
        <f t="shared" si="3"/>
        <v>1255.6400000000001</v>
      </c>
      <c r="D26" s="1">
        <v>30.9</v>
      </c>
      <c r="E26" s="269">
        <f>F26+'RAW MILL 2'!F26</f>
        <v>37</v>
      </c>
      <c r="F26" s="1">
        <v>37</v>
      </c>
      <c r="G26" s="349">
        <f t="shared" si="4"/>
        <v>1249.5400000000002</v>
      </c>
      <c r="H26" s="347">
        <f t="shared" si="5"/>
        <v>391.93001683751845</v>
      </c>
      <c r="I26" s="33">
        <f>Production2!N26+Production2!Q26</f>
        <v>1519.92</v>
      </c>
      <c r="J26" s="350">
        <f>Production2!K26</f>
        <v>1162.5</v>
      </c>
      <c r="K26" s="18">
        <f t="shared" si="6"/>
        <v>749.35001683751852</v>
      </c>
      <c r="L26" s="352">
        <f t="shared" si="7"/>
        <v>0</v>
      </c>
      <c r="M26" s="320">
        <v>0</v>
      </c>
      <c r="N26" s="350">
        <f>CPP!D26</f>
        <v>0</v>
      </c>
      <c r="O26" s="320">
        <v>0</v>
      </c>
      <c r="P26" s="350">
        <f t="shared" si="0"/>
        <v>0</v>
      </c>
      <c r="Q26" s="349">
        <f t="shared" si="48"/>
        <v>0</v>
      </c>
      <c r="R26" s="347">
        <f t="shared" si="8"/>
        <v>0</v>
      </c>
      <c r="S26" s="320">
        <v>0</v>
      </c>
      <c r="T26" s="350">
        <f>CPP!E26</f>
        <v>0</v>
      </c>
      <c r="U26" s="353">
        <v>0</v>
      </c>
      <c r="V26" s="354">
        <f t="shared" si="9"/>
        <v>0</v>
      </c>
      <c r="W26" s="349">
        <f t="shared" si="10"/>
        <v>0</v>
      </c>
      <c r="X26" s="347">
        <f t="shared" si="11"/>
        <v>3.9999999998087787E-2</v>
      </c>
      <c r="Y26" s="1">
        <v>0</v>
      </c>
      <c r="Z26" s="350">
        <f>CPP!H26</f>
        <v>0</v>
      </c>
      <c r="AA26" s="1">
        <v>0</v>
      </c>
      <c r="AB26" s="349">
        <f t="shared" si="12"/>
        <v>3.9999999998087787E-2</v>
      </c>
      <c r="AC26" s="347">
        <f t="shared" si="13"/>
        <v>0</v>
      </c>
      <c r="AD26" s="320">
        <v>0</v>
      </c>
      <c r="AE26" s="320">
        <v>0</v>
      </c>
      <c r="AF26" s="349">
        <f t="shared" si="1"/>
        <v>0</v>
      </c>
      <c r="AG26" s="347">
        <f t="shared" si="14"/>
        <v>4023.2699999999932</v>
      </c>
      <c r="AH26" s="1">
        <v>61</v>
      </c>
      <c r="AI26" s="1">
        <v>0</v>
      </c>
      <c r="AJ26" s="338">
        <f>CPP!G26</f>
        <v>122</v>
      </c>
      <c r="AK26" s="9">
        <f>AG26+AH26-AI26-AJ26</f>
        <v>3962.2699999999932</v>
      </c>
      <c r="AL26" s="355">
        <f t="shared" si="49"/>
        <v>0</v>
      </c>
      <c r="AM26" s="320">
        <v>0</v>
      </c>
      <c r="AN26" s="320">
        <v>0</v>
      </c>
      <c r="AO26" s="351">
        <f t="shared" si="15"/>
        <v>0</v>
      </c>
      <c r="AP26" s="355">
        <f t="shared" si="50"/>
        <v>0</v>
      </c>
      <c r="AQ26" s="320">
        <v>0</v>
      </c>
      <c r="AR26" s="320">
        <v>0</v>
      </c>
      <c r="AS26" s="356">
        <f>CPP!I26</f>
        <v>0</v>
      </c>
      <c r="AT26" s="355">
        <f t="shared" si="16"/>
        <v>0</v>
      </c>
      <c r="AU26" s="320">
        <f t="shared" si="51"/>
        <v>0</v>
      </c>
      <c r="AV26" s="320">
        <v>0</v>
      </c>
      <c r="AW26" s="320">
        <v>0</v>
      </c>
      <c r="AX26" s="338">
        <f>CPP!J26</f>
        <v>0</v>
      </c>
      <c r="AY26" s="320">
        <f t="shared" si="17"/>
        <v>0</v>
      </c>
      <c r="AZ26" s="320">
        <f t="shared" si="52"/>
        <v>2813.7669999999903</v>
      </c>
      <c r="BA26" s="1">
        <v>243.06</v>
      </c>
      <c r="BB26" s="1">
        <v>175</v>
      </c>
      <c r="BC26" s="338">
        <f>CPP!K26</f>
        <v>10</v>
      </c>
      <c r="BD26" s="320">
        <f t="shared" si="18"/>
        <v>2871.8269999999902</v>
      </c>
      <c r="BE26" s="320">
        <f t="shared" si="53"/>
        <v>0</v>
      </c>
      <c r="BF26" s="320">
        <v>0</v>
      </c>
      <c r="BG26" s="320">
        <v>0</v>
      </c>
      <c r="BH26" s="338">
        <f>CPP!L26</f>
        <v>0</v>
      </c>
      <c r="BI26" s="320">
        <f t="shared" si="19"/>
        <v>0</v>
      </c>
      <c r="BJ26" s="320">
        <f t="shared" si="54"/>
        <v>0</v>
      </c>
      <c r="BK26" s="320">
        <v>0</v>
      </c>
      <c r="BL26" s="320">
        <v>0</v>
      </c>
      <c r="BM26" s="338">
        <f>CPP!M26</f>
        <v>0</v>
      </c>
      <c r="BN26" s="320">
        <f t="shared" si="55"/>
        <v>0</v>
      </c>
      <c r="BO26" s="320">
        <f t="shared" si="20"/>
        <v>0</v>
      </c>
      <c r="BP26" s="320">
        <v>0</v>
      </c>
      <c r="BQ26" s="320">
        <v>0</v>
      </c>
      <c r="BR26" s="338">
        <f>CPP!N26</f>
        <v>0</v>
      </c>
      <c r="BS26" s="320">
        <f t="shared" si="21"/>
        <v>0</v>
      </c>
      <c r="BT26" s="320">
        <f t="shared" si="22"/>
        <v>0</v>
      </c>
      <c r="BU26" s="320">
        <v>0</v>
      </c>
      <c r="BV26" s="320">
        <v>0</v>
      </c>
      <c r="BW26" s="338">
        <f>CPP!O26</f>
        <v>0</v>
      </c>
      <c r="BX26" s="320">
        <f t="shared" si="23"/>
        <v>0</v>
      </c>
      <c r="BY26" s="357">
        <f t="shared" si="56"/>
        <v>0</v>
      </c>
      <c r="BZ26" s="320">
        <v>0</v>
      </c>
      <c r="CA26" s="320">
        <v>0</v>
      </c>
      <c r="CB26" s="338"/>
      <c r="CC26" s="353">
        <f t="shared" si="24"/>
        <v>0</v>
      </c>
      <c r="CD26" s="320">
        <f t="shared" si="57"/>
        <v>0</v>
      </c>
      <c r="CE26" s="320">
        <v>0</v>
      </c>
      <c r="CF26" s="320">
        <v>0</v>
      </c>
      <c r="CG26" s="338">
        <f>CPP!P26</f>
        <v>0</v>
      </c>
      <c r="CH26" s="353">
        <f t="shared" si="25"/>
        <v>0</v>
      </c>
      <c r="CI26" s="320">
        <f t="shared" si="58"/>
        <v>0</v>
      </c>
      <c r="CJ26" s="320">
        <v>0</v>
      </c>
      <c r="CK26" s="320">
        <v>0</v>
      </c>
      <c r="CL26" s="338">
        <f>CPP!Q26</f>
        <v>0</v>
      </c>
      <c r="CM26" s="320">
        <f t="shared" si="26"/>
        <v>0</v>
      </c>
      <c r="CN26" s="320">
        <f t="shared" si="59"/>
        <v>5.0000000000181899E-2</v>
      </c>
      <c r="CO26" s="320">
        <v>0</v>
      </c>
      <c r="CP26" s="320">
        <v>0</v>
      </c>
      <c r="CQ26" s="338">
        <f>CPP!R26</f>
        <v>0</v>
      </c>
      <c r="CR26" s="320">
        <f t="shared" si="27"/>
        <v>5.0000000000181899E-2</v>
      </c>
      <c r="CS26" s="355">
        <f t="shared" si="60"/>
        <v>0</v>
      </c>
      <c r="CT26" s="320">
        <v>0</v>
      </c>
      <c r="CU26" s="320">
        <v>0</v>
      </c>
      <c r="CV26" s="356">
        <f>CPP!S26</f>
        <v>0</v>
      </c>
      <c r="CW26" s="355">
        <f t="shared" si="28"/>
        <v>0</v>
      </c>
      <c r="CX26" s="355">
        <f t="shared" si="61"/>
        <v>0</v>
      </c>
      <c r="CY26" s="320">
        <v>0</v>
      </c>
      <c r="CZ26" s="320">
        <v>0</v>
      </c>
      <c r="DA26" s="356">
        <f>CPP!T26</f>
        <v>0</v>
      </c>
      <c r="DB26" s="355">
        <f t="shared" si="29"/>
        <v>0</v>
      </c>
      <c r="DC26" s="355">
        <f t="shared" si="62"/>
        <v>1.0000000000013998E-2</v>
      </c>
      <c r="DD26" s="320">
        <v>0</v>
      </c>
      <c r="DE26" s="1">
        <v>0</v>
      </c>
      <c r="DF26" s="356">
        <f>CPP!U26</f>
        <v>0</v>
      </c>
      <c r="DG26" s="355">
        <f t="shared" si="30"/>
        <v>1.0000000000013998E-2</v>
      </c>
      <c r="DH26" s="355">
        <f t="shared" si="63"/>
        <v>0</v>
      </c>
      <c r="DI26" s="320">
        <v>0</v>
      </c>
      <c r="DJ26" s="320">
        <v>0</v>
      </c>
      <c r="DK26" s="356">
        <f>CPP!V26</f>
        <v>0</v>
      </c>
      <c r="DL26" s="355">
        <f t="shared" si="31"/>
        <v>0</v>
      </c>
      <c r="DM26" s="355">
        <f t="shared" si="64"/>
        <v>304</v>
      </c>
      <c r="DN26" s="1">
        <v>0</v>
      </c>
      <c r="DO26" s="320">
        <v>0</v>
      </c>
      <c r="DP26" s="356">
        <f>CPP!W26</f>
        <v>0</v>
      </c>
      <c r="DQ26" s="355">
        <f t="shared" si="32"/>
        <v>304</v>
      </c>
      <c r="DR26" s="355">
        <f t="shared" si="65"/>
        <v>1.0000000002058584E-2</v>
      </c>
      <c r="DS26" s="1">
        <v>0</v>
      </c>
      <c r="DT26" s="1">
        <v>0</v>
      </c>
      <c r="DU26" s="356">
        <f>CPP!X26</f>
        <v>0</v>
      </c>
      <c r="DV26" s="355">
        <f t="shared" si="33"/>
        <v>1.0000000002058584E-2</v>
      </c>
      <c r="DW26" s="355">
        <f t="shared" si="66"/>
        <v>0</v>
      </c>
      <c r="DX26" s="320">
        <v>0</v>
      </c>
      <c r="DY26" s="320">
        <v>0</v>
      </c>
      <c r="DZ26" s="356">
        <f>CPP!Y26</f>
        <v>0</v>
      </c>
      <c r="EA26" s="355">
        <f t="shared" si="34"/>
        <v>0</v>
      </c>
      <c r="EB26" s="129">
        <f t="shared" si="35"/>
        <v>3117.8269999999907</v>
      </c>
      <c r="EC26" s="170">
        <f t="shared" si="36"/>
        <v>243.06</v>
      </c>
      <c r="ED26" s="170">
        <f t="shared" si="69"/>
        <v>175</v>
      </c>
      <c r="EE26" s="129">
        <f t="shared" si="38"/>
        <v>3175.8869999999906</v>
      </c>
      <c r="EF26" s="18">
        <f t="shared" si="39"/>
        <v>4023.3199999999933</v>
      </c>
      <c r="EG26" s="170">
        <f t="shared" si="40"/>
        <v>61</v>
      </c>
      <c r="EH26" s="338">
        <f>CPP!D26+CPP!E26+CPP!F26+CPP!G26+CPP!H26+CPP!I26+CPP!J26+CPP!K26+CPP!L26+CPP!M26+CPP!N26+CPP!O26+CPP!P26+CPP!Q26+CPP!R26+CPP!S26+DA26+DF26+DK26+CPP!W26+DU26</f>
        <v>132</v>
      </c>
      <c r="EI26" s="351">
        <f>EF26+EG26-CPP!G26-CPP!E26-CPP!F26-CPP!P26-CPP!Q26-CL26-CQ26-DU26</f>
        <v>3962.3199999999933</v>
      </c>
      <c r="EJ26" s="358">
        <f t="shared" si="41"/>
        <v>16602.378564427196</v>
      </c>
      <c r="EK26" s="1">
        <v>750</v>
      </c>
      <c r="EL26" s="359">
        <f>'Daily CEM-1'!AG27+'Daily  CEM - 2'!AF27-EQ26</f>
        <v>2352.7730000100019</v>
      </c>
      <c r="EM26" s="349">
        <f t="shared" si="42"/>
        <v>14999.605564417194</v>
      </c>
      <c r="EN26" s="320">
        <v>0</v>
      </c>
      <c r="EO26" s="351">
        <f t="shared" si="67"/>
        <v>89.258008000135931</v>
      </c>
      <c r="EP26" s="1">
        <v>0</v>
      </c>
      <c r="EQ26" s="1">
        <v>0</v>
      </c>
      <c r="ER26" s="360">
        <f t="shared" si="43"/>
        <v>89.258008000135931</v>
      </c>
      <c r="ES26" s="319">
        <f t="shared" si="44"/>
        <v>1236.4000000000001</v>
      </c>
      <c r="ET26" s="319">
        <v>1236.4000000000001</v>
      </c>
      <c r="EU26" s="361">
        <f t="shared" si="45"/>
        <v>2352.7730000100019</v>
      </c>
      <c r="EW26" s="51">
        <f>(EU26/Production2!CG26)*100</f>
        <v>82.264790210139921</v>
      </c>
      <c r="EX26" s="319">
        <v>77.245614035087769</v>
      </c>
    </row>
    <row r="27" spans="2:154" s="319" customFormat="1">
      <c r="B27" s="346">
        <v>25</v>
      </c>
      <c r="C27" s="347">
        <f t="shared" si="3"/>
        <v>1249.5400000000002</v>
      </c>
      <c r="D27" s="1">
        <v>38.200000000000003</v>
      </c>
      <c r="E27" s="269">
        <f>F27+'RAW MILL 2'!F27</f>
        <v>51</v>
      </c>
      <c r="F27" s="1">
        <v>47</v>
      </c>
      <c r="G27" s="349">
        <f t="shared" si="4"/>
        <v>1236.7400000000002</v>
      </c>
      <c r="H27" s="347">
        <f t="shared" si="5"/>
        <v>749.35001683751852</v>
      </c>
      <c r="I27" s="33">
        <f>Production2!N27+Production2!Q27</f>
        <v>2426.91</v>
      </c>
      <c r="J27" s="350">
        <f>Production2!K27</f>
        <v>2363.75</v>
      </c>
      <c r="K27" s="18">
        <f t="shared" si="6"/>
        <v>812.51001683751838</v>
      </c>
      <c r="L27" s="352">
        <f t="shared" si="7"/>
        <v>0</v>
      </c>
      <c r="M27" s="320">
        <v>0</v>
      </c>
      <c r="N27" s="350">
        <f>CPP!D27</f>
        <v>0</v>
      </c>
      <c r="O27" s="320">
        <v>0</v>
      </c>
      <c r="P27" s="350">
        <f>N27+O27</f>
        <v>0</v>
      </c>
      <c r="Q27" s="349">
        <f t="shared" si="48"/>
        <v>0</v>
      </c>
      <c r="R27" s="347">
        <f t="shared" si="8"/>
        <v>0</v>
      </c>
      <c r="S27" s="320">
        <v>0</v>
      </c>
      <c r="T27" s="350">
        <f>CPP!E27</f>
        <v>0</v>
      </c>
      <c r="U27" s="353">
        <v>0</v>
      </c>
      <c r="V27" s="354">
        <f t="shared" si="9"/>
        <v>0</v>
      </c>
      <c r="W27" s="349">
        <f t="shared" si="10"/>
        <v>0</v>
      </c>
      <c r="X27" s="347">
        <f t="shared" si="11"/>
        <v>3.9999999998087787E-2</v>
      </c>
      <c r="Y27" s="1">
        <v>0</v>
      </c>
      <c r="Z27" s="350">
        <f>CPP!H27</f>
        <v>0</v>
      </c>
      <c r="AA27" s="1">
        <v>0</v>
      </c>
      <c r="AB27" s="349">
        <f t="shared" si="12"/>
        <v>3.9999999998087787E-2</v>
      </c>
      <c r="AC27" s="347">
        <f t="shared" si="13"/>
        <v>0</v>
      </c>
      <c r="AD27" s="320">
        <v>0</v>
      </c>
      <c r="AE27" s="320">
        <v>0</v>
      </c>
      <c r="AF27" s="349">
        <f>AC27+AD27-AE27</f>
        <v>0</v>
      </c>
      <c r="AG27" s="347">
        <f t="shared" si="14"/>
        <v>3962.2699999999932</v>
      </c>
      <c r="AH27" s="1">
        <v>180</v>
      </c>
      <c r="AI27" s="1">
        <v>0</v>
      </c>
      <c r="AJ27" s="338">
        <f>CPP!G27</f>
        <v>148</v>
      </c>
      <c r="AK27" s="9">
        <f t="shared" si="68"/>
        <v>3994.2699999999932</v>
      </c>
      <c r="AL27" s="355">
        <f t="shared" si="49"/>
        <v>0</v>
      </c>
      <c r="AM27" s="320">
        <v>0</v>
      </c>
      <c r="AN27" s="320">
        <v>0</v>
      </c>
      <c r="AO27" s="351">
        <f t="shared" si="15"/>
        <v>0</v>
      </c>
      <c r="AP27" s="355">
        <f t="shared" si="50"/>
        <v>0</v>
      </c>
      <c r="AQ27" s="320">
        <v>0</v>
      </c>
      <c r="AR27" s="320">
        <v>0</v>
      </c>
      <c r="AS27" s="356">
        <f>CPP!I27</f>
        <v>0</v>
      </c>
      <c r="AT27" s="355">
        <f t="shared" si="16"/>
        <v>0</v>
      </c>
      <c r="AU27" s="320">
        <f t="shared" si="51"/>
        <v>0</v>
      </c>
      <c r="AV27" s="320">
        <v>0</v>
      </c>
      <c r="AW27" s="320">
        <v>0</v>
      </c>
      <c r="AX27" s="338">
        <f>CPP!J27</f>
        <v>0</v>
      </c>
      <c r="AY27" s="320">
        <f t="shared" si="17"/>
        <v>0</v>
      </c>
      <c r="AZ27" s="320">
        <f t="shared" si="52"/>
        <v>2871.8269999999902</v>
      </c>
      <c r="BA27" s="1">
        <v>254.56</v>
      </c>
      <c r="BB27" s="1">
        <v>272</v>
      </c>
      <c r="BC27" s="338">
        <f>CPP!K27</f>
        <v>0</v>
      </c>
      <c r="BD27" s="320">
        <f t="shared" si="18"/>
        <v>2854.3869999999902</v>
      </c>
      <c r="BE27" s="320">
        <f t="shared" si="53"/>
        <v>0</v>
      </c>
      <c r="BF27" s="320">
        <v>0</v>
      </c>
      <c r="BG27" s="320">
        <v>0</v>
      </c>
      <c r="BH27" s="338">
        <f>CPP!L27</f>
        <v>0</v>
      </c>
      <c r="BI27" s="320">
        <f t="shared" si="19"/>
        <v>0</v>
      </c>
      <c r="BJ27" s="320">
        <f t="shared" si="54"/>
        <v>0</v>
      </c>
      <c r="BK27" s="320">
        <v>0</v>
      </c>
      <c r="BL27" s="320">
        <v>0</v>
      </c>
      <c r="BM27" s="338">
        <f>CPP!M27</f>
        <v>0</v>
      </c>
      <c r="BN27" s="320">
        <f t="shared" si="55"/>
        <v>0</v>
      </c>
      <c r="BO27" s="320">
        <f t="shared" si="20"/>
        <v>0</v>
      </c>
      <c r="BP27" s="320">
        <v>0</v>
      </c>
      <c r="BQ27" s="320">
        <v>0</v>
      </c>
      <c r="BR27" s="338">
        <f>CPP!N27</f>
        <v>0</v>
      </c>
      <c r="BS27" s="320">
        <f t="shared" si="21"/>
        <v>0</v>
      </c>
      <c r="BT27" s="320">
        <f t="shared" si="22"/>
        <v>0</v>
      </c>
      <c r="BU27" s="320">
        <v>0</v>
      </c>
      <c r="BV27" s="320">
        <v>0</v>
      </c>
      <c r="BW27" s="338">
        <f>CPP!O27</f>
        <v>0</v>
      </c>
      <c r="BX27" s="320">
        <f t="shared" si="23"/>
        <v>0</v>
      </c>
      <c r="BY27" s="357">
        <f t="shared" si="56"/>
        <v>0</v>
      </c>
      <c r="BZ27" s="320">
        <v>0</v>
      </c>
      <c r="CA27" s="320">
        <v>0</v>
      </c>
      <c r="CB27" s="338"/>
      <c r="CC27" s="353">
        <f t="shared" si="24"/>
        <v>0</v>
      </c>
      <c r="CD27" s="320">
        <f t="shared" si="57"/>
        <v>0</v>
      </c>
      <c r="CE27" s="320">
        <v>0</v>
      </c>
      <c r="CF27" s="320">
        <v>0</v>
      </c>
      <c r="CG27" s="338">
        <f>CPP!P27</f>
        <v>0</v>
      </c>
      <c r="CH27" s="353">
        <f t="shared" si="25"/>
        <v>0</v>
      </c>
      <c r="CI27" s="320">
        <f t="shared" si="58"/>
        <v>0</v>
      </c>
      <c r="CJ27" s="320">
        <v>0</v>
      </c>
      <c r="CK27" s="320">
        <v>0</v>
      </c>
      <c r="CL27" s="338">
        <f>CPP!Q27</f>
        <v>0</v>
      </c>
      <c r="CM27" s="320">
        <f t="shared" si="26"/>
        <v>0</v>
      </c>
      <c r="CN27" s="320">
        <f t="shared" si="59"/>
        <v>5.0000000000181899E-2</v>
      </c>
      <c r="CO27" s="320">
        <v>0</v>
      </c>
      <c r="CP27" s="320">
        <v>0</v>
      </c>
      <c r="CQ27" s="338">
        <f>CPP!R27</f>
        <v>0</v>
      </c>
      <c r="CR27" s="320">
        <f t="shared" si="27"/>
        <v>5.0000000000181899E-2</v>
      </c>
      <c r="CS27" s="355">
        <f t="shared" si="60"/>
        <v>0</v>
      </c>
      <c r="CT27" s="320">
        <v>0</v>
      </c>
      <c r="CU27" s="320">
        <v>0</v>
      </c>
      <c r="CV27" s="356">
        <f>CPP!S27</f>
        <v>0</v>
      </c>
      <c r="CW27" s="355">
        <f t="shared" si="28"/>
        <v>0</v>
      </c>
      <c r="CX27" s="355">
        <f t="shared" si="61"/>
        <v>0</v>
      </c>
      <c r="CY27" s="320">
        <v>0</v>
      </c>
      <c r="CZ27" s="320">
        <v>0</v>
      </c>
      <c r="DA27" s="356">
        <f>CPP!T27</f>
        <v>0</v>
      </c>
      <c r="DB27" s="355">
        <f t="shared" si="29"/>
        <v>0</v>
      </c>
      <c r="DC27" s="355">
        <f t="shared" si="62"/>
        <v>1.0000000000013998E-2</v>
      </c>
      <c r="DD27" s="320">
        <v>0</v>
      </c>
      <c r="DE27" s="1">
        <v>0</v>
      </c>
      <c r="DF27" s="356">
        <f>CPP!U27</f>
        <v>0</v>
      </c>
      <c r="DG27" s="355">
        <f t="shared" si="30"/>
        <v>1.0000000000013998E-2</v>
      </c>
      <c r="DH27" s="355">
        <f t="shared" si="63"/>
        <v>0</v>
      </c>
      <c r="DI27" s="320">
        <v>0</v>
      </c>
      <c r="DJ27" s="320">
        <v>0</v>
      </c>
      <c r="DK27" s="356">
        <f>CPP!V27</f>
        <v>0</v>
      </c>
      <c r="DL27" s="355">
        <f t="shared" si="31"/>
        <v>0</v>
      </c>
      <c r="DM27" s="355">
        <f t="shared" si="64"/>
        <v>304</v>
      </c>
      <c r="DN27" s="1">
        <v>0</v>
      </c>
      <c r="DO27" s="320">
        <v>0</v>
      </c>
      <c r="DP27" s="356">
        <f>CPP!W27</f>
        <v>0</v>
      </c>
      <c r="DQ27" s="355">
        <f t="shared" si="32"/>
        <v>304</v>
      </c>
      <c r="DR27" s="355">
        <f t="shared" si="65"/>
        <v>1.0000000002058584E-2</v>
      </c>
      <c r="DS27" s="1">
        <v>0</v>
      </c>
      <c r="DT27" s="1">
        <v>0</v>
      </c>
      <c r="DU27" s="356">
        <f>CPP!X27</f>
        <v>0</v>
      </c>
      <c r="DV27" s="355">
        <f t="shared" si="33"/>
        <v>1.0000000002058584E-2</v>
      </c>
      <c r="DW27" s="355">
        <f t="shared" si="66"/>
        <v>0</v>
      </c>
      <c r="DX27" s="320">
        <v>0</v>
      </c>
      <c r="DY27" s="320">
        <v>0</v>
      </c>
      <c r="DZ27" s="356">
        <f>CPP!Y27</f>
        <v>0</v>
      </c>
      <c r="EA27" s="355">
        <f t="shared" si="34"/>
        <v>0</v>
      </c>
      <c r="EB27" s="129">
        <f t="shared" si="35"/>
        <v>3175.8869999999906</v>
      </c>
      <c r="EC27" s="170">
        <f t="shared" si="36"/>
        <v>254.56</v>
      </c>
      <c r="ED27" s="170">
        <f t="shared" si="69"/>
        <v>272</v>
      </c>
      <c r="EE27" s="129">
        <f t="shared" si="38"/>
        <v>3158.4469999999906</v>
      </c>
      <c r="EF27" s="18">
        <f t="shared" si="39"/>
        <v>3962.3199999999933</v>
      </c>
      <c r="EG27" s="170">
        <f t="shared" si="40"/>
        <v>180</v>
      </c>
      <c r="EH27" s="338">
        <f>CPP!D27+CPP!E27+CPP!F27+CPP!G27+CPP!H27+CPP!I27+CPP!J27+CPP!K27+CPP!L27+CPP!M27+CPP!N27+CPP!O27+CPP!P27+CPP!Q27+CPP!R27+CPP!S27+DA27+DF27+DK27+CPP!W27+DU27</f>
        <v>148</v>
      </c>
      <c r="EI27" s="351">
        <f>EF27+EG27-CPP!G27-CPP!E27-CPP!F27-CPP!P27-CPP!Q27-CL27-CQ27-DU27</f>
        <v>3994.3199999999933</v>
      </c>
      <c r="EJ27" s="358">
        <f t="shared" si="41"/>
        <v>14999.605564417194</v>
      </c>
      <c r="EK27" s="1">
        <v>1525</v>
      </c>
      <c r="EL27" s="359">
        <f>'Daily CEM-1'!AG28+'Daily  CEM - 2'!AF28-EQ27</f>
        <v>2398.3320000000003</v>
      </c>
      <c r="EM27" s="349">
        <f t="shared" si="42"/>
        <v>14126.273564417193</v>
      </c>
      <c r="EN27" s="320">
        <v>0</v>
      </c>
      <c r="EO27" s="351">
        <f t="shared" si="67"/>
        <v>89.258008000135931</v>
      </c>
      <c r="EP27" s="1">
        <v>0</v>
      </c>
      <c r="EQ27" s="1">
        <v>0</v>
      </c>
      <c r="ER27" s="360">
        <f t="shared" si="43"/>
        <v>89.258008000135931</v>
      </c>
      <c r="ES27" s="319">
        <f t="shared" si="44"/>
        <v>1370.76</v>
      </c>
      <c r="ET27" s="319">
        <v>1370.76</v>
      </c>
      <c r="EU27" s="361">
        <f t="shared" si="45"/>
        <v>2398.3320000000003</v>
      </c>
      <c r="EW27" s="51">
        <f>(EU27/Production2!CG27)*100</f>
        <v>81.603674719292286</v>
      </c>
      <c r="EX27" s="319">
        <v>77.151065801668267</v>
      </c>
    </row>
    <row r="28" spans="2:154" s="319" customFormat="1">
      <c r="B28" s="346">
        <v>26</v>
      </c>
      <c r="C28" s="347">
        <f t="shared" ref="C28:C33" si="70">G27</f>
        <v>1236.7400000000002</v>
      </c>
      <c r="D28" s="1">
        <v>0</v>
      </c>
      <c r="E28" s="348">
        <f>F28+'RAW MILL 2'!F28</f>
        <v>50</v>
      </c>
      <c r="F28" s="1">
        <v>46</v>
      </c>
      <c r="G28" s="349">
        <f t="shared" si="4"/>
        <v>1186.7400000000002</v>
      </c>
      <c r="H28" s="347">
        <f t="shared" ref="H28:H33" si="71">K27</f>
        <v>812.51001683751838</v>
      </c>
      <c r="I28" s="33">
        <f>Production2!N28+Production2!Q28</f>
        <v>2496.2399999999998</v>
      </c>
      <c r="J28" s="350">
        <f>Production2!K28</f>
        <v>2402.5</v>
      </c>
      <c r="K28" s="18">
        <f t="shared" si="6"/>
        <v>906.25001683751816</v>
      </c>
      <c r="L28" s="352">
        <f t="shared" ref="L28:L33" si="72">Q27</f>
        <v>0</v>
      </c>
      <c r="M28" s="320">
        <v>0</v>
      </c>
      <c r="N28" s="350">
        <f>CPP!D28</f>
        <v>0</v>
      </c>
      <c r="O28" s="320">
        <v>0</v>
      </c>
      <c r="P28" s="350">
        <f t="shared" ref="P28:P33" si="73">N28+O28</f>
        <v>0</v>
      </c>
      <c r="Q28" s="349">
        <f t="shared" si="48"/>
        <v>0</v>
      </c>
      <c r="R28" s="347">
        <f t="shared" ref="R28:R33" si="74">W27</f>
        <v>0</v>
      </c>
      <c r="S28" s="320">
        <v>0</v>
      </c>
      <c r="T28" s="350">
        <f>CPP!E28</f>
        <v>0</v>
      </c>
      <c r="U28" s="353">
        <v>0</v>
      </c>
      <c r="V28" s="354">
        <f t="shared" si="9"/>
        <v>0</v>
      </c>
      <c r="W28" s="349">
        <f t="shared" si="10"/>
        <v>0</v>
      </c>
      <c r="X28" s="347">
        <f t="shared" ref="X28:X33" si="75">AB27</f>
        <v>3.9999999998087787E-2</v>
      </c>
      <c r="Y28" s="1">
        <v>0</v>
      </c>
      <c r="Z28" s="350">
        <f>CPP!H28</f>
        <v>0</v>
      </c>
      <c r="AA28" s="1">
        <v>0</v>
      </c>
      <c r="AB28" s="349">
        <f t="shared" si="12"/>
        <v>3.9999999998087787E-2</v>
      </c>
      <c r="AC28" s="347">
        <f t="shared" si="13"/>
        <v>0</v>
      </c>
      <c r="AD28" s="320">
        <v>0</v>
      </c>
      <c r="AE28" s="320">
        <v>0</v>
      </c>
      <c r="AF28" s="349">
        <f t="shared" ref="AF28:AF33" si="76">AC28+AD28-AE28</f>
        <v>0</v>
      </c>
      <c r="AG28" s="347">
        <f t="shared" si="14"/>
        <v>3994.2699999999932</v>
      </c>
      <c r="AH28" s="1">
        <v>120.05</v>
      </c>
      <c r="AI28" s="1">
        <v>0</v>
      </c>
      <c r="AJ28" s="338">
        <f>CPP!G28</f>
        <v>140</v>
      </c>
      <c r="AK28" s="9">
        <f t="shared" si="68"/>
        <v>3974.3199999999933</v>
      </c>
      <c r="AL28" s="355">
        <f t="shared" si="49"/>
        <v>0</v>
      </c>
      <c r="AM28" s="320">
        <v>0</v>
      </c>
      <c r="AN28" s="320">
        <v>0</v>
      </c>
      <c r="AO28" s="351">
        <f t="shared" si="15"/>
        <v>0</v>
      </c>
      <c r="AP28" s="355">
        <f t="shared" si="50"/>
        <v>0</v>
      </c>
      <c r="AQ28" s="320">
        <v>0</v>
      </c>
      <c r="AR28" s="320">
        <v>0</v>
      </c>
      <c r="AS28" s="356">
        <f>CPP!I28</f>
        <v>0</v>
      </c>
      <c r="AT28" s="355">
        <f t="shared" si="16"/>
        <v>0</v>
      </c>
      <c r="AU28" s="320">
        <f t="shared" si="51"/>
        <v>0</v>
      </c>
      <c r="AV28" s="320">
        <v>0</v>
      </c>
      <c r="AW28" s="320">
        <v>0</v>
      </c>
      <c r="AX28" s="338">
        <f>CPP!J28</f>
        <v>0</v>
      </c>
      <c r="AY28" s="320">
        <f t="shared" si="17"/>
        <v>0</v>
      </c>
      <c r="AZ28" s="320">
        <f t="shared" si="52"/>
        <v>2854.3869999999902</v>
      </c>
      <c r="BA28" s="1">
        <v>187.76</v>
      </c>
      <c r="BB28" s="1">
        <v>266.67</v>
      </c>
      <c r="BC28" s="338">
        <f>CPP!K28</f>
        <v>0</v>
      </c>
      <c r="BD28" s="320">
        <f t="shared" si="18"/>
        <v>2775.4769999999899</v>
      </c>
      <c r="BE28" s="320">
        <f t="shared" si="53"/>
        <v>0</v>
      </c>
      <c r="BF28" s="320">
        <v>0</v>
      </c>
      <c r="BG28" s="320">
        <v>0</v>
      </c>
      <c r="BH28" s="338">
        <f>CPP!L28</f>
        <v>0</v>
      </c>
      <c r="BI28" s="320">
        <f t="shared" si="19"/>
        <v>0</v>
      </c>
      <c r="BJ28" s="320">
        <f t="shared" si="54"/>
        <v>0</v>
      </c>
      <c r="BK28" s="320">
        <v>0</v>
      </c>
      <c r="BL28" s="320">
        <v>0</v>
      </c>
      <c r="BM28" s="338">
        <f>CPP!M28</f>
        <v>0</v>
      </c>
      <c r="BN28" s="320">
        <f t="shared" si="55"/>
        <v>0</v>
      </c>
      <c r="BO28" s="320">
        <f t="shared" si="20"/>
        <v>0</v>
      </c>
      <c r="BP28" s="320">
        <v>0</v>
      </c>
      <c r="BQ28" s="320">
        <v>0</v>
      </c>
      <c r="BR28" s="338">
        <f>CPP!N28</f>
        <v>0</v>
      </c>
      <c r="BS28" s="320">
        <f t="shared" si="21"/>
        <v>0</v>
      </c>
      <c r="BT28" s="320">
        <f t="shared" si="22"/>
        <v>0</v>
      </c>
      <c r="BU28" s="320">
        <v>0</v>
      </c>
      <c r="BV28" s="320">
        <v>0</v>
      </c>
      <c r="BW28" s="338">
        <f>CPP!O28</f>
        <v>0</v>
      </c>
      <c r="BX28" s="320">
        <f t="shared" si="23"/>
        <v>0</v>
      </c>
      <c r="BY28" s="357">
        <f t="shared" si="56"/>
        <v>0</v>
      </c>
      <c r="BZ28" s="320">
        <v>0</v>
      </c>
      <c r="CA28" s="320">
        <v>0</v>
      </c>
      <c r="CB28" s="338"/>
      <c r="CC28" s="353">
        <f t="shared" si="24"/>
        <v>0</v>
      </c>
      <c r="CD28" s="320">
        <f t="shared" si="57"/>
        <v>0</v>
      </c>
      <c r="CE28" s="320">
        <v>0</v>
      </c>
      <c r="CF28" s="320">
        <v>0</v>
      </c>
      <c r="CG28" s="338">
        <f>CPP!P28</f>
        <v>0</v>
      </c>
      <c r="CH28" s="353">
        <f t="shared" si="25"/>
        <v>0</v>
      </c>
      <c r="CI28" s="320">
        <f t="shared" si="58"/>
        <v>0</v>
      </c>
      <c r="CJ28" s="320">
        <v>0</v>
      </c>
      <c r="CK28" s="320">
        <v>0</v>
      </c>
      <c r="CL28" s="338">
        <f>CPP!Q28</f>
        <v>0</v>
      </c>
      <c r="CM28" s="320">
        <f t="shared" si="26"/>
        <v>0</v>
      </c>
      <c r="CN28" s="320">
        <f t="shared" si="59"/>
        <v>5.0000000000181899E-2</v>
      </c>
      <c r="CO28" s="320">
        <v>0</v>
      </c>
      <c r="CP28" s="320">
        <v>0</v>
      </c>
      <c r="CQ28" s="338">
        <f>CPP!R28</f>
        <v>0</v>
      </c>
      <c r="CR28" s="320">
        <f t="shared" si="27"/>
        <v>5.0000000000181899E-2</v>
      </c>
      <c r="CS28" s="355">
        <f t="shared" si="60"/>
        <v>0</v>
      </c>
      <c r="CT28" s="320">
        <v>0</v>
      </c>
      <c r="CU28" s="320">
        <v>0</v>
      </c>
      <c r="CV28" s="356">
        <f>CPP!S28</f>
        <v>0</v>
      </c>
      <c r="CW28" s="355">
        <f t="shared" si="28"/>
        <v>0</v>
      </c>
      <c r="CX28" s="355">
        <f t="shared" si="61"/>
        <v>0</v>
      </c>
      <c r="CY28" s="320">
        <v>0</v>
      </c>
      <c r="CZ28" s="320">
        <v>0</v>
      </c>
      <c r="DA28" s="356">
        <f>CPP!T28</f>
        <v>0</v>
      </c>
      <c r="DB28" s="355">
        <f t="shared" si="29"/>
        <v>0</v>
      </c>
      <c r="DC28" s="355">
        <f t="shared" si="62"/>
        <v>1.0000000000013998E-2</v>
      </c>
      <c r="DD28" s="320">
        <v>0</v>
      </c>
      <c r="DE28" s="1">
        <v>0</v>
      </c>
      <c r="DF28" s="356">
        <f>CPP!U28</f>
        <v>0</v>
      </c>
      <c r="DG28" s="355">
        <f t="shared" si="30"/>
        <v>1.0000000000013998E-2</v>
      </c>
      <c r="DH28" s="355">
        <f t="shared" si="63"/>
        <v>0</v>
      </c>
      <c r="DI28" s="320">
        <v>0</v>
      </c>
      <c r="DJ28" s="320">
        <v>0</v>
      </c>
      <c r="DK28" s="356">
        <f>CPP!V28</f>
        <v>0</v>
      </c>
      <c r="DL28" s="355">
        <f t="shared" si="31"/>
        <v>0</v>
      </c>
      <c r="DM28" s="355">
        <f t="shared" si="64"/>
        <v>304</v>
      </c>
      <c r="DN28" s="1">
        <v>32</v>
      </c>
      <c r="DO28" s="320">
        <v>0</v>
      </c>
      <c r="DP28" s="356">
        <f>CPP!W28</f>
        <v>0</v>
      </c>
      <c r="DQ28" s="355">
        <f t="shared" si="32"/>
        <v>336</v>
      </c>
      <c r="DR28" s="355">
        <f t="shared" si="65"/>
        <v>1.0000000002058584E-2</v>
      </c>
      <c r="DS28" s="1">
        <v>0</v>
      </c>
      <c r="DT28" s="1">
        <v>0</v>
      </c>
      <c r="DU28" s="356">
        <f>CPP!X28</f>
        <v>0</v>
      </c>
      <c r="DV28" s="355">
        <f t="shared" si="33"/>
        <v>1.0000000002058584E-2</v>
      </c>
      <c r="DW28" s="355">
        <f t="shared" si="66"/>
        <v>0</v>
      </c>
      <c r="DX28" s="320">
        <v>0</v>
      </c>
      <c r="DY28" s="320">
        <v>0</v>
      </c>
      <c r="DZ28" s="356">
        <f>CPP!Y28</f>
        <v>0</v>
      </c>
      <c r="EA28" s="355">
        <f t="shared" si="34"/>
        <v>0</v>
      </c>
      <c r="EB28" s="129">
        <f t="shared" si="35"/>
        <v>3158.4469999999906</v>
      </c>
      <c r="EC28" s="170">
        <f t="shared" si="36"/>
        <v>219.76</v>
      </c>
      <c r="ED28" s="170">
        <f t="shared" si="69"/>
        <v>266.67</v>
      </c>
      <c r="EE28" s="129">
        <f t="shared" si="38"/>
        <v>3111.5369999999903</v>
      </c>
      <c r="EF28" s="18">
        <f t="shared" si="39"/>
        <v>3994.3199999999933</v>
      </c>
      <c r="EG28" s="170">
        <f t="shared" si="40"/>
        <v>120.05</v>
      </c>
      <c r="EH28" s="338">
        <f>CPP!D28+CPP!E28+CPP!F28+CPP!G28+CPP!H28+CPP!I28+CPP!J28+CPP!K28+CPP!L28+CPP!M28+CPP!N28+CPP!O28+CPP!P28+CPP!Q28+CPP!R28+CPP!S28+DA28+DF28+DK28+CPP!W28+DU28</f>
        <v>140</v>
      </c>
      <c r="EI28" s="351">
        <f>EF28+EG28-CPP!G28-CPP!E28-CPP!F28-CPP!P28-CPP!Q28-CL28-CQ28-DU28</f>
        <v>3974.3699999999935</v>
      </c>
      <c r="EJ28" s="358">
        <f t="shared" ref="EJ28:EJ33" si="77">EM27</f>
        <v>14126.273564417193</v>
      </c>
      <c r="EK28" s="1">
        <v>1550</v>
      </c>
      <c r="EL28" s="359">
        <f>'Daily CEM-1'!AG29+'Daily  CEM - 2'!AF29-EQ28</f>
        <v>2372.9250020831996</v>
      </c>
      <c r="EM28" s="349">
        <f t="shared" si="42"/>
        <v>13303.348562333995</v>
      </c>
      <c r="EN28" s="320">
        <v>0</v>
      </c>
      <c r="EO28" s="351">
        <f t="shared" si="67"/>
        <v>89.258008000135931</v>
      </c>
      <c r="EP28" s="1">
        <v>0</v>
      </c>
      <c r="EQ28" s="1">
        <v>0</v>
      </c>
      <c r="ER28" s="360">
        <f>EO28+EP28-EQ28</f>
        <v>89.258008000135931</v>
      </c>
      <c r="ES28" s="319">
        <f t="shared" si="44"/>
        <v>594.78</v>
      </c>
      <c r="ET28" s="319">
        <v>594.78</v>
      </c>
      <c r="EU28" s="361">
        <f t="shared" si="45"/>
        <v>2372.9250020831996</v>
      </c>
      <c r="EW28">
        <f>EU28/Production2!CG28</f>
        <v>0.81459835292935101</v>
      </c>
    </row>
    <row r="29" spans="2:154">
      <c r="B29" s="4">
        <v>27</v>
      </c>
      <c r="C29" s="39">
        <f t="shared" si="70"/>
        <v>1186.7400000000002</v>
      </c>
      <c r="D29" s="1">
        <v>29.5</v>
      </c>
      <c r="E29" s="269">
        <f>F29+'RAW MILL 2'!F29</f>
        <v>40</v>
      </c>
      <c r="F29" s="1">
        <v>37</v>
      </c>
      <c r="G29" s="9">
        <f t="shared" si="4"/>
        <v>1176.2400000000002</v>
      </c>
      <c r="H29" s="39">
        <f t="shared" si="71"/>
        <v>906.25001683751816</v>
      </c>
      <c r="I29" s="33">
        <f>Production2!N29+Production2!Q29</f>
        <v>2050.29</v>
      </c>
      <c r="J29" s="33">
        <f>Production2!K29</f>
        <v>2334.3000000000002</v>
      </c>
      <c r="K29" s="18">
        <f t="shared" si="6"/>
        <v>622.24001683751794</v>
      </c>
      <c r="L29" s="49">
        <f t="shared" si="72"/>
        <v>0</v>
      </c>
      <c r="M29" s="1">
        <v>0</v>
      </c>
      <c r="N29" s="33">
        <f>CPP!D29</f>
        <v>0</v>
      </c>
      <c r="O29" s="1">
        <v>0</v>
      </c>
      <c r="P29" s="33">
        <f t="shared" si="73"/>
        <v>0</v>
      </c>
      <c r="Q29" s="9">
        <f t="shared" si="48"/>
        <v>0</v>
      </c>
      <c r="R29" s="39">
        <f t="shared" si="74"/>
        <v>0</v>
      </c>
      <c r="S29" s="1">
        <v>0</v>
      </c>
      <c r="T29" s="33">
        <f>CPP!E29</f>
        <v>0</v>
      </c>
      <c r="U29" s="26">
        <v>0</v>
      </c>
      <c r="V29" s="38">
        <f t="shared" si="9"/>
        <v>0</v>
      </c>
      <c r="W29" s="9">
        <f t="shared" si="10"/>
        <v>0</v>
      </c>
      <c r="X29" s="39">
        <f t="shared" si="75"/>
        <v>3.9999999998087787E-2</v>
      </c>
      <c r="Y29" s="1">
        <v>0</v>
      </c>
      <c r="Z29" s="33">
        <f>CPP!H29</f>
        <v>0</v>
      </c>
      <c r="AA29" s="1">
        <v>0</v>
      </c>
      <c r="AB29" s="9">
        <f t="shared" si="12"/>
        <v>3.9999999998087787E-2</v>
      </c>
      <c r="AC29" s="39">
        <f t="shared" si="13"/>
        <v>0</v>
      </c>
      <c r="AD29" s="1">
        <v>0</v>
      </c>
      <c r="AE29" s="1">
        <v>0</v>
      </c>
      <c r="AF29" s="9">
        <f t="shared" si="76"/>
        <v>0</v>
      </c>
      <c r="AG29" s="39">
        <f t="shared" si="14"/>
        <v>3974.3199999999933</v>
      </c>
      <c r="AH29" s="1">
        <v>30</v>
      </c>
      <c r="AI29" s="1">
        <v>0</v>
      </c>
      <c r="AJ29" s="170">
        <f>CPP!G29</f>
        <v>143</v>
      </c>
      <c r="AK29" s="9">
        <f t="shared" si="68"/>
        <v>3861.3199999999933</v>
      </c>
      <c r="AL29" s="129">
        <f t="shared" si="49"/>
        <v>0</v>
      </c>
      <c r="AM29" s="1">
        <v>0</v>
      </c>
      <c r="AN29" s="1">
        <v>0</v>
      </c>
      <c r="AO29" s="18">
        <f t="shared" si="15"/>
        <v>0</v>
      </c>
      <c r="AP29" s="129">
        <f t="shared" si="50"/>
        <v>0</v>
      </c>
      <c r="AQ29" s="1">
        <v>0</v>
      </c>
      <c r="AR29" s="1">
        <v>0</v>
      </c>
      <c r="AS29" s="171">
        <f>CPP!I29</f>
        <v>0</v>
      </c>
      <c r="AT29" s="129">
        <f t="shared" si="16"/>
        <v>0</v>
      </c>
      <c r="AU29" s="1">
        <f t="shared" si="51"/>
        <v>0</v>
      </c>
      <c r="AV29" s="1">
        <v>0</v>
      </c>
      <c r="AW29" s="1">
        <v>0</v>
      </c>
      <c r="AX29" s="170">
        <f>CPP!J29</f>
        <v>0</v>
      </c>
      <c r="AY29" s="1">
        <f t="shared" si="17"/>
        <v>0</v>
      </c>
      <c r="AZ29" s="1">
        <f t="shared" si="52"/>
        <v>2775.4769999999899</v>
      </c>
      <c r="BA29" s="1">
        <v>186.28</v>
      </c>
      <c r="BB29" s="1">
        <v>244.44</v>
      </c>
      <c r="BC29" s="170">
        <f>CPP!K29</f>
        <v>0</v>
      </c>
      <c r="BD29" s="1">
        <f t="shared" si="18"/>
        <v>2717.31699999999</v>
      </c>
      <c r="BE29" s="1">
        <f t="shared" si="53"/>
        <v>0</v>
      </c>
      <c r="BF29" s="1">
        <v>0</v>
      </c>
      <c r="BG29" s="1">
        <v>0</v>
      </c>
      <c r="BH29" s="170">
        <f>CPP!L29</f>
        <v>0</v>
      </c>
      <c r="BI29" s="1">
        <f t="shared" si="19"/>
        <v>0</v>
      </c>
      <c r="BJ29" s="1">
        <f t="shared" si="54"/>
        <v>0</v>
      </c>
      <c r="BK29" s="1">
        <v>0</v>
      </c>
      <c r="BL29" s="1">
        <v>0</v>
      </c>
      <c r="BM29" s="170">
        <f>CPP!M29</f>
        <v>0</v>
      </c>
      <c r="BN29" s="1">
        <f t="shared" si="55"/>
        <v>0</v>
      </c>
      <c r="BO29" s="1">
        <f t="shared" si="20"/>
        <v>0</v>
      </c>
      <c r="BP29" s="1">
        <v>0</v>
      </c>
      <c r="BQ29" s="1">
        <v>0</v>
      </c>
      <c r="BR29" s="170">
        <f>CPP!N29</f>
        <v>0</v>
      </c>
      <c r="BS29" s="1">
        <f t="shared" si="21"/>
        <v>0</v>
      </c>
      <c r="BT29" s="1">
        <f t="shared" si="22"/>
        <v>0</v>
      </c>
      <c r="BU29" s="1">
        <v>0</v>
      </c>
      <c r="BV29" s="1">
        <v>0</v>
      </c>
      <c r="BW29" s="170">
        <f>CPP!O29</f>
        <v>0</v>
      </c>
      <c r="BX29" s="1">
        <f t="shared" si="23"/>
        <v>0</v>
      </c>
      <c r="BY29" s="174">
        <f t="shared" si="56"/>
        <v>0</v>
      </c>
      <c r="BZ29" s="1">
        <v>0</v>
      </c>
      <c r="CA29" s="1">
        <v>0</v>
      </c>
      <c r="CB29" s="170"/>
      <c r="CC29" s="26">
        <f t="shared" si="24"/>
        <v>0</v>
      </c>
      <c r="CD29" s="1">
        <f t="shared" si="57"/>
        <v>0</v>
      </c>
      <c r="CE29" s="1">
        <v>0</v>
      </c>
      <c r="CF29" s="1">
        <v>0</v>
      </c>
      <c r="CG29" s="170">
        <f>CPP!P29</f>
        <v>0</v>
      </c>
      <c r="CH29" s="26">
        <f t="shared" si="25"/>
        <v>0</v>
      </c>
      <c r="CI29" s="1">
        <f t="shared" si="58"/>
        <v>0</v>
      </c>
      <c r="CJ29" s="1">
        <v>0</v>
      </c>
      <c r="CK29" s="1">
        <v>0</v>
      </c>
      <c r="CL29" s="170">
        <f>CPP!Q29</f>
        <v>0</v>
      </c>
      <c r="CM29" s="1">
        <f t="shared" si="26"/>
        <v>0</v>
      </c>
      <c r="CN29" s="1">
        <f t="shared" si="59"/>
        <v>5.0000000000181899E-2</v>
      </c>
      <c r="CO29" s="1">
        <v>0</v>
      </c>
      <c r="CP29" s="1">
        <v>0</v>
      </c>
      <c r="CQ29" s="170">
        <f>CPP!R29</f>
        <v>0</v>
      </c>
      <c r="CR29" s="1">
        <f t="shared" si="27"/>
        <v>5.0000000000181899E-2</v>
      </c>
      <c r="CS29" s="129">
        <f t="shared" si="60"/>
        <v>0</v>
      </c>
      <c r="CT29" s="1">
        <v>0</v>
      </c>
      <c r="CU29" s="1">
        <v>0</v>
      </c>
      <c r="CV29" s="171">
        <f>CPP!S29</f>
        <v>0</v>
      </c>
      <c r="CW29" s="129">
        <f t="shared" si="28"/>
        <v>0</v>
      </c>
      <c r="CX29" s="129">
        <f t="shared" si="61"/>
        <v>0</v>
      </c>
      <c r="CY29" s="1">
        <v>0</v>
      </c>
      <c r="CZ29" s="1">
        <v>0</v>
      </c>
      <c r="DA29" s="171">
        <f>CPP!T29</f>
        <v>0</v>
      </c>
      <c r="DB29" s="129">
        <f t="shared" si="29"/>
        <v>0</v>
      </c>
      <c r="DC29" s="129">
        <f t="shared" si="62"/>
        <v>1.0000000000013998E-2</v>
      </c>
      <c r="DD29" s="1">
        <v>0</v>
      </c>
      <c r="DE29" s="1">
        <v>0</v>
      </c>
      <c r="DF29" s="171">
        <f>CPP!U29</f>
        <v>0</v>
      </c>
      <c r="DG29" s="129">
        <f t="shared" si="30"/>
        <v>1.0000000000013998E-2</v>
      </c>
      <c r="DH29" s="129">
        <f t="shared" si="63"/>
        <v>0</v>
      </c>
      <c r="DI29" s="1">
        <v>0</v>
      </c>
      <c r="DJ29" s="1">
        <v>0</v>
      </c>
      <c r="DK29" s="171">
        <f>CPP!V29</f>
        <v>0</v>
      </c>
      <c r="DL29" s="129">
        <f t="shared" si="31"/>
        <v>0</v>
      </c>
      <c r="DM29" s="129">
        <f t="shared" si="64"/>
        <v>336</v>
      </c>
      <c r="DN29" s="1">
        <v>96</v>
      </c>
      <c r="DO29" s="1">
        <v>0</v>
      </c>
      <c r="DP29" s="171">
        <f>CPP!W29</f>
        <v>0</v>
      </c>
      <c r="DQ29" s="129">
        <f t="shared" si="32"/>
        <v>432</v>
      </c>
      <c r="DR29" s="129">
        <f t="shared" si="65"/>
        <v>1.0000000002058584E-2</v>
      </c>
      <c r="DS29" s="1">
        <v>0</v>
      </c>
      <c r="DT29" s="1">
        <v>0</v>
      </c>
      <c r="DU29" s="171">
        <f>CPP!X29</f>
        <v>0</v>
      </c>
      <c r="DV29" s="129">
        <f t="shared" si="33"/>
        <v>1.0000000002058584E-2</v>
      </c>
      <c r="DW29" s="129">
        <f t="shared" si="66"/>
        <v>0</v>
      </c>
      <c r="DX29" s="1">
        <v>0</v>
      </c>
      <c r="DY29" s="1">
        <v>0</v>
      </c>
      <c r="DZ29" s="171">
        <f>CPP!Y29</f>
        <v>0</v>
      </c>
      <c r="EA29" s="129">
        <f t="shared" si="34"/>
        <v>0</v>
      </c>
      <c r="EB29" s="129">
        <f t="shared" si="35"/>
        <v>3111.5369999999903</v>
      </c>
      <c r="EC29" s="170">
        <f t="shared" si="36"/>
        <v>282.27999999999997</v>
      </c>
      <c r="ED29" s="170">
        <f t="shared" si="69"/>
        <v>244.44</v>
      </c>
      <c r="EE29" s="129">
        <f t="shared" si="38"/>
        <v>3149.3769999999899</v>
      </c>
      <c r="EF29" s="18">
        <f t="shared" si="39"/>
        <v>3974.3699999999935</v>
      </c>
      <c r="EG29" s="170">
        <f t="shared" si="40"/>
        <v>30</v>
      </c>
      <c r="EH29" s="170">
        <f>CPP!D29+CPP!E29+CPP!F29+CPP!G29+CPP!H29+CPP!I29+CPP!J29+CPP!K29+CPP!L29+CPP!M29+CPP!N29+CPP!O29+CPP!P29+CPP!Q29+CPP!R29+CPP!S29+DA29+DF29+DK29+CPP!W29+DU29</f>
        <v>143</v>
      </c>
      <c r="EI29" s="18">
        <f>EF29+EG29-CPP!G29-CPP!E29-CPP!F29-CPP!P29-CPP!Q29-CL29-CQ29-DU29</f>
        <v>3861.3699999999935</v>
      </c>
      <c r="EJ29" s="16">
        <f t="shared" si="77"/>
        <v>13303.348562333995</v>
      </c>
      <c r="EK29" s="1">
        <v>1506</v>
      </c>
      <c r="EL29" s="253">
        <f>'Daily CEM-1'!AG30+'Daily  CEM - 2'!AF30-EQ29</f>
        <v>1955.9900019827999</v>
      </c>
      <c r="EM29" s="9">
        <f t="shared" si="42"/>
        <v>12853.358560351195</v>
      </c>
      <c r="EN29" s="1">
        <v>0</v>
      </c>
      <c r="EO29" s="18">
        <f t="shared" si="67"/>
        <v>89.258008000135931</v>
      </c>
      <c r="EP29" s="1">
        <v>0</v>
      </c>
      <c r="EQ29" s="1">
        <v>0</v>
      </c>
      <c r="ER29" s="17">
        <f t="shared" si="43"/>
        <v>89.258008000135931</v>
      </c>
      <c r="ES29">
        <f t="shared" si="44"/>
        <v>748.68</v>
      </c>
      <c r="ET29">
        <v>748.68</v>
      </c>
      <c r="EU29" s="51">
        <f t="shared" si="45"/>
        <v>1955.9900019827999</v>
      </c>
      <c r="EW29">
        <f>EU29/Production2!CG29</f>
        <v>0.81397836120798994</v>
      </c>
    </row>
    <row r="30" spans="2:154">
      <c r="B30" s="4">
        <v>28</v>
      </c>
      <c r="C30" s="39">
        <f t="shared" si="70"/>
        <v>1176.2400000000002</v>
      </c>
      <c r="D30" s="1">
        <v>0</v>
      </c>
      <c r="E30" s="269">
        <f>F30+'RAW MILL 2'!F30</f>
        <v>34</v>
      </c>
      <c r="F30" s="1">
        <v>32</v>
      </c>
      <c r="G30" s="9">
        <f t="shared" si="4"/>
        <v>1142.2400000000002</v>
      </c>
      <c r="H30" s="39">
        <f t="shared" si="71"/>
        <v>622.24001683751794</v>
      </c>
      <c r="I30" s="33">
        <f>Production2!N30+Production2!Q30</f>
        <v>2383.11</v>
      </c>
      <c r="J30" s="33">
        <f>Production2!K30</f>
        <v>2123.5</v>
      </c>
      <c r="K30" s="18">
        <f t="shared" si="6"/>
        <v>881.85001683751807</v>
      </c>
      <c r="L30" s="49">
        <f t="shared" si="72"/>
        <v>0</v>
      </c>
      <c r="M30" s="1">
        <v>0</v>
      </c>
      <c r="N30" s="33">
        <f>CPP!D30</f>
        <v>0</v>
      </c>
      <c r="O30" s="1">
        <v>0</v>
      </c>
      <c r="P30" s="33">
        <f t="shared" si="73"/>
        <v>0</v>
      </c>
      <c r="Q30" s="9">
        <f t="shared" si="48"/>
        <v>0</v>
      </c>
      <c r="R30" s="39">
        <f t="shared" si="74"/>
        <v>0</v>
      </c>
      <c r="S30" s="1">
        <v>0</v>
      </c>
      <c r="T30" s="33">
        <f>CPP!E30</f>
        <v>0</v>
      </c>
      <c r="U30" s="26">
        <v>0</v>
      </c>
      <c r="V30" s="38">
        <f t="shared" si="9"/>
        <v>0</v>
      </c>
      <c r="W30" s="9">
        <f t="shared" si="10"/>
        <v>0</v>
      </c>
      <c r="X30" s="39">
        <f t="shared" si="75"/>
        <v>3.9999999998087787E-2</v>
      </c>
      <c r="Y30" s="1">
        <v>0</v>
      </c>
      <c r="Z30" s="33">
        <f>CPP!H30</f>
        <v>0</v>
      </c>
      <c r="AA30" s="1">
        <v>0</v>
      </c>
      <c r="AB30" s="9">
        <f t="shared" si="12"/>
        <v>3.9999999998087787E-2</v>
      </c>
      <c r="AC30" s="39">
        <f t="shared" si="13"/>
        <v>0</v>
      </c>
      <c r="AD30" s="1">
        <v>0</v>
      </c>
      <c r="AE30" s="1">
        <v>0</v>
      </c>
      <c r="AF30" s="9">
        <f t="shared" si="76"/>
        <v>0</v>
      </c>
      <c r="AG30" s="39">
        <f t="shared" si="14"/>
        <v>3861.3199999999933</v>
      </c>
      <c r="AH30" s="1">
        <v>0</v>
      </c>
      <c r="AI30" s="1">
        <v>0</v>
      </c>
      <c r="AJ30" s="170">
        <f>CPP!G30</f>
        <v>145</v>
      </c>
      <c r="AK30" s="9">
        <f>AG30+AH30-AI30-AJ30</f>
        <v>3716.3199999999933</v>
      </c>
      <c r="AL30" s="129">
        <f t="shared" si="49"/>
        <v>0</v>
      </c>
      <c r="AM30" s="1">
        <v>0</v>
      </c>
      <c r="AN30" s="1">
        <v>0</v>
      </c>
      <c r="AO30" s="18">
        <f t="shared" si="15"/>
        <v>0</v>
      </c>
      <c r="AP30" s="129">
        <f t="shared" si="50"/>
        <v>0</v>
      </c>
      <c r="AQ30" s="1">
        <v>0</v>
      </c>
      <c r="AR30" s="1">
        <v>0</v>
      </c>
      <c r="AS30" s="171">
        <f>CPP!I30</f>
        <v>0</v>
      </c>
      <c r="AT30" s="129">
        <f t="shared" si="16"/>
        <v>0</v>
      </c>
      <c r="AU30" s="1">
        <f t="shared" si="51"/>
        <v>0</v>
      </c>
      <c r="AV30" s="1">
        <v>0</v>
      </c>
      <c r="AW30" s="1">
        <v>0</v>
      </c>
      <c r="AX30" s="170">
        <f>CPP!J30</f>
        <v>0</v>
      </c>
      <c r="AY30" s="1">
        <f t="shared" si="17"/>
        <v>0</v>
      </c>
      <c r="AZ30" s="1">
        <f t="shared" si="52"/>
        <v>2717.31699999999</v>
      </c>
      <c r="BA30" s="1">
        <v>0</v>
      </c>
      <c r="BB30" s="1">
        <v>233.33</v>
      </c>
      <c r="BC30" s="170">
        <f>CPP!K30</f>
        <v>0</v>
      </c>
      <c r="BD30" s="1">
        <f t="shared" si="18"/>
        <v>2483.9869999999901</v>
      </c>
      <c r="BE30" s="1">
        <f t="shared" si="53"/>
        <v>0</v>
      </c>
      <c r="BF30" s="1">
        <v>0</v>
      </c>
      <c r="BG30" s="1">
        <v>0</v>
      </c>
      <c r="BH30" s="170">
        <f>CPP!L30</f>
        <v>0</v>
      </c>
      <c r="BI30" s="1">
        <f t="shared" si="19"/>
        <v>0</v>
      </c>
      <c r="BJ30" s="1">
        <f t="shared" si="54"/>
        <v>0</v>
      </c>
      <c r="BK30" s="1">
        <v>0</v>
      </c>
      <c r="BL30" s="1">
        <v>0</v>
      </c>
      <c r="BM30" s="170">
        <f>CPP!M30</f>
        <v>0</v>
      </c>
      <c r="BN30" s="1">
        <f t="shared" si="55"/>
        <v>0</v>
      </c>
      <c r="BO30" s="1">
        <f t="shared" si="20"/>
        <v>0</v>
      </c>
      <c r="BP30" s="1">
        <v>0</v>
      </c>
      <c r="BQ30" s="1">
        <v>0</v>
      </c>
      <c r="BR30" s="170">
        <f>CPP!N30</f>
        <v>0</v>
      </c>
      <c r="BS30" s="1">
        <f t="shared" si="21"/>
        <v>0</v>
      </c>
      <c r="BT30" s="1">
        <f t="shared" si="22"/>
        <v>0</v>
      </c>
      <c r="BU30" s="1">
        <v>0</v>
      </c>
      <c r="BV30" s="1">
        <v>0</v>
      </c>
      <c r="BW30" s="170">
        <f>CPP!O30</f>
        <v>0</v>
      </c>
      <c r="BX30" s="1">
        <f t="shared" si="23"/>
        <v>0</v>
      </c>
      <c r="BY30" s="174">
        <f t="shared" si="56"/>
        <v>0</v>
      </c>
      <c r="BZ30" s="1">
        <v>0</v>
      </c>
      <c r="CA30" s="1">
        <v>0</v>
      </c>
      <c r="CB30" s="170"/>
      <c r="CC30" s="26">
        <f t="shared" si="24"/>
        <v>0</v>
      </c>
      <c r="CD30" s="1">
        <f t="shared" si="57"/>
        <v>0</v>
      </c>
      <c r="CE30" s="1">
        <v>0</v>
      </c>
      <c r="CF30" s="1">
        <v>0</v>
      </c>
      <c r="CG30" s="170">
        <f>CPP!P30</f>
        <v>0</v>
      </c>
      <c r="CH30" s="26">
        <f t="shared" si="25"/>
        <v>0</v>
      </c>
      <c r="CI30" s="1">
        <f t="shared" si="58"/>
        <v>0</v>
      </c>
      <c r="CJ30" s="1">
        <v>0</v>
      </c>
      <c r="CK30" s="1">
        <v>0</v>
      </c>
      <c r="CL30" s="170">
        <f>CPP!Q30</f>
        <v>0</v>
      </c>
      <c r="CM30" s="1">
        <f t="shared" si="26"/>
        <v>0</v>
      </c>
      <c r="CN30" s="1">
        <f t="shared" si="59"/>
        <v>5.0000000000181899E-2</v>
      </c>
      <c r="CO30" s="1">
        <v>0</v>
      </c>
      <c r="CP30" s="1">
        <v>0</v>
      </c>
      <c r="CQ30" s="170">
        <f>CPP!R30</f>
        <v>0</v>
      </c>
      <c r="CR30" s="1">
        <f t="shared" si="27"/>
        <v>5.0000000000181899E-2</v>
      </c>
      <c r="CS30" s="129">
        <f t="shared" si="60"/>
        <v>0</v>
      </c>
      <c r="CT30" s="1">
        <v>0</v>
      </c>
      <c r="CU30" s="1">
        <v>0</v>
      </c>
      <c r="CV30" s="171">
        <f>CPP!S30</f>
        <v>0</v>
      </c>
      <c r="CW30" s="129">
        <f t="shared" si="28"/>
        <v>0</v>
      </c>
      <c r="CX30" s="129">
        <f t="shared" si="61"/>
        <v>0</v>
      </c>
      <c r="CY30" s="1">
        <v>0</v>
      </c>
      <c r="CZ30" s="1">
        <v>0</v>
      </c>
      <c r="DA30" s="171">
        <f>CPP!T30</f>
        <v>0</v>
      </c>
      <c r="DB30" s="129">
        <f t="shared" si="29"/>
        <v>0</v>
      </c>
      <c r="DC30" s="129">
        <f t="shared" si="62"/>
        <v>1.0000000000013998E-2</v>
      </c>
      <c r="DD30" s="1">
        <v>0</v>
      </c>
      <c r="DE30" s="1">
        <v>0</v>
      </c>
      <c r="DF30" s="171">
        <f>CPP!U30</f>
        <v>0</v>
      </c>
      <c r="DG30" s="129">
        <f t="shared" si="30"/>
        <v>1.0000000000013998E-2</v>
      </c>
      <c r="DH30" s="129">
        <f t="shared" si="63"/>
        <v>0</v>
      </c>
      <c r="DI30" s="1">
        <v>0</v>
      </c>
      <c r="DJ30" s="1">
        <v>0</v>
      </c>
      <c r="DK30" s="171">
        <f>CPP!V30</f>
        <v>0</v>
      </c>
      <c r="DL30" s="129">
        <f t="shared" si="31"/>
        <v>0</v>
      </c>
      <c r="DM30" s="129">
        <f t="shared" si="64"/>
        <v>432</v>
      </c>
      <c r="DN30" s="1">
        <v>0</v>
      </c>
      <c r="DO30" s="1">
        <v>0</v>
      </c>
      <c r="DP30" s="171">
        <f>CPP!W30</f>
        <v>0</v>
      </c>
      <c r="DQ30" s="129">
        <f t="shared" si="32"/>
        <v>432</v>
      </c>
      <c r="DR30" s="129">
        <f t="shared" si="65"/>
        <v>1.0000000002058584E-2</v>
      </c>
      <c r="DS30" s="1">
        <v>0</v>
      </c>
      <c r="DT30" s="1">
        <v>0</v>
      </c>
      <c r="DU30" s="171">
        <f>CPP!X30</f>
        <v>0</v>
      </c>
      <c r="DV30" s="129">
        <f t="shared" si="33"/>
        <v>1.0000000002058584E-2</v>
      </c>
      <c r="DW30" s="129">
        <f t="shared" si="66"/>
        <v>0</v>
      </c>
      <c r="DX30" s="1">
        <v>0</v>
      </c>
      <c r="DY30" s="1">
        <v>0</v>
      </c>
      <c r="DZ30" s="171">
        <f>CPP!Y30</f>
        <v>0</v>
      </c>
      <c r="EA30" s="129">
        <f t="shared" si="34"/>
        <v>0</v>
      </c>
      <c r="EB30" s="129">
        <f t="shared" si="35"/>
        <v>3149.3769999999904</v>
      </c>
      <c r="EC30" s="170">
        <f t="shared" si="36"/>
        <v>0</v>
      </c>
      <c r="ED30" s="170">
        <f t="shared" si="69"/>
        <v>233.33</v>
      </c>
      <c r="EE30" s="129">
        <f t="shared" si="38"/>
        <v>2916.0469999999905</v>
      </c>
      <c r="EF30" s="18">
        <f t="shared" si="39"/>
        <v>3861.3699999999935</v>
      </c>
      <c r="EG30" s="170">
        <f t="shared" si="40"/>
        <v>0</v>
      </c>
      <c r="EH30" s="170">
        <f>CPP!D30+CPP!E30+CPP!F30+CPP!G30+CPP!H30+CPP!I30+CPP!J30+CPP!K30+CPP!L30+CPP!M30+CPP!N30+CPP!O30+CPP!P30+CPP!Q30+CPP!R30+CPP!S30+DA30+DF30+DK30+CPP!W30+DU30</f>
        <v>145</v>
      </c>
      <c r="EI30" s="18">
        <f>EF30+EG30-CPP!G30-CPP!E30-CPP!F30-CPP!P30-CPP!Q30-CL30-CQ30-DU30</f>
        <v>3716.3699999999935</v>
      </c>
      <c r="EJ30" s="16">
        <f t="shared" si="77"/>
        <v>12853.358560351195</v>
      </c>
      <c r="EK30" s="1">
        <v>1370</v>
      </c>
      <c r="EL30" s="253">
        <f>'Daily CEM-1'!AG31+'Daily  CEM - 2'!AF31-EQ30</f>
        <v>2303.7169994277206</v>
      </c>
      <c r="EM30" s="9">
        <f t="shared" si="42"/>
        <v>11919.641560923474</v>
      </c>
      <c r="EN30" s="1">
        <v>0</v>
      </c>
      <c r="EO30" s="18">
        <f t="shared" si="67"/>
        <v>89.258008000135931</v>
      </c>
      <c r="EP30" s="1">
        <v>0</v>
      </c>
      <c r="EQ30" s="1">
        <v>0</v>
      </c>
      <c r="ER30" s="17">
        <f t="shared" si="43"/>
        <v>89.258008000135931</v>
      </c>
      <c r="ES30">
        <f t="shared" si="44"/>
        <v>0</v>
      </c>
      <c r="EU30" s="51">
        <f t="shared" si="45"/>
        <v>2303.7169994277206</v>
      </c>
      <c r="EW30">
        <f>EU30/Production2!CG30</f>
        <v>0.81692092178287967</v>
      </c>
    </row>
    <row r="31" spans="2:154">
      <c r="B31" s="4">
        <v>29</v>
      </c>
      <c r="C31" s="39">
        <f t="shared" si="70"/>
        <v>1142.2400000000002</v>
      </c>
      <c r="D31" s="1">
        <v>62.6</v>
      </c>
      <c r="E31" s="269">
        <f>F31+'RAW MILL 2'!F31</f>
        <v>77</v>
      </c>
      <c r="F31" s="1">
        <v>72</v>
      </c>
      <c r="G31" s="9">
        <f t="shared" si="4"/>
        <v>1127.8400000000001</v>
      </c>
      <c r="H31" s="39">
        <f t="shared" si="71"/>
        <v>881.85001683751807</v>
      </c>
      <c r="I31" s="33">
        <f>Production2!N31+Production2!Q31</f>
        <v>2471.79</v>
      </c>
      <c r="J31" s="33">
        <f>Production2!K31</f>
        <v>2309.5</v>
      </c>
      <c r="K31" s="18">
        <f t="shared" si="6"/>
        <v>1044.140016837518</v>
      </c>
      <c r="L31" s="49">
        <f t="shared" si="72"/>
        <v>0</v>
      </c>
      <c r="M31" s="1">
        <v>0</v>
      </c>
      <c r="N31" s="33">
        <f>CPP!D31</f>
        <v>0</v>
      </c>
      <c r="O31" s="1">
        <v>0</v>
      </c>
      <c r="P31" s="33">
        <f t="shared" si="73"/>
        <v>0</v>
      </c>
      <c r="Q31" s="9">
        <f t="shared" si="48"/>
        <v>0</v>
      </c>
      <c r="R31" s="39">
        <f t="shared" si="74"/>
        <v>0</v>
      </c>
      <c r="S31" s="1">
        <v>0</v>
      </c>
      <c r="T31" s="33">
        <f>CPP!E31</f>
        <v>0</v>
      </c>
      <c r="U31" s="26">
        <v>0</v>
      </c>
      <c r="V31" s="38">
        <f t="shared" si="9"/>
        <v>0</v>
      </c>
      <c r="W31" s="9">
        <f t="shared" si="10"/>
        <v>0</v>
      </c>
      <c r="X31" s="39">
        <f t="shared" si="75"/>
        <v>3.9999999998087787E-2</v>
      </c>
      <c r="Y31" s="1">
        <v>0</v>
      </c>
      <c r="Z31" s="33">
        <f>CPP!H31</f>
        <v>0</v>
      </c>
      <c r="AA31" s="1">
        <v>0</v>
      </c>
      <c r="AB31" s="9">
        <f t="shared" si="12"/>
        <v>3.9999999998087787E-2</v>
      </c>
      <c r="AC31" s="39">
        <f t="shared" si="13"/>
        <v>0</v>
      </c>
      <c r="AD31" s="1">
        <v>0</v>
      </c>
      <c r="AE31" s="1">
        <v>0</v>
      </c>
      <c r="AF31" s="9">
        <f t="shared" si="76"/>
        <v>0</v>
      </c>
      <c r="AG31" s="39">
        <f t="shared" si="14"/>
        <v>3716.3199999999933</v>
      </c>
      <c r="AH31" s="1">
        <v>89.65</v>
      </c>
      <c r="AI31" s="1">
        <v>0</v>
      </c>
      <c r="AJ31" s="170">
        <f>CPP!G31</f>
        <v>150</v>
      </c>
      <c r="AK31" s="9">
        <f t="shared" si="68"/>
        <v>3655.9699999999934</v>
      </c>
      <c r="AL31" s="129">
        <f t="shared" si="49"/>
        <v>0</v>
      </c>
      <c r="AM31" s="1">
        <v>0</v>
      </c>
      <c r="AN31" s="1">
        <v>0</v>
      </c>
      <c r="AO31" s="18">
        <f t="shared" si="15"/>
        <v>0</v>
      </c>
      <c r="AP31" s="129">
        <f t="shared" si="50"/>
        <v>0</v>
      </c>
      <c r="AQ31" s="1">
        <v>0</v>
      </c>
      <c r="AR31" s="1">
        <v>0</v>
      </c>
      <c r="AS31" s="171">
        <f>CPP!I31</f>
        <v>0</v>
      </c>
      <c r="AT31" s="129">
        <f t="shared" si="16"/>
        <v>0</v>
      </c>
      <c r="AU31" s="1">
        <f t="shared" si="51"/>
        <v>0</v>
      </c>
      <c r="AV31" s="1">
        <v>0</v>
      </c>
      <c r="AW31" s="1">
        <v>0</v>
      </c>
      <c r="AX31" s="170">
        <f>CPP!J31</f>
        <v>0</v>
      </c>
      <c r="AY31" s="1">
        <f t="shared" si="17"/>
        <v>0</v>
      </c>
      <c r="AZ31" s="1">
        <f t="shared" si="52"/>
        <v>2483.9869999999901</v>
      </c>
      <c r="BA31" s="1">
        <v>527.94000000000005</v>
      </c>
      <c r="BB31" s="1">
        <v>246</v>
      </c>
      <c r="BC31" s="170">
        <f>CPP!K31</f>
        <v>0</v>
      </c>
      <c r="BD31" s="1">
        <f t="shared" si="18"/>
        <v>2765.9269999999901</v>
      </c>
      <c r="BE31" s="1">
        <f t="shared" si="53"/>
        <v>0</v>
      </c>
      <c r="BF31" s="1">
        <v>0</v>
      </c>
      <c r="BG31" s="1">
        <v>0</v>
      </c>
      <c r="BH31" s="170">
        <f>CPP!L31</f>
        <v>0</v>
      </c>
      <c r="BI31" s="1">
        <f t="shared" si="19"/>
        <v>0</v>
      </c>
      <c r="BJ31" s="1">
        <f t="shared" si="54"/>
        <v>0</v>
      </c>
      <c r="BK31" s="1">
        <v>0</v>
      </c>
      <c r="BL31" s="1">
        <v>0</v>
      </c>
      <c r="BM31" s="170">
        <f>CPP!M31</f>
        <v>0</v>
      </c>
      <c r="BN31" s="1">
        <f t="shared" si="55"/>
        <v>0</v>
      </c>
      <c r="BO31" s="1">
        <f t="shared" si="20"/>
        <v>0</v>
      </c>
      <c r="BP31" s="1">
        <v>0</v>
      </c>
      <c r="BQ31" s="1">
        <v>0</v>
      </c>
      <c r="BR31" s="170">
        <f>CPP!N31</f>
        <v>0</v>
      </c>
      <c r="BS31" s="1">
        <f t="shared" si="21"/>
        <v>0</v>
      </c>
      <c r="BT31" s="1">
        <f t="shared" si="22"/>
        <v>0</v>
      </c>
      <c r="BU31" s="1">
        <v>0</v>
      </c>
      <c r="BV31" s="1">
        <v>0</v>
      </c>
      <c r="BW31" s="170">
        <f>CPP!O31</f>
        <v>0</v>
      </c>
      <c r="BX31" s="1">
        <f t="shared" si="23"/>
        <v>0</v>
      </c>
      <c r="BY31" s="174">
        <f t="shared" si="56"/>
        <v>0</v>
      </c>
      <c r="BZ31" s="1">
        <v>0</v>
      </c>
      <c r="CA31" s="1">
        <v>0</v>
      </c>
      <c r="CB31" s="170"/>
      <c r="CC31" s="26">
        <f t="shared" si="24"/>
        <v>0</v>
      </c>
      <c r="CD31" s="1">
        <f t="shared" si="57"/>
        <v>0</v>
      </c>
      <c r="CE31" s="1">
        <v>0</v>
      </c>
      <c r="CF31" s="1">
        <v>0</v>
      </c>
      <c r="CG31" s="170">
        <f>CPP!P31</f>
        <v>0</v>
      </c>
      <c r="CH31" s="26">
        <f t="shared" si="25"/>
        <v>0</v>
      </c>
      <c r="CI31" s="1">
        <f t="shared" si="58"/>
        <v>0</v>
      </c>
      <c r="CJ31" s="1">
        <v>0</v>
      </c>
      <c r="CK31" s="1">
        <v>0</v>
      </c>
      <c r="CL31" s="170">
        <f>CPP!Q31</f>
        <v>0</v>
      </c>
      <c r="CM31" s="1">
        <f t="shared" si="26"/>
        <v>0</v>
      </c>
      <c r="CN31" s="1">
        <f t="shared" si="59"/>
        <v>5.0000000000181899E-2</v>
      </c>
      <c r="CO31" s="1">
        <v>0</v>
      </c>
      <c r="CP31" s="1">
        <v>0</v>
      </c>
      <c r="CQ31" s="170">
        <f>CPP!R31</f>
        <v>0</v>
      </c>
      <c r="CR31" s="1">
        <f t="shared" si="27"/>
        <v>5.0000000000181899E-2</v>
      </c>
      <c r="CS31" s="129">
        <f t="shared" si="60"/>
        <v>0</v>
      </c>
      <c r="CT31" s="1">
        <v>0</v>
      </c>
      <c r="CU31" s="1">
        <v>0</v>
      </c>
      <c r="CV31" s="171">
        <f>CPP!S31</f>
        <v>0</v>
      </c>
      <c r="CW31" s="129">
        <f t="shared" si="28"/>
        <v>0</v>
      </c>
      <c r="CX31" s="129">
        <f t="shared" si="61"/>
        <v>0</v>
      </c>
      <c r="CY31" s="1">
        <v>0</v>
      </c>
      <c r="CZ31" s="1">
        <v>0</v>
      </c>
      <c r="DA31" s="171">
        <f>CPP!T31</f>
        <v>0</v>
      </c>
      <c r="DB31" s="129">
        <f t="shared" si="29"/>
        <v>0</v>
      </c>
      <c r="DC31" s="129">
        <f t="shared" si="62"/>
        <v>1.0000000000013998E-2</v>
      </c>
      <c r="DD31" s="1">
        <v>0</v>
      </c>
      <c r="DE31" s="1">
        <v>0</v>
      </c>
      <c r="DF31" s="171">
        <f>CPP!U31</f>
        <v>0</v>
      </c>
      <c r="DG31" s="129">
        <f t="shared" si="30"/>
        <v>1.0000000000013998E-2</v>
      </c>
      <c r="DH31" s="129">
        <f t="shared" si="63"/>
        <v>0</v>
      </c>
      <c r="DI31" s="1">
        <v>0</v>
      </c>
      <c r="DJ31" s="1">
        <v>0</v>
      </c>
      <c r="DK31" s="171">
        <f>CPP!V31</f>
        <v>0</v>
      </c>
      <c r="DL31" s="129">
        <f t="shared" si="31"/>
        <v>0</v>
      </c>
      <c r="DM31" s="129">
        <f t="shared" si="64"/>
        <v>432</v>
      </c>
      <c r="DN31" s="1">
        <v>32</v>
      </c>
      <c r="DO31" s="1">
        <v>0</v>
      </c>
      <c r="DP31" s="171">
        <f>CPP!W31</f>
        <v>0</v>
      </c>
      <c r="DQ31" s="129">
        <f t="shared" si="32"/>
        <v>464</v>
      </c>
      <c r="DR31" s="129">
        <f t="shared" si="65"/>
        <v>1.0000000002058584E-2</v>
      </c>
      <c r="DS31" s="1">
        <v>0</v>
      </c>
      <c r="DT31" s="1">
        <v>0</v>
      </c>
      <c r="DU31" s="171">
        <f>CPP!X31</f>
        <v>0</v>
      </c>
      <c r="DV31" s="129">
        <f t="shared" si="33"/>
        <v>1.0000000002058584E-2</v>
      </c>
      <c r="DW31" s="129">
        <f t="shared" si="66"/>
        <v>0</v>
      </c>
      <c r="DX31" s="1">
        <v>0</v>
      </c>
      <c r="DY31" s="1">
        <v>0</v>
      </c>
      <c r="DZ31" s="171">
        <f>CPP!Y31</f>
        <v>0</v>
      </c>
      <c r="EA31" s="129">
        <f t="shared" si="34"/>
        <v>0</v>
      </c>
      <c r="EB31" s="129">
        <f t="shared" si="35"/>
        <v>2916.0469999999905</v>
      </c>
      <c r="EC31" s="170">
        <f t="shared" si="36"/>
        <v>559.94000000000005</v>
      </c>
      <c r="ED31" s="170">
        <f t="shared" si="69"/>
        <v>246</v>
      </c>
      <c r="EE31" s="129">
        <f t="shared" si="38"/>
        <v>3229.9869999999905</v>
      </c>
      <c r="EF31" s="18">
        <f t="shared" si="39"/>
        <v>3716.3699999999935</v>
      </c>
      <c r="EG31" s="170">
        <f t="shared" si="40"/>
        <v>89.65</v>
      </c>
      <c r="EH31" s="170">
        <f>CPP!D31+CPP!E31+CPP!F31+CPP!G31+CPP!H31+CPP!I31+CPP!J31+CPP!K31+CPP!L31+CPP!M31+CPP!N31+CPP!O31+CPP!P31+CPP!Q31+CPP!R31+CPP!S31+DA31+DF31+DK31+CPP!W31+DU31</f>
        <v>150</v>
      </c>
      <c r="EI31" s="18">
        <f>EF31+EG31-CPP!G31-CPP!E31-CPP!F31-CPP!P31-CPP!Q31-CL31-CQ31-DU31</f>
        <v>3656.0199999999936</v>
      </c>
      <c r="EJ31" s="16">
        <f t="shared" si="77"/>
        <v>11919.641560923474</v>
      </c>
      <c r="EK31" s="1">
        <v>1490</v>
      </c>
      <c r="EL31" s="253">
        <f>'Daily CEM-1'!AG32+'Daily  CEM - 2'!AF32-EQ31</f>
        <v>2058.4120000796011</v>
      </c>
      <c r="EM31" s="9">
        <f t="shared" si="42"/>
        <v>11351.229560843873</v>
      </c>
      <c r="EN31" s="1">
        <v>0</v>
      </c>
      <c r="EO31" s="18">
        <f t="shared" si="67"/>
        <v>89.258008000135931</v>
      </c>
      <c r="EP31" s="1">
        <v>0</v>
      </c>
      <c r="EQ31" s="1">
        <v>0</v>
      </c>
      <c r="ER31" s="17">
        <f t="shared" si="43"/>
        <v>89.258008000135931</v>
      </c>
      <c r="ES31">
        <f t="shared" si="44"/>
        <v>1198.24</v>
      </c>
      <c r="ET31">
        <v>1198.24</v>
      </c>
      <c r="EU31" s="51">
        <f t="shared" si="45"/>
        <v>2058.4120000796011</v>
      </c>
    </row>
    <row r="32" spans="2:154">
      <c r="B32" s="4">
        <v>30</v>
      </c>
      <c r="C32" s="39">
        <f t="shared" si="70"/>
        <v>1127.8400000000001</v>
      </c>
      <c r="D32" s="1">
        <v>63.48</v>
      </c>
      <c r="E32" s="269">
        <f>F32+'RAW MILL 2'!F32</f>
        <v>43</v>
      </c>
      <c r="F32" s="1">
        <v>41</v>
      </c>
      <c r="G32" s="9">
        <f t="shared" si="4"/>
        <v>1148.3200000000002</v>
      </c>
      <c r="H32" s="39">
        <f t="shared" si="71"/>
        <v>1044.140016837518</v>
      </c>
      <c r="I32" s="33">
        <f>Production2!N32+Production2!Q32</f>
        <v>1564.26</v>
      </c>
      <c r="J32" s="33">
        <f>Production2!K32</f>
        <v>1317.5</v>
      </c>
      <c r="K32" s="18">
        <f t="shared" si="6"/>
        <v>1290.9000168375178</v>
      </c>
      <c r="L32" s="49">
        <f t="shared" si="72"/>
        <v>0</v>
      </c>
      <c r="M32" s="1">
        <v>0</v>
      </c>
      <c r="N32" s="33">
        <f>CPP!D32</f>
        <v>0</v>
      </c>
      <c r="O32" s="1">
        <v>0</v>
      </c>
      <c r="P32" s="33">
        <f t="shared" si="73"/>
        <v>0</v>
      </c>
      <c r="Q32" s="9">
        <f t="shared" si="48"/>
        <v>0</v>
      </c>
      <c r="R32" s="39">
        <f t="shared" si="74"/>
        <v>0</v>
      </c>
      <c r="S32" s="1">
        <v>0</v>
      </c>
      <c r="T32" s="33">
        <f>CPP!E32</f>
        <v>0</v>
      </c>
      <c r="U32" s="26">
        <v>0</v>
      </c>
      <c r="V32" s="38">
        <f t="shared" si="9"/>
        <v>0</v>
      </c>
      <c r="W32" s="9">
        <f t="shared" si="10"/>
        <v>0</v>
      </c>
      <c r="X32" s="39">
        <f t="shared" si="75"/>
        <v>3.9999999998087787E-2</v>
      </c>
      <c r="Y32" s="1">
        <v>0</v>
      </c>
      <c r="Z32" s="33">
        <f>CPP!H32</f>
        <v>0</v>
      </c>
      <c r="AA32" s="1">
        <v>0</v>
      </c>
      <c r="AB32" s="9">
        <f t="shared" si="12"/>
        <v>3.9999999998087787E-2</v>
      </c>
      <c r="AC32" s="39">
        <f t="shared" si="13"/>
        <v>0</v>
      </c>
      <c r="AD32" s="1">
        <v>0</v>
      </c>
      <c r="AE32" s="1">
        <v>0</v>
      </c>
      <c r="AF32" s="9">
        <f t="shared" si="76"/>
        <v>0</v>
      </c>
      <c r="AG32" s="39">
        <f t="shared" si="14"/>
        <v>3655.9699999999934</v>
      </c>
      <c r="AH32" s="1">
        <v>0</v>
      </c>
      <c r="AI32" s="1">
        <v>0</v>
      </c>
      <c r="AJ32" s="170">
        <f>CPP!G32</f>
        <v>122</v>
      </c>
      <c r="AK32" s="9">
        <f>AG32+AH32-AI32-AJ32</f>
        <v>3533.9699999999934</v>
      </c>
      <c r="AL32" s="129">
        <f t="shared" si="49"/>
        <v>0</v>
      </c>
      <c r="AM32" s="1">
        <v>0</v>
      </c>
      <c r="AN32" s="1">
        <v>0</v>
      </c>
      <c r="AO32" s="18">
        <f t="shared" si="15"/>
        <v>0</v>
      </c>
      <c r="AP32" s="129">
        <f t="shared" si="50"/>
        <v>0</v>
      </c>
      <c r="AQ32" s="1">
        <v>0</v>
      </c>
      <c r="AR32" s="1">
        <v>0</v>
      </c>
      <c r="AS32" s="171">
        <f>CPP!I32</f>
        <v>0</v>
      </c>
      <c r="AT32" s="129">
        <f t="shared" si="16"/>
        <v>0</v>
      </c>
      <c r="AU32" s="1">
        <f t="shared" si="51"/>
        <v>0</v>
      </c>
      <c r="AV32" s="1">
        <v>0</v>
      </c>
      <c r="AW32" s="1">
        <v>0</v>
      </c>
      <c r="AX32" s="170">
        <f>CPP!J32</f>
        <v>0</v>
      </c>
      <c r="AY32" s="1">
        <f t="shared" si="17"/>
        <v>0</v>
      </c>
      <c r="AZ32" s="1">
        <f t="shared" si="52"/>
        <v>2765.9269999999901</v>
      </c>
      <c r="BA32" s="1">
        <v>215.22</v>
      </c>
      <c r="BB32" s="1">
        <v>170</v>
      </c>
      <c r="BC32" s="170">
        <f>CPP!K32</f>
        <v>0</v>
      </c>
      <c r="BD32" s="1">
        <f t="shared" si="18"/>
        <v>2811.1469999999899</v>
      </c>
      <c r="BE32" s="1">
        <f t="shared" si="53"/>
        <v>0</v>
      </c>
      <c r="BF32" s="1">
        <v>0</v>
      </c>
      <c r="BG32" s="1">
        <v>0</v>
      </c>
      <c r="BH32" s="170">
        <f>CPP!L32</f>
        <v>0</v>
      </c>
      <c r="BI32" s="1">
        <f t="shared" si="19"/>
        <v>0</v>
      </c>
      <c r="BJ32" s="1">
        <f t="shared" si="54"/>
        <v>0</v>
      </c>
      <c r="BK32" s="1">
        <v>0</v>
      </c>
      <c r="BL32" s="1">
        <v>0</v>
      </c>
      <c r="BM32" s="170">
        <f>CPP!M32</f>
        <v>0</v>
      </c>
      <c r="BN32" s="1">
        <f t="shared" si="55"/>
        <v>0</v>
      </c>
      <c r="BO32" s="1">
        <f t="shared" si="20"/>
        <v>0</v>
      </c>
      <c r="BP32" s="1">
        <v>0</v>
      </c>
      <c r="BQ32" s="1">
        <v>0</v>
      </c>
      <c r="BR32" s="170">
        <f>CPP!N32</f>
        <v>0</v>
      </c>
      <c r="BS32" s="1">
        <f t="shared" si="21"/>
        <v>0</v>
      </c>
      <c r="BT32" s="1">
        <f t="shared" si="22"/>
        <v>0</v>
      </c>
      <c r="BU32" s="1">
        <v>0</v>
      </c>
      <c r="BV32" s="1">
        <v>0</v>
      </c>
      <c r="BW32" s="170">
        <f>CPP!O32</f>
        <v>0</v>
      </c>
      <c r="BX32" s="1">
        <f t="shared" si="23"/>
        <v>0</v>
      </c>
      <c r="BY32" s="174">
        <f t="shared" si="56"/>
        <v>0</v>
      </c>
      <c r="BZ32" s="1">
        <v>0</v>
      </c>
      <c r="CA32" s="1">
        <v>0</v>
      </c>
      <c r="CB32" s="170"/>
      <c r="CC32" s="26">
        <f t="shared" si="24"/>
        <v>0</v>
      </c>
      <c r="CD32" s="1">
        <f t="shared" si="57"/>
        <v>0</v>
      </c>
      <c r="CE32" s="1">
        <v>0</v>
      </c>
      <c r="CF32" s="1">
        <v>0</v>
      </c>
      <c r="CG32" s="170">
        <f>CPP!P32</f>
        <v>0</v>
      </c>
      <c r="CH32" s="26">
        <f t="shared" si="25"/>
        <v>0</v>
      </c>
      <c r="CI32" s="1">
        <f t="shared" si="58"/>
        <v>0</v>
      </c>
      <c r="CJ32" s="1">
        <v>0</v>
      </c>
      <c r="CK32" s="1">
        <v>0</v>
      </c>
      <c r="CL32" s="170">
        <f>CPP!Q32</f>
        <v>0</v>
      </c>
      <c r="CM32" s="1">
        <f t="shared" si="26"/>
        <v>0</v>
      </c>
      <c r="CN32" s="1">
        <f t="shared" si="59"/>
        <v>5.0000000000181899E-2</v>
      </c>
      <c r="CO32" s="1">
        <v>0</v>
      </c>
      <c r="CP32" s="1">
        <v>0</v>
      </c>
      <c r="CQ32" s="170">
        <f>CPP!R32</f>
        <v>0</v>
      </c>
      <c r="CR32" s="1">
        <f t="shared" si="27"/>
        <v>5.0000000000181899E-2</v>
      </c>
      <c r="CS32" s="129">
        <f t="shared" si="60"/>
        <v>0</v>
      </c>
      <c r="CT32" s="1">
        <v>0</v>
      </c>
      <c r="CU32" s="1">
        <v>0</v>
      </c>
      <c r="CV32" s="171">
        <f>CPP!S32</f>
        <v>0</v>
      </c>
      <c r="CW32" s="129">
        <f t="shared" si="28"/>
        <v>0</v>
      </c>
      <c r="CX32" s="129">
        <f t="shared" si="61"/>
        <v>0</v>
      </c>
      <c r="CY32" s="1">
        <v>0</v>
      </c>
      <c r="CZ32" s="1">
        <v>0</v>
      </c>
      <c r="DA32" s="171">
        <f>CPP!T32</f>
        <v>0</v>
      </c>
      <c r="DB32" s="129">
        <f t="shared" si="29"/>
        <v>0</v>
      </c>
      <c r="DC32" s="129">
        <f t="shared" si="62"/>
        <v>1.0000000000013998E-2</v>
      </c>
      <c r="DD32" s="1">
        <v>0</v>
      </c>
      <c r="DE32" s="1">
        <v>0</v>
      </c>
      <c r="DF32" s="171">
        <f>CPP!U32</f>
        <v>0</v>
      </c>
      <c r="DG32" s="129">
        <f t="shared" si="30"/>
        <v>1.0000000000013998E-2</v>
      </c>
      <c r="DH32" s="129">
        <f t="shared" si="63"/>
        <v>0</v>
      </c>
      <c r="DI32" s="1">
        <v>0</v>
      </c>
      <c r="DJ32" s="1">
        <v>0</v>
      </c>
      <c r="DK32" s="171">
        <f>CPP!V32</f>
        <v>0</v>
      </c>
      <c r="DL32" s="129">
        <f t="shared" si="31"/>
        <v>0</v>
      </c>
      <c r="DM32" s="129">
        <f t="shared" si="64"/>
        <v>464</v>
      </c>
      <c r="DN32" s="1">
        <v>32</v>
      </c>
      <c r="DO32" s="1">
        <v>0</v>
      </c>
      <c r="DP32" s="171">
        <f>CPP!W32</f>
        <v>0</v>
      </c>
      <c r="DQ32" s="129">
        <f t="shared" si="32"/>
        <v>496</v>
      </c>
      <c r="DR32" s="129">
        <f t="shared" si="65"/>
        <v>1.0000000002058584E-2</v>
      </c>
      <c r="DS32" s="1">
        <v>0</v>
      </c>
      <c r="DT32" s="1">
        <v>0</v>
      </c>
      <c r="DU32" s="171">
        <f>CPP!X32</f>
        <v>0</v>
      </c>
      <c r="DV32" s="129">
        <f t="shared" si="33"/>
        <v>1.0000000002058584E-2</v>
      </c>
      <c r="DW32" s="129">
        <f t="shared" si="66"/>
        <v>0</v>
      </c>
      <c r="DX32" s="1">
        <v>0</v>
      </c>
      <c r="DY32" s="1">
        <v>0</v>
      </c>
      <c r="DZ32" s="171">
        <f>CPP!Y32</f>
        <v>0</v>
      </c>
      <c r="EA32" s="129">
        <f t="shared" si="34"/>
        <v>0</v>
      </c>
      <c r="EB32" s="129">
        <f t="shared" si="35"/>
        <v>3229.9869999999905</v>
      </c>
      <c r="EC32" s="170">
        <f t="shared" si="36"/>
        <v>247.22</v>
      </c>
      <c r="ED32" s="170">
        <f t="shared" si="69"/>
        <v>170</v>
      </c>
      <c r="EE32" s="129">
        <f t="shared" si="38"/>
        <v>3307.2069999999903</v>
      </c>
      <c r="EF32" s="18">
        <f t="shared" si="39"/>
        <v>3656.0199999999936</v>
      </c>
      <c r="EG32" s="170">
        <f t="shared" si="40"/>
        <v>0</v>
      </c>
      <c r="EH32" s="170">
        <f>CPP!D32+CPP!E32+CPP!F32+CPP!G32+CPP!H32+CPP!I32+CPP!J32+CPP!K32+CPP!L32+CPP!M32+CPP!N32+CPP!O32+CPP!P32+CPP!Q32+CPP!R32+CPP!S32+DA32+DF32+DK32+CPP!W32+DU32</f>
        <v>122</v>
      </c>
      <c r="EI32" s="18">
        <f>EF32+EG32-CPP!G32-CPP!E32-CPP!F32-CPP!P32-CPP!Q32-CL32-CQ32-DU32</f>
        <v>3534.0199999999936</v>
      </c>
      <c r="EJ32" s="16">
        <f t="shared" si="77"/>
        <v>11351.229560843873</v>
      </c>
      <c r="EK32" s="1">
        <v>850</v>
      </c>
      <c r="EL32" s="253">
        <f>'Daily CEM-1'!AG33+'Daily  CEM - 2'!AF33-EQ32</f>
        <v>2254.952499755901</v>
      </c>
      <c r="EM32" s="9">
        <f t="shared" si="42"/>
        <v>9946.2770610879707</v>
      </c>
      <c r="EN32" s="1">
        <v>0</v>
      </c>
      <c r="EO32" s="18">
        <f t="shared" si="67"/>
        <v>89.258008000135931</v>
      </c>
      <c r="EP32" s="1">
        <v>0</v>
      </c>
      <c r="EQ32" s="1">
        <v>0</v>
      </c>
      <c r="ER32" s="448">
        <f>EO32+EP32-EQ32</f>
        <v>89.258008000135931</v>
      </c>
      <c r="ES32">
        <f t="shared" si="44"/>
        <v>479.81</v>
      </c>
      <c r="ET32">
        <v>479.81</v>
      </c>
      <c r="EU32" s="51">
        <f t="shared" si="45"/>
        <v>2254.952499755901</v>
      </c>
    </row>
    <row r="33" spans="2:168" s="160" customFormat="1">
      <c r="B33" s="155">
        <v>31</v>
      </c>
      <c r="C33" s="156">
        <f t="shared" si="70"/>
        <v>1148.3200000000002</v>
      </c>
      <c r="D33" s="1">
        <v>0</v>
      </c>
      <c r="E33" s="269">
        <f>F33+'RAW MILL 2'!F33</f>
        <v>0</v>
      </c>
      <c r="F33" s="1">
        <v>0</v>
      </c>
      <c r="G33" s="9">
        <f t="shared" si="4"/>
        <v>1148.3200000000002</v>
      </c>
      <c r="H33" s="156">
        <f t="shared" si="71"/>
        <v>1290.9000168375178</v>
      </c>
      <c r="I33" s="33">
        <f>Production2!N33+Production2!Q33</f>
        <v>0</v>
      </c>
      <c r="J33" s="157">
        <f>Production2!K33</f>
        <v>0</v>
      </c>
      <c r="K33" s="18">
        <f t="shared" si="6"/>
        <v>1290.9000168375178</v>
      </c>
      <c r="L33" s="161">
        <f t="shared" si="72"/>
        <v>0</v>
      </c>
      <c r="M33" s="1">
        <v>0</v>
      </c>
      <c r="N33" s="157">
        <f>CPP!D33</f>
        <v>0</v>
      </c>
      <c r="O33" s="1">
        <v>0</v>
      </c>
      <c r="P33" s="157">
        <f t="shared" si="73"/>
        <v>0</v>
      </c>
      <c r="Q33" s="158">
        <f t="shared" si="48"/>
        <v>0</v>
      </c>
      <c r="R33" s="156">
        <f t="shared" si="74"/>
        <v>0</v>
      </c>
      <c r="S33" s="1">
        <v>0</v>
      </c>
      <c r="T33" s="157">
        <f>CPP!E33</f>
        <v>0</v>
      </c>
      <c r="U33" s="159">
        <v>0</v>
      </c>
      <c r="V33" s="159">
        <f t="shared" si="9"/>
        <v>0</v>
      </c>
      <c r="W33" s="158">
        <f t="shared" si="10"/>
        <v>0</v>
      </c>
      <c r="X33" s="156">
        <f t="shared" si="75"/>
        <v>3.9999999998087787E-2</v>
      </c>
      <c r="Y33" s="1">
        <v>0</v>
      </c>
      <c r="Z33" s="157">
        <f>CPP!H33</f>
        <v>0</v>
      </c>
      <c r="AA33" s="1">
        <v>0</v>
      </c>
      <c r="AB33" s="158">
        <f t="shared" si="12"/>
        <v>3.9999999998087787E-2</v>
      </c>
      <c r="AC33" s="156">
        <f t="shared" si="13"/>
        <v>0</v>
      </c>
      <c r="AD33" s="1">
        <v>0</v>
      </c>
      <c r="AE33" s="1">
        <v>0</v>
      </c>
      <c r="AF33" s="158">
        <f t="shared" si="76"/>
        <v>0</v>
      </c>
      <c r="AG33" s="156">
        <f t="shared" si="14"/>
        <v>3533.9699999999934</v>
      </c>
      <c r="AH33" s="1">
        <v>0</v>
      </c>
      <c r="AI33" s="1">
        <v>0</v>
      </c>
      <c r="AJ33" s="170">
        <f>CPP!G33</f>
        <v>0</v>
      </c>
      <c r="AK33" s="9">
        <f t="shared" si="68"/>
        <v>3533.9699999999934</v>
      </c>
      <c r="AL33" s="129">
        <f t="shared" si="49"/>
        <v>0</v>
      </c>
      <c r="AM33" s="1">
        <v>0</v>
      </c>
      <c r="AN33" s="1">
        <v>0</v>
      </c>
      <c r="AO33" s="18">
        <f t="shared" si="15"/>
        <v>0</v>
      </c>
      <c r="AP33" s="129">
        <f t="shared" si="50"/>
        <v>0</v>
      </c>
      <c r="AQ33" s="1">
        <v>0</v>
      </c>
      <c r="AR33" s="1">
        <v>0</v>
      </c>
      <c r="AS33" s="171">
        <f>CPP!I33</f>
        <v>0</v>
      </c>
      <c r="AT33" s="129">
        <f t="shared" si="16"/>
        <v>0</v>
      </c>
      <c r="AU33" s="1">
        <f t="shared" si="51"/>
        <v>0</v>
      </c>
      <c r="AV33" s="1">
        <v>0</v>
      </c>
      <c r="AW33" s="1">
        <v>0</v>
      </c>
      <c r="AX33" s="170">
        <f>CPP!J33</f>
        <v>0</v>
      </c>
      <c r="AY33" s="1">
        <f t="shared" si="17"/>
        <v>0</v>
      </c>
      <c r="AZ33" s="1">
        <f t="shared" si="52"/>
        <v>2811.1469999999899</v>
      </c>
      <c r="BA33" s="1">
        <v>0</v>
      </c>
      <c r="BB33" s="1">
        <v>0</v>
      </c>
      <c r="BC33" s="170">
        <f>CPP!K33</f>
        <v>0</v>
      </c>
      <c r="BD33" s="1">
        <f t="shared" si="18"/>
        <v>2811.1469999999899</v>
      </c>
      <c r="BE33" s="1">
        <f t="shared" si="53"/>
        <v>0</v>
      </c>
      <c r="BF33" s="1">
        <v>0</v>
      </c>
      <c r="BG33" s="1">
        <v>0</v>
      </c>
      <c r="BH33" s="170">
        <f>CPP!L33</f>
        <v>0</v>
      </c>
      <c r="BI33" s="1">
        <f t="shared" si="19"/>
        <v>0</v>
      </c>
      <c r="BJ33" s="1">
        <f t="shared" si="54"/>
        <v>0</v>
      </c>
      <c r="BK33" s="1">
        <v>0</v>
      </c>
      <c r="BL33" s="1">
        <v>0</v>
      </c>
      <c r="BM33" s="170">
        <f>CPP!M33</f>
        <v>0</v>
      </c>
      <c r="BN33" s="1">
        <f t="shared" si="55"/>
        <v>0</v>
      </c>
      <c r="BO33" s="1">
        <f t="shared" si="20"/>
        <v>0</v>
      </c>
      <c r="BP33" s="1">
        <v>0</v>
      </c>
      <c r="BQ33" s="1">
        <v>0</v>
      </c>
      <c r="BR33" s="170">
        <f>CPP!N33</f>
        <v>0</v>
      </c>
      <c r="BS33" s="1">
        <f t="shared" si="21"/>
        <v>0</v>
      </c>
      <c r="BT33" s="1">
        <f t="shared" si="22"/>
        <v>0</v>
      </c>
      <c r="BU33" s="1">
        <v>0</v>
      </c>
      <c r="BV33" s="1">
        <v>0</v>
      </c>
      <c r="BW33" s="170">
        <f>CPP!O33</f>
        <v>0</v>
      </c>
      <c r="BX33" s="1">
        <f t="shared" si="23"/>
        <v>0</v>
      </c>
      <c r="BY33" s="174">
        <f t="shared" si="56"/>
        <v>0</v>
      </c>
      <c r="BZ33" s="157">
        <v>0</v>
      </c>
      <c r="CA33" s="1">
        <v>0</v>
      </c>
      <c r="CB33" s="170"/>
      <c r="CC33" s="26">
        <f t="shared" si="24"/>
        <v>0</v>
      </c>
      <c r="CD33" s="1">
        <f t="shared" si="57"/>
        <v>0</v>
      </c>
      <c r="CE33" s="1">
        <v>0</v>
      </c>
      <c r="CF33" s="1">
        <v>0</v>
      </c>
      <c r="CG33" s="170">
        <f>CPP!P33</f>
        <v>0</v>
      </c>
      <c r="CH33" s="26">
        <f t="shared" si="25"/>
        <v>0</v>
      </c>
      <c r="CI33" s="1">
        <f t="shared" si="58"/>
        <v>0</v>
      </c>
      <c r="CJ33" s="1">
        <v>0</v>
      </c>
      <c r="CK33" s="1">
        <v>0</v>
      </c>
      <c r="CL33" s="170">
        <f>CPP!Q33</f>
        <v>0</v>
      </c>
      <c r="CM33" s="1">
        <f t="shared" si="26"/>
        <v>0</v>
      </c>
      <c r="CN33" s="1">
        <f t="shared" si="59"/>
        <v>5.0000000000181899E-2</v>
      </c>
      <c r="CO33" s="1">
        <v>0</v>
      </c>
      <c r="CP33" s="1">
        <v>0</v>
      </c>
      <c r="CQ33" s="170">
        <f>CPP!R33</f>
        <v>0</v>
      </c>
      <c r="CR33" s="1">
        <f t="shared" si="27"/>
        <v>5.0000000000181899E-2</v>
      </c>
      <c r="CS33" s="129">
        <f t="shared" si="60"/>
        <v>0</v>
      </c>
      <c r="CT33" s="1">
        <v>0</v>
      </c>
      <c r="CU33" s="1">
        <v>0</v>
      </c>
      <c r="CV33" s="171">
        <f>CPP!S33</f>
        <v>0</v>
      </c>
      <c r="CW33" s="129">
        <f t="shared" si="28"/>
        <v>0</v>
      </c>
      <c r="CX33" s="129">
        <f t="shared" si="61"/>
        <v>0</v>
      </c>
      <c r="CY33" s="1">
        <v>0</v>
      </c>
      <c r="CZ33" s="1">
        <v>0</v>
      </c>
      <c r="DA33" s="171">
        <f>CPP!T33</f>
        <v>0</v>
      </c>
      <c r="DB33" s="129">
        <f t="shared" si="29"/>
        <v>0</v>
      </c>
      <c r="DC33" s="129">
        <f t="shared" si="62"/>
        <v>1.0000000000013998E-2</v>
      </c>
      <c r="DD33" s="1">
        <v>0</v>
      </c>
      <c r="DE33" s="1">
        <v>0</v>
      </c>
      <c r="DF33" s="171">
        <f>CPP!U33</f>
        <v>0</v>
      </c>
      <c r="DG33" s="129">
        <f t="shared" si="30"/>
        <v>1.0000000000013998E-2</v>
      </c>
      <c r="DH33" s="129">
        <f t="shared" si="63"/>
        <v>0</v>
      </c>
      <c r="DI33" s="1">
        <v>0</v>
      </c>
      <c r="DJ33" s="1">
        <v>0</v>
      </c>
      <c r="DK33" s="171">
        <f>CPP!V33</f>
        <v>0</v>
      </c>
      <c r="DL33" s="129">
        <f t="shared" si="31"/>
        <v>0</v>
      </c>
      <c r="DM33" s="129">
        <f t="shared" si="64"/>
        <v>496</v>
      </c>
      <c r="DN33" s="1">
        <v>0</v>
      </c>
      <c r="DO33" s="1">
        <v>0</v>
      </c>
      <c r="DP33" s="171">
        <f>CPP!W33</f>
        <v>0</v>
      </c>
      <c r="DQ33" s="129">
        <f t="shared" si="32"/>
        <v>496</v>
      </c>
      <c r="DR33" s="129">
        <f t="shared" si="65"/>
        <v>1.0000000002058584E-2</v>
      </c>
      <c r="DS33" s="1">
        <v>0</v>
      </c>
      <c r="DT33" s="1">
        <v>0</v>
      </c>
      <c r="DU33" s="171">
        <f>CPP!X33</f>
        <v>0</v>
      </c>
      <c r="DV33" s="129">
        <f t="shared" si="33"/>
        <v>1.0000000002058584E-2</v>
      </c>
      <c r="DW33" s="129">
        <f t="shared" si="66"/>
        <v>0</v>
      </c>
      <c r="DX33" s="1">
        <v>0</v>
      </c>
      <c r="DY33" s="1">
        <v>0</v>
      </c>
      <c r="DZ33" s="171">
        <f>CPP!Y33</f>
        <v>0</v>
      </c>
      <c r="EA33" s="129">
        <f t="shared" si="34"/>
        <v>0</v>
      </c>
      <c r="EB33" s="129">
        <f t="shared" si="35"/>
        <v>3307.2069999999903</v>
      </c>
      <c r="EC33" s="170">
        <f t="shared" si="36"/>
        <v>0</v>
      </c>
      <c r="ED33" s="170">
        <f t="shared" si="69"/>
        <v>0</v>
      </c>
      <c r="EE33" s="129">
        <f t="shared" si="38"/>
        <v>3307.2069999999903</v>
      </c>
      <c r="EF33" s="18">
        <f t="shared" si="39"/>
        <v>3534.0199999999936</v>
      </c>
      <c r="EG33" s="170">
        <f t="shared" si="40"/>
        <v>0</v>
      </c>
      <c r="EH33" s="170">
        <f>CPP!D33+CPP!E33+CPP!F33+CPP!G33+CPP!H33+CPP!I33+CPP!J33+CPP!K33+CPP!L33+CPP!M33+CPP!N33+CPP!O33+CPP!P33+CPP!Q33+CPP!R33+CPP!S33+DA33+DF33+DK33+CPP!W33+DU33</f>
        <v>0</v>
      </c>
      <c r="EI33" s="18">
        <f>EF33+EG33-CPP!G33-CPP!E33-CPP!F33-CPP!P33-CPP!Q33-CL33-CQ33-DU33</f>
        <v>3534.0199999999936</v>
      </c>
      <c r="EJ33" s="156">
        <f t="shared" si="77"/>
        <v>9946.2770610879707</v>
      </c>
      <c r="EK33" s="1">
        <v>0</v>
      </c>
      <c r="EL33" s="253">
        <f>'Daily CEM-1'!AG34+'Daily  CEM - 2'!AF34-EQ33</f>
        <v>0</v>
      </c>
      <c r="EM33" s="447">
        <f>EJ33+EK33-EL33-EN33</f>
        <v>9946.2770610879707</v>
      </c>
      <c r="EN33" s="157">
        <v>0</v>
      </c>
      <c r="EO33" s="18">
        <f t="shared" si="67"/>
        <v>89.258008000135931</v>
      </c>
      <c r="EP33" s="1">
        <v>0</v>
      </c>
      <c r="EQ33" s="1">
        <v>0</v>
      </c>
      <c r="ER33" s="17">
        <f t="shared" si="43"/>
        <v>89.258008000135931</v>
      </c>
    </row>
    <row r="34" spans="2:168" ht="15.75" thickBot="1">
      <c r="B34" s="5" t="s">
        <v>27</v>
      </c>
      <c r="C34" s="8"/>
      <c r="D34" s="8">
        <f>SUM(D3:D33)</f>
        <v>254.39999999999998</v>
      </c>
      <c r="E34" s="307">
        <f>SUM(E3:E33)</f>
        <v>1754</v>
      </c>
      <c r="F34" s="8"/>
      <c r="G34" s="10"/>
      <c r="H34" s="8">
        <f t="shared" ref="H34:L34" si="78">SUM(H3:H32)</f>
        <v>29479.16050512555</v>
      </c>
      <c r="I34" s="8">
        <f>SUM(I3:I33)</f>
        <v>63260.159999999989</v>
      </c>
      <c r="J34" s="8">
        <f>SUM(J3:J33)</f>
        <v>63236.900000000009</v>
      </c>
      <c r="K34" s="8">
        <f t="shared" si="78"/>
        <v>29502.420505125549</v>
      </c>
      <c r="L34" s="8">
        <f t="shared" si="78"/>
        <v>0</v>
      </c>
      <c r="M34" s="8">
        <f>SUM(M3:M33)</f>
        <v>0</v>
      </c>
      <c r="N34" s="8">
        <f>SUM(N3:N33)</f>
        <v>0</v>
      </c>
      <c r="O34" s="8">
        <f>SUM(O3:O33)</f>
        <v>0</v>
      </c>
      <c r="P34" s="41">
        <f>SUM(P3:P33)</f>
        <v>0</v>
      </c>
      <c r="Q34" s="41">
        <f t="shared" ref="Q34:CC34" si="79">SUM(Q3:Q33)</f>
        <v>0</v>
      </c>
      <c r="R34" s="41">
        <f t="shared" si="79"/>
        <v>0</v>
      </c>
      <c r="S34" s="41">
        <f t="shared" si="79"/>
        <v>0</v>
      </c>
      <c r="T34" s="41">
        <f t="shared" si="79"/>
        <v>0</v>
      </c>
      <c r="U34" s="41">
        <f t="shared" si="79"/>
        <v>0</v>
      </c>
      <c r="V34" s="41">
        <f t="shared" si="79"/>
        <v>0</v>
      </c>
      <c r="W34" s="41">
        <f t="shared" si="79"/>
        <v>0</v>
      </c>
      <c r="X34" s="41">
        <f t="shared" si="79"/>
        <v>14475.109999999926</v>
      </c>
      <c r="Y34" s="8">
        <f>SUM(Y3:Y33)</f>
        <v>0</v>
      </c>
      <c r="Z34" s="41">
        <f t="shared" si="79"/>
        <v>0</v>
      </c>
      <c r="AA34" s="41">
        <f t="shared" si="79"/>
        <v>1063</v>
      </c>
      <c r="AB34" s="41">
        <f t="shared" si="79"/>
        <v>13412.109999999926</v>
      </c>
      <c r="AC34" s="41">
        <f t="shared" si="79"/>
        <v>0</v>
      </c>
      <c r="AD34" s="41">
        <f t="shared" si="79"/>
        <v>0</v>
      </c>
      <c r="AE34" s="41">
        <f t="shared" si="79"/>
        <v>0</v>
      </c>
      <c r="AF34" s="41">
        <f t="shared" si="79"/>
        <v>0</v>
      </c>
      <c r="AG34" s="41"/>
      <c r="AH34" s="242">
        <f>SUM(AH3:AH33)</f>
        <v>3763.3000000000006</v>
      </c>
      <c r="AI34" s="242"/>
      <c r="AJ34" s="41">
        <f t="shared" si="79"/>
        <v>4278</v>
      </c>
      <c r="AK34" s="41"/>
      <c r="AL34" s="41">
        <f t="shared" si="79"/>
        <v>0</v>
      </c>
      <c r="AM34" s="41">
        <f t="shared" si="79"/>
        <v>0</v>
      </c>
      <c r="AN34" s="41">
        <f t="shared" si="79"/>
        <v>0</v>
      </c>
      <c r="AO34" s="41">
        <f t="shared" si="79"/>
        <v>0</v>
      </c>
      <c r="AP34" s="41">
        <f t="shared" si="79"/>
        <v>0</v>
      </c>
      <c r="AQ34" s="41">
        <f t="shared" si="79"/>
        <v>0</v>
      </c>
      <c r="AR34" s="41">
        <f t="shared" si="79"/>
        <v>0</v>
      </c>
      <c r="AS34" s="41">
        <f t="shared" si="79"/>
        <v>0</v>
      </c>
      <c r="AT34" s="41">
        <f t="shared" si="79"/>
        <v>0</v>
      </c>
      <c r="AU34" s="41">
        <f t="shared" si="79"/>
        <v>0</v>
      </c>
      <c r="AV34" s="41">
        <f t="shared" si="79"/>
        <v>0</v>
      </c>
      <c r="AW34" s="41">
        <f t="shared" si="79"/>
        <v>0</v>
      </c>
      <c r="AX34" s="41">
        <f t="shared" si="79"/>
        <v>0</v>
      </c>
      <c r="AY34" s="41">
        <f t="shared" si="79"/>
        <v>0</v>
      </c>
      <c r="AZ34" s="41">
        <f t="shared" si="79"/>
        <v>62396.456999999704</v>
      </c>
      <c r="BA34" s="185">
        <f t="shared" si="79"/>
        <v>5500.6800000000012</v>
      </c>
      <c r="BB34" s="185">
        <f t="shared" si="79"/>
        <v>3091.56</v>
      </c>
      <c r="BC34" s="41">
        <f t="shared" si="79"/>
        <v>10</v>
      </c>
      <c r="BD34" s="41">
        <f t="shared" si="79"/>
        <v>64795.576999999692</v>
      </c>
      <c r="BE34" s="41">
        <f t="shared" si="79"/>
        <v>0</v>
      </c>
      <c r="BF34" s="41">
        <f t="shared" si="79"/>
        <v>0</v>
      </c>
      <c r="BG34" s="41">
        <f t="shared" si="79"/>
        <v>0</v>
      </c>
      <c r="BH34" s="41">
        <f t="shared" si="79"/>
        <v>0</v>
      </c>
      <c r="BI34" s="41"/>
      <c r="BJ34" s="41"/>
      <c r="BK34" s="41">
        <f t="shared" si="79"/>
        <v>0</v>
      </c>
      <c r="BL34" s="41">
        <f t="shared" si="79"/>
        <v>0</v>
      </c>
      <c r="BM34" s="41">
        <f t="shared" si="79"/>
        <v>0</v>
      </c>
      <c r="BN34" s="41"/>
      <c r="BO34" s="41"/>
      <c r="BP34" s="41">
        <f t="shared" si="79"/>
        <v>0</v>
      </c>
      <c r="BQ34" s="41">
        <f t="shared" si="79"/>
        <v>0</v>
      </c>
      <c r="BR34" s="41">
        <f t="shared" si="79"/>
        <v>0</v>
      </c>
      <c r="BS34" s="41"/>
      <c r="BT34" s="41">
        <f t="shared" si="79"/>
        <v>0</v>
      </c>
      <c r="BU34" s="41">
        <f t="shared" si="79"/>
        <v>0</v>
      </c>
      <c r="BV34" s="41">
        <f t="shared" si="79"/>
        <v>0</v>
      </c>
      <c r="BW34" s="41">
        <f t="shared" si="79"/>
        <v>0</v>
      </c>
      <c r="BX34" s="41"/>
      <c r="BY34" s="41"/>
      <c r="BZ34" s="41">
        <f t="shared" si="79"/>
        <v>0</v>
      </c>
      <c r="CA34" s="41">
        <f t="shared" si="79"/>
        <v>0</v>
      </c>
      <c r="CB34" s="41">
        <f t="shared" si="79"/>
        <v>0</v>
      </c>
      <c r="CC34" s="41">
        <f t="shared" si="79"/>
        <v>0</v>
      </c>
      <c r="CD34" s="41"/>
      <c r="CE34" s="41"/>
      <c r="CF34" s="41"/>
      <c r="CG34" s="41"/>
      <c r="CH34" s="179"/>
      <c r="CI34" s="14"/>
      <c r="CJ34" s="14"/>
      <c r="CK34" s="14"/>
      <c r="CL34" s="14"/>
      <c r="CM34" s="14"/>
      <c r="CN34" s="14"/>
      <c r="CO34" s="14">
        <f>SUM(CO3:CO33)</f>
        <v>0</v>
      </c>
      <c r="CP34" s="14">
        <f t="shared" ref="CP34:CQ34" si="80">SUM(CP3:CP33)</f>
        <v>0</v>
      </c>
      <c r="CQ34" s="14">
        <f t="shared" si="80"/>
        <v>0</v>
      </c>
      <c r="CR34" s="14"/>
      <c r="CS34" s="181"/>
      <c r="CT34" s="181">
        <f>SUM(CT3:CT33)</f>
        <v>0</v>
      </c>
      <c r="CU34" s="181">
        <f t="shared" ref="CU34:CV34" si="81">SUM(CU3:CU33)</f>
        <v>0</v>
      </c>
      <c r="CV34" s="181">
        <f t="shared" si="81"/>
        <v>0</v>
      </c>
      <c r="CW34" s="181"/>
      <c r="CX34" s="181"/>
      <c r="CY34" s="181">
        <f>SUM(CY3:CY33)</f>
        <v>0</v>
      </c>
      <c r="CZ34" s="181">
        <f t="shared" ref="CZ34:DA34" si="82">SUM(CZ3:CZ33)</f>
        <v>0</v>
      </c>
      <c r="DA34" s="181">
        <f t="shared" si="82"/>
        <v>0</v>
      </c>
      <c r="DB34" s="181"/>
      <c r="DC34" s="181"/>
      <c r="DD34" s="181">
        <f>SUM(DD3:DD33)</f>
        <v>0</v>
      </c>
      <c r="DE34" s="181">
        <f t="shared" ref="DE34:DF34" si="83">SUM(DE3:DE33)</f>
        <v>7.1</v>
      </c>
      <c r="DF34" s="181">
        <f t="shared" si="83"/>
        <v>0</v>
      </c>
      <c r="DG34" s="181"/>
      <c r="DH34" s="181"/>
      <c r="DI34" s="181">
        <f>SUM(DI3:DI33)</f>
        <v>0</v>
      </c>
      <c r="DJ34" s="181">
        <f t="shared" ref="DJ34:DK34" si="84">SUM(DJ3:DJ33)</f>
        <v>0</v>
      </c>
      <c r="DK34" s="181">
        <f t="shared" si="84"/>
        <v>0</v>
      </c>
      <c r="DL34" s="181"/>
      <c r="DM34" s="181"/>
      <c r="DN34" s="181">
        <f>SUM(DN3:DN33)</f>
        <v>284</v>
      </c>
      <c r="DO34" s="181">
        <f t="shared" ref="DO34:DP34" si="85">SUM(DO3:DO33)</f>
        <v>0</v>
      </c>
      <c r="DP34" s="181">
        <f t="shared" si="85"/>
        <v>0</v>
      </c>
      <c r="DQ34" s="181"/>
      <c r="DR34" s="181"/>
      <c r="DS34" s="297">
        <f>SUM(DS3:DS33)</f>
        <v>0</v>
      </c>
      <c r="DT34" s="181">
        <f t="shared" ref="DT34:DU34" si="86">SUM(DT3:DT33)</f>
        <v>2933.89</v>
      </c>
      <c r="DU34" s="181">
        <f t="shared" si="86"/>
        <v>0</v>
      </c>
      <c r="DV34" s="181"/>
      <c r="DW34" s="181"/>
      <c r="DX34" s="181">
        <f>SUM(DX3:DX33)</f>
        <v>0</v>
      </c>
      <c r="DY34" s="181">
        <f t="shared" ref="DY34:DZ34" si="87">SUM(DY3:DY33)</f>
        <v>0</v>
      </c>
      <c r="DZ34" s="181">
        <f t="shared" si="87"/>
        <v>0</v>
      </c>
      <c r="EA34" s="181"/>
      <c r="EB34" s="180"/>
      <c r="EC34" s="41">
        <f t="shared" ref="EC34:EN34" si="88">SUM(EC3:EC33)</f>
        <v>5784.6800000000012</v>
      </c>
      <c r="ED34" s="41">
        <f t="shared" si="88"/>
        <v>7095.5499999999984</v>
      </c>
      <c r="EE34" s="41">
        <f t="shared" si="88"/>
        <v>102473.19699999971</v>
      </c>
      <c r="EF34" s="41">
        <f t="shared" si="88"/>
        <v>125916.56999999979</v>
      </c>
      <c r="EG34" s="41">
        <f t="shared" si="88"/>
        <v>3763.3000000000006</v>
      </c>
      <c r="EH34" s="41">
        <f t="shared" si="88"/>
        <v>4288</v>
      </c>
      <c r="EI34" s="41">
        <f t="shared" si="88"/>
        <v>125401.86999999978</v>
      </c>
      <c r="EJ34" s="41">
        <f t="shared" si="88"/>
        <v>646642.59129430738</v>
      </c>
      <c r="EK34" s="41">
        <f t="shared" si="88"/>
        <v>40798</v>
      </c>
      <c r="EL34" s="185">
        <f>SUM(EL3:EL33)</f>
        <v>56797.53202467371</v>
      </c>
      <c r="EM34" s="41">
        <f t="shared" si="88"/>
        <v>630643.05926963373</v>
      </c>
      <c r="EN34" s="41">
        <f t="shared" si="88"/>
        <v>0</v>
      </c>
      <c r="EO34" s="181"/>
      <c r="EP34" s="15">
        <f>SUM(EP3:EP33)</f>
        <v>0</v>
      </c>
      <c r="EQ34" s="15">
        <f>SUM(EQ3:EQ33)</f>
        <v>5216.8510000000006</v>
      </c>
    </row>
    <row r="35" spans="2:168">
      <c r="B35" t="s">
        <v>28</v>
      </c>
      <c r="D35" s="17">
        <f>D36+SUM(D3:D33)</f>
        <v>671.68000000000006</v>
      </c>
      <c r="E35" s="268">
        <f>E36+SUM(E3:E33)</f>
        <v>4889</v>
      </c>
      <c r="F35" s="17"/>
      <c r="I35" s="17">
        <f>I36+SUM(I3:I33)</f>
        <v>189545.75</v>
      </c>
      <c r="J35" s="17">
        <f>J36+SUM(J3:J33)</f>
        <v>195802.2</v>
      </c>
      <c r="M35" s="17">
        <f>M36+SUM(M3:M33)</f>
        <v>0</v>
      </c>
      <c r="N35" s="17">
        <f>N36+SUM(N3:N33)</f>
        <v>0</v>
      </c>
      <c r="O35" s="17">
        <f>O36+SUM(O3:O33)</f>
        <v>0</v>
      </c>
      <c r="P35" s="17">
        <f>P36+SUM(P3:P33)</f>
        <v>0</v>
      </c>
      <c r="Q35" s="17"/>
      <c r="R35" s="17"/>
      <c r="S35" s="17">
        <f>S36+SUM(S3:S33)</f>
        <v>0</v>
      </c>
      <c r="T35" s="17">
        <f>T36+SUM(T3:T33)</f>
        <v>0</v>
      </c>
      <c r="U35" s="17"/>
      <c r="V35" s="17">
        <f>SUM(V3:V33)+V36</f>
        <v>0</v>
      </c>
      <c r="W35" s="17"/>
      <c r="X35" s="17"/>
      <c r="Y35" s="17">
        <f>Y36+SUM(Y3:Y33)</f>
        <v>0</v>
      </c>
      <c r="Z35" s="17"/>
      <c r="AA35" s="17">
        <f>AA36+SUM(AA3:AA33)</f>
        <v>8686.84</v>
      </c>
      <c r="AB35" s="17"/>
      <c r="AC35" s="17"/>
      <c r="AD35" s="17">
        <f>AD36+SUM(AD3:AD33)</f>
        <v>0</v>
      </c>
      <c r="AE35" s="17">
        <f>AE36+SUM(AE3:AE33)</f>
        <v>0</v>
      </c>
      <c r="AF35" s="17"/>
      <c r="AG35" s="17"/>
      <c r="AH35" s="17">
        <f>AH36+SUM(AH3:AH33)</f>
        <v>5904.25</v>
      </c>
      <c r="AI35" s="17"/>
      <c r="AJ35" s="17">
        <f>AJ36+SUM(AJ3:AJ33)</f>
        <v>11103</v>
      </c>
      <c r="AK35" s="17"/>
      <c r="AL35" s="17">
        <f t="shared" ref="AL35:AO35" si="89">AL36+SUM(AL3:AL33)</f>
        <v>0</v>
      </c>
      <c r="AM35" s="17">
        <f t="shared" si="89"/>
        <v>0</v>
      </c>
      <c r="AN35" s="17">
        <f t="shared" si="89"/>
        <v>0</v>
      </c>
      <c r="AO35" s="17">
        <f t="shared" si="89"/>
        <v>0</v>
      </c>
      <c r="AP35" s="17">
        <f t="shared" ref="AP35:EN35" si="90">AP36+SUM(AP3:AP33)</f>
        <v>0</v>
      </c>
      <c r="AQ35" s="17">
        <f t="shared" si="90"/>
        <v>0</v>
      </c>
      <c r="AR35" s="17">
        <f t="shared" si="90"/>
        <v>0</v>
      </c>
      <c r="AS35" s="17">
        <f t="shared" si="90"/>
        <v>0</v>
      </c>
      <c r="AT35" s="17"/>
      <c r="AU35" s="17">
        <f t="shared" si="90"/>
        <v>0</v>
      </c>
      <c r="AV35" s="17">
        <f t="shared" si="90"/>
        <v>0</v>
      </c>
      <c r="AW35" s="17">
        <f t="shared" si="90"/>
        <v>0</v>
      </c>
      <c r="AX35" s="17">
        <f t="shared" si="90"/>
        <v>0</v>
      </c>
      <c r="AY35" s="17">
        <f t="shared" si="90"/>
        <v>0</v>
      </c>
      <c r="AZ35" s="17"/>
      <c r="BA35" s="17">
        <f t="shared" si="90"/>
        <v>5912.420000000001</v>
      </c>
      <c r="BB35" s="17">
        <f t="shared" si="90"/>
        <v>3091.56</v>
      </c>
      <c r="BC35" s="17">
        <f t="shared" si="90"/>
        <v>10</v>
      </c>
      <c r="BD35" s="17"/>
      <c r="BE35" s="17">
        <f t="shared" si="90"/>
        <v>0</v>
      </c>
      <c r="BF35" s="17">
        <f t="shared" si="90"/>
        <v>0</v>
      </c>
      <c r="BG35" s="17">
        <f t="shared" si="90"/>
        <v>0</v>
      </c>
      <c r="BH35" s="17">
        <f t="shared" si="90"/>
        <v>0</v>
      </c>
      <c r="BI35" s="17"/>
      <c r="BJ35" s="17"/>
      <c r="BK35" s="17">
        <f t="shared" si="90"/>
        <v>0</v>
      </c>
      <c r="BL35" s="17">
        <f t="shared" si="90"/>
        <v>0</v>
      </c>
      <c r="BM35" s="17">
        <f t="shared" si="90"/>
        <v>0</v>
      </c>
      <c r="BN35" s="17"/>
      <c r="BO35" s="17"/>
      <c r="BP35" s="17">
        <f t="shared" si="90"/>
        <v>0</v>
      </c>
      <c r="BQ35" s="17">
        <f t="shared" si="90"/>
        <v>0</v>
      </c>
      <c r="BR35" s="17">
        <f t="shared" si="90"/>
        <v>0</v>
      </c>
      <c r="BS35" s="17"/>
      <c r="BT35" s="17"/>
      <c r="BU35" s="17">
        <f t="shared" si="90"/>
        <v>0</v>
      </c>
      <c r="BV35" s="17">
        <f t="shared" si="90"/>
        <v>0</v>
      </c>
      <c r="BW35" s="17">
        <f t="shared" si="90"/>
        <v>0</v>
      </c>
      <c r="BX35" s="17"/>
      <c r="BY35" s="17"/>
      <c r="BZ35" s="17">
        <f t="shared" si="90"/>
        <v>0</v>
      </c>
      <c r="CA35" s="17">
        <f>CA36+SUM(CA3:CA33)</f>
        <v>0</v>
      </c>
      <c r="CB35" s="17">
        <f t="shared" si="90"/>
        <v>0</v>
      </c>
      <c r="CC35" s="17"/>
      <c r="CD35" s="17"/>
      <c r="CE35" s="17">
        <f t="shared" si="90"/>
        <v>0</v>
      </c>
      <c r="CF35" s="17">
        <f t="shared" si="90"/>
        <v>0</v>
      </c>
      <c r="CG35" s="17">
        <f t="shared" si="90"/>
        <v>0</v>
      </c>
      <c r="CH35" s="17"/>
      <c r="CI35" s="17"/>
      <c r="CJ35" s="17">
        <f t="shared" si="90"/>
        <v>0</v>
      </c>
      <c r="CK35" s="17">
        <f t="shared" si="90"/>
        <v>0</v>
      </c>
      <c r="CL35" s="17">
        <f t="shared" si="90"/>
        <v>0</v>
      </c>
      <c r="CM35" s="17"/>
      <c r="CN35" s="17"/>
      <c r="CO35" s="17">
        <f t="shared" ref="CO35:CV35" si="91">CO36+SUM(CO3:CO33)</f>
        <v>0</v>
      </c>
      <c r="CP35" s="17">
        <f t="shared" si="91"/>
        <v>0</v>
      </c>
      <c r="CQ35" s="17">
        <f t="shared" si="91"/>
        <v>0</v>
      </c>
      <c r="CR35" s="17"/>
      <c r="CS35" s="17"/>
      <c r="CT35" s="17">
        <f t="shared" si="91"/>
        <v>0</v>
      </c>
      <c r="CU35" s="17">
        <f t="shared" si="91"/>
        <v>0</v>
      </c>
      <c r="CV35" s="17">
        <f t="shared" si="91"/>
        <v>0</v>
      </c>
      <c r="CW35" s="17"/>
      <c r="CX35" s="17"/>
      <c r="CY35" s="17">
        <f t="shared" ref="CY35:DA35" si="92">CY36+SUM(CY3:CY33)</f>
        <v>0</v>
      </c>
      <c r="CZ35" s="17">
        <f t="shared" si="92"/>
        <v>0</v>
      </c>
      <c r="DA35" s="17">
        <f t="shared" si="92"/>
        <v>0</v>
      </c>
      <c r="DB35" s="17"/>
      <c r="DC35" s="17"/>
      <c r="DD35" s="17">
        <f t="shared" ref="DD35:DF35" si="93">DD36+SUM(DD3:DD33)</f>
        <v>0</v>
      </c>
      <c r="DE35" s="17">
        <f t="shared" si="93"/>
        <v>305.99</v>
      </c>
      <c r="DF35" s="17">
        <f t="shared" si="93"/>
        <v>0</v>
      </c>
      <c r="DG35" s="17"/>
      <c r="DH35" s="17"/>
      <c r="DI35" s="17">
        <f t="shared" ref="DI35:DK35" si="94">DI36+SUM(DI3:DI33)</f>
        <v>0</v>
      </c>
      <c r="DJ35" s="17">
        <f t="shared" si="94"/>
        <v>0</v>
      </c>
      <c r="DK35" s="17">
        <f t="shared" si="94"/>
        <v>0</v>
      </c>
      <c r="DL35" s="17"/>
      <c r="DM35" s="17"/>
      <c r="DN35" s="17">
        <f t="shared" ref="DN35:DP35" si="95">DN36+SUM(DN3:DN33)</f>
        <v>496</v>
      </c>
      <c r="DO35" s="17">
        <f t="shared" si="95"/>
        <v>0</v>
      </c>
      <c r="DP35" s="17">
        <f t="shared" si="95"/>
        <v>0</v>
      </c>
      <c r="DQ35" s="17"/>
      <c r="DR35" s="17"/>
      <c r="DS35" s="17">
        <f t="shared" ref="DS35:DU35" si="96">DS36+SUM(DS3:DS33)</f>
        <v>181.5</v>
      </c>
      <c r="DT35" s="17">
        <f t="shared" si="96"/>
        <v>5675.59</v>
      </c>
      <c r="DU35" s="17">
        <f t="shared" si="96"/>
        <v>20</v>
      </c>
      <c r="DV35" s="17"/>
      <c r="DW35" s="17"/>
      <c r="DX35" s="17">
        <f t="shared" ref="DX35:DZ35" si="97">DX36+SUM(DX3:DX33)</f>
        <v>0</v>
      </c>
      <c r="DY35" s="17">
        <f t="shared" si="97"/>
        <v>0</v>
      </c>
      <c r="DZ35" s="17">
        <f t="shared" si="97"/>
        <v>0</v>
      </c>
      <c r="EA35" s="17"/>
      <c r="EB35" s="17"/>
      <c r="EC35" s="17">
        <f t="shared" si="90"/>
        <v>6589.920000000001</v>
      </c>
      <c r="ED35" s="17">
        <f t="shared" si="90"/>
        <v>21812.86</v>
      </c>
      <c r="EE35" s="17"/>
      <c r="EF35" s="17"/>
      <c r="EG35">
        <f t="shared" si="90"/>
        <v>5904.25</v>
      </c>
      <c r="EH35">
        <f t="shared" si="90"/>
        <v>12460</v>
      </c>
      <c r="EI35" s="17"/>
      <c r="EJ35" s="17"/>
      <c r="EK35" s="17">
        <f>EK36+SUM(EK3:EK33)</f>
        <v>126324</v>
      </c>
      <c r="EL35" s="17">
        <f t="shared" si="90"/>
        <v>119659.26303853876</v>
      </c>
      <c r="EM35" s="17"/>
      <c r="EN35" s="17">
        <f t="shared" si="90"/>
        <v>0</v>
      </c>
      <c r="EP35" s="17">
        <f t="shared" ref="EP35:EQ35" si="98">EP36+SUM(EP3:EP33)</f>
        <v>13390.660000000003</v>
      </c>
      <c r="EQ35" s="17">
        <f t="shared" si="98"/>
        <v>22150.951000000001</v>
      </c>
    </row>
    <row r="36" spans="2:168">
      <c r="B36" t="s">
        <v>28</v>
      </c>
      <c r="D36" s="17">
        <v>417.28000000000003</v>
      </c>
      <c r="E36" s="268">
        <v>3135</v>
      </c>
      <c r="F36" s="17"/>
      <c r="I36" s="17">
        <v>126285.59</v>
      </c>
      <c r="J36" s="268">
        <v>132565.29999999999</v>
      </c>
      <c r="M36" s="17">
        <v>0</v>
      </c>
      <c r="N36" s="17">
        <v>0</v>
      </c>
      <c r="O36" s="17">
        <v>0</v>
      </c>
      <c r="P36" s="17">
        <v>0</v>
      </c>
      <c r="Q36" s="17"/>
      <c r="R36" s="17"/>
      <c r="S36" s="17">
        <v>0</v>
      </c>
      <c r="T36" s="17">
        <v>0</v>
      </c>
      <c r="U36" s="17"/>
      <c r="V36" s="17">
        <v>0</v>
      </c>
      <c r="W36" s="17"/>
      <c r="X36" s="17"/>
      <c r="Y36" s="17">
        <v>0</v>
      </c>
      <c r="Z36" s="268"/>
      <c r="AA36" s="17">
        <v>7623.8399999999992</v>
      </c>
      <c r="AB36" s="17"/>
      <c r="AC36" s="17"/>
      <c r="AD36" s="17">
        <v>0</v>
      </c>
      <c r="AE36" s="17">
        <v>0</v>
      </c>
      <c r="AF36" s="17"/>
      <c r="AG36" s="17"/>
      <c r="AH36" s="17">
        <v>2140.9499999999998</v>
      </c>
      <c r="AI36" s="17"/>
      <c r="AJ36" s="268">
        <v>6825</v>
      </c>
      <c r="AK36" s="17"/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/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/>
      <c r="BA36" s="17">
        <v>411.74</v>
      </c>
      <c r="BB36" s="268">
        <v>0</v>
      </c>
      <c r="BC36" s="17">
        <v>0</v>
      </c>
      <c r="BD36" s="17"/>
      <c r="BE36" s="17">
        <v>0</v>
      </c>
      <c r="BF36" s="17">
        <v>0</v>
      </c>
      <c r="BG36" s="17">
        <v>0</v>
      </c>
      <c r="BH36" s="17">
        <v>0</v>
      </c>
      <c r="BI36" s="17"/>
      <c r="BJ36" s="17"/>
      <c r="BK36" s="17">
        <v>0</v>
      </c>
      <c r="BL36" s="17">
        <v>0</v>
      </c>
      <c r="BM36" s="17">
        <v>0</v>
      </c>
      <c r="BN36" s="17"/>
      <c r="BO36" s="17"/>
      <c r="BP36" s="17">
        <v>0</v>
      </c>
      <c r="BQ36" s="17">
        <v>0</v>
      </c>
      <c r="BR36" s="17">
        <v>0</v>
      </c>
      <c r="BS36" s="17"/>
      <c r="BT36" s="17"/>
      <c r="BU36" s="17">
        <v>0</v>
      </c>
      <c r="BV36" s="17">
        <v>0</v>
      </c>
      <c r="BW36" s="17">
        <v>0</v>
      </c>
      <c r="BX36" s="17"/>
      <c r="BY36" s="17"/>
      <c r="BZ36" s="17">
        <v>0</v>
      </c>
      <c r="CA36" s="17">
        <v>0</v>
      </c>
      <c r="CB36" s="17">
        <v>0</v>
      </c>
      <c r="CC36" s="17"/>
      <c r="CD36" s="17"/>
      <c r="CE36" s="17">
        <v>0</v>
      </c>
      <c r="CF36" s="17">
        <v>0</v>
      </c>
      <c r="CG36" s="17">
        <v>0</v>
      </c>
      <c r="CH36" s="17"/>
      <c r="CI36" s="17"/>
      <c r="CJ36" s="17">
        <v>0</v>
      </c>
      <c r="CK36" s="17">
        <v>0</v>
      </c>
      <c r="CL36" s="17">
        <v>0</v>
      </c>
      <c r="CM36" s="17"/>
      <c r="CN36" s="17"/>
      <c r="CO36" s="17">
        <v>0</v>
      </c>
      <c r="CP36" s="17">
        <v>0</v>
      </c>
      <c r="CQ36" s="17">
        <v>0</v>
      </c>
      <c r="CR36" s="17"/>
      <c r="CS36" s="17"/>
      <c r="CT36" s="17">
        <v>0</v>
      </c>
      <c r="CU36" s="17">
        <v>0</v>
      </c>
      <c r="CV36" s="17">
        <v>0</v>
      </c>
      <c r="CW36" s="17"/>
      <c r="CX36" s="17"/>
      <c r="CY36" s="17">
        <v>0</v>
      </c>
      <c r="CZ36" s="17">
        <v>0</v>
      </c>
      <c r="DA36" s="17">
        <v>0</v>
      </c>
      <c r="DB36" s="17"/>
      <c r="DC36" s="17"/>
      <c r="DD36" s="17">
        <v>0</v>
      </c>
      <c r="DE36" s="17">
        <v>298.89</v>
      </c>
      <c r="DF36" s="17">
        <v>0</v>
      </c>
      <c r="DG36" s="17"/>
      <c r="DH36" s="17"/>
      <c r="DI36" s="17">
        <v>0</v>
      </c>
      <c r="DJ36" s="17">
        <v>0</v>
      </c>
      <c r="DK36" s="17">
        <v>0</v>
      </c>
      <c r="DL36" s="17"/>
      <c r="DM36" s="17"/>
      <c r="DN36" s="17">
        <v>212</v>
      </c>
      <c r="DO36" s="17">
        <v>0</v>
      </c>
      <c r="DP36" s="17">
        <v>0</v>
      </c>
      <c r="DQ36" s="17"/>
      <c r="DR36" s="17"/>
      <c r="DS36" s="17">
        <v>181.5</v>
      </c>
      <c r="DT36" s="17">
        <v>2741.7</v>
      </c>
      <c r="DU36" s="17">
        <v>20</v>
      </c>
      <c r="DV36" s="17"/>
      <c r="DW36" s="17"/>
      <c r="DX36" s="17">
        <v>0</v>
      </c>
      <c r="DY36" s="17">
        <v>0</v>
      </c>
      <c r="DZ36" s="17">
        <v>0</v>
      </c>
      <c r="EA36" s="17"/>
      <c r="EB36" s="17"/>
      <c r="EC36" s="17">
        <v>805.24</v>
      </c>
      <c r="ED36" s="17">
        <v>14717.310000000001</v>
      </c>
      <c r="EE36" s="17"/>
      <c r="EF36" s="17"/>
      <c r="EG36">
        <v>2140.9499999999998</v>
      </c>
      <c r="EH36">
        <v>8172</v>
      </c>
      <c r="EI36" s="17"/>
      <c r="EJ36" s="17"/>
      <c r="EK36" s="17">
        <v>85526</v>
      </c>
      <c r="EL36" s="17">
        <v>62861.73101386505</v>
      </c>
      <c r="EM36" s="17"/>
      <c r="EN36" s="17">
        <v>0</v>
      </c>
      <c r="EP36" s="17">
        <v>13390.660000000003</v>
      </c>
      <c r="EQ36" s="17">
        <v>16934.099999999999</v>
      </c>
    </row>
    <row r="39" spans="2:168">
      <c r="E39" s="308"/>
      <c r="F39" s="50"/>
      <c r="FD39" s="319"/>
      <c r="FF39" s="319"/>
      <c r="FG39" s="395"/>
      <c r="FH39" s="319"/>
      <c r="FI39" s="319"/>
      <c r="FJ39" s="319"/>
      <c r="FK39" s="319"/>
      <c r="FL39" s="319"/>
    </row>
    <row r="40" spans="2:168">
      <c r="E40" s="309"/>
      <c r="F40" s="51"/>
    </row>
  </sheetData>
  <mergeCells count="29">
    <mergeCell ref="BO1:BR1"/>
    <mergeCell ref="BY1:CC1"/>
    <mergeCell ref="CD1:CH1"/>
    <mergeCell ref="CI1:CM1"/>
    <mergeCell ref="CN1:CR1"/>
    <mergeCell ref="CS1:CW1"/>
    <mergeCell ref="DC1:DG1"/>
    <mergeCell ref="BT1:BX1"/>
    <mergeCell ref="C1:G1"/>
    <mergeCell ref="H1:K1"/>
    <mergeCell ref="L1:Q1"/>
    <mergeCell ref="R1:W1"/>
    <mergeCell ref="X1:AB1"/>
    <mergeCell ref="AG1:AK1"/>
    <mergeCell ref="AC1:AF1"/>
    <mergeCell ref="AL1:AO1"/>
    <mergeCell ref="AP1:AT1"/>
    <mergeCell ref="AU1:AY1"/>
    <mergeCell ref="AZ1:BD1"/>
    <mergeCell ref="BE1:BI1"/>
    <mergeCell ref="BJ1:BN1"/>
    <mergeCell ref="EP1:EQ1"/>
    <mergeCell ref="DR1:DV1"/>
    <mergeCell ref="DM1:DQ1"/>
    <mergeCell ref="DH1:DL1"/>
    <mergeCell ref="CX1:DB1"/>
    <mergeCell ref="DW1:EA1"/>
    <mergeCell ref="EB1:EE1"/>
    <mergeCell ref="EF1:EI1"/>
  </mergeCells>
  <pageMargins left="0.7" right="0.7" top="0.75" bottom="0.75" header="0.3" footer="0.3"/>
  <pageSetup paperSize="1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B081-62FC-413D-9FF7-770CCF207CDB}">
  <dimension ref="B1:H39"/>
  <sheetViews>
    <sheetView zoomScale="60" zoomScaleNormal="60" workbookViewId="0">
      <pane ySplit="2" topLeftCell="A3" activePane="bottomLeft" state="frozen"/>
      <selection pane="bottomLeft" activeCell="M27" sqref="M27"/>
    </sheetView>
  </sheetViews>
  <sheetFormatPr defaultRowHeight="15"/>
  <cols>
    <col min="1" max="1" width="3.85546875" customWidth="1"/>
    <col min="2" max="2" width="19.140625" customWidth="1"/>
    <col min="3" max="4" width="12.7109375" bestFit="1" customWidth="1"/>
    <col min="5" max="5" width="15.140625" bestFit="1" customWidth="1"/>
    <col min="6" max="7" width="15.140625" customWidth="1"/>
    <col min="8" max="8" width="12.7109375" bestFit="1" customWidth="1"/>
  </cols>
  <sheetData>
    <row r="1" spans="2:8">
      <c r="B1" s="3" t="s">
        <v>73</v>
      </c>
      <c r="C1" s="298" t="s">
        <v>74</v>
      </c>
      <c r="D1" s="298" t="s">
        <v>75</v>
      </c>
      <c r="E1" s="298" t="s">
        <v>76</v>
      </c>
      <c r="F1" s="298" t="s">
        <v>77</v>
      </c>
      <c r="G1" s="298" t="s">
        <v>8</v>
      </c>
      <c r="H1" s="298" t="s">
        <v>78</v>
      </c>
    </row>
    <row r="2" spans="2:8">
      <c r="B2" s="4" t="s">
        <v>10</v>
      </c>
      <c r="C2" s="1" t="s">
        <v>79</v>
      </c>
      <c r="D2" s="1" t="s">
        <v>79</v>
      </c>
      <c r="E2" s="1" t="s">
        <v>79</v>
      </c>
      <c r="F2" s="1" t="s">
        <v>79</v>
      </c>
      <c r="G2" s="1"/>
      <c r="H2" s="1" t="s">
        <v>80</v>
      </c>
    </row>
    <row r="3" spans="2:8">
      <c r="B3" s="4">
        <v>1</v>
      </c>
      <c r="C3" s="1">
        <v>256</v>
      </c>
      <c r="D3" s="1">
        <v>0</v>
      </c>
      <c r="E3" s="1">
        <v>0</v>
      </c>
      <c r="F3" s="1">
        <v>4</v>
      </c>
      <c r="G3" s="1"/>
      <c r="H3" s="1">
        <f>SUM(C3:G3)</f>
        <v>260</v>
      </c>
    </row>
    <row r="4" spans="2:8">
      <c r="B4" s="4">
        <v>2</v>
      </c>
      <c r="C4" s="1">
        <v>192</v>
      </c>
      <c r="D4" s="1">
        <v>1</v>
      </c>
      <c r="E4" s="1">
        <v>0</v>
      </c>
      <c r="F4" s="1">
        <v>5</v>
      </c>
      <c r="G4" s="1"/>
      <c r="H4" s="1">
        <f t="shared" ref="H4:H33" si="0">SUM(C4:G4)</f>
        <v>198</v>
      </c>
    </row>
    <row r="5" spans="2:8">
      <c r="B5" s="4">
        <v>3</v>
      </c>
      <c r="C5" s="1">
        <v>194</v>
      </c>
      <c r="D5" s="1">
        <v>6</v>
      </c>
      <c r="E5" s="1">
        <v>0</v>
      </c>
      <c r="F5" s="1">
        <v>5</v>
      </c>
      <c r="G5" s="1"/>
      <c r="H5" s="1">
        <f t="shared" si="0"/>
        <v>205</v>
      </c>
    </row>
    <row r="6" spans="2:8">
      <c r="B6" s="4">
        <v>4</v>
      </c>
      <c r="C6" s="1">
        <v>219</v>
      </c>
      <c r="D6" s="1">
        <v>5</v>
      </c>
      <c r="E6" s="1">
        <v>0</v>
      </c>
      <c r="F6" s="1">
        <v>6</v>
      </c>
      <c r="G6" s="1"/>
      <c r="H6" s="1">
        <f t="shared" si="0"/>
        <v>230</v>
      </c>
    </row>
    <row r="7" spans="2:8">
      <c r="B7" s="4">
        <v>5</v>
      </c>
      <c r="C7" s="1">
        <v>190</v>
      </c>
      <c r="D7" s="1">
        <v>4</v>
      </c>
      <c r="E7" s="1">
        <v>0</v>
      </c>
      <c r="F7" s="1">
        <v>5</v>
      </c>
      <c r="G7" s="1"/>
      <c r="H7" s="1">
        <f t="shared" si="0"/>
        <v>199</v>
      </c>
    </row>
    <row r="8" spans="2:8">
      <c r="B8" s="4">
        <v>6</v>
      </c>
      <c r="C8" s="1">
        <v>119</v>
      </c>
      <c r="D8" s="1">
        <v>3</v>
      </c>
      <c r="E8" s="1">
        <v>0</v>
      </c>
      <c r="F8" s="1">
        <v>3</v>
      </c>
      <c r="G8" s="1"/>
      <c r="H8" s="1">
        <f t="shared" si="0"/>
        <v>125</v>
      </c>
    </row>
    <row r="9" spans="2:8">
      <c r="B9" s="4">
        <v>7</v>
      </c>
      <c r="C9" s="1">
        <v>134</v>
      </c>
      <c r="D9" s="1">
        <v>4</v>
      </c>
      <c r="E9" s="1">
        <v>0</v>
      </c>
      <c r="F9" s="1">
        <v>4</v>
      </c>
      <c r="G9" s="1"/>
      <c r="H9" s="1">
        <f t="shared" si="0"/>
        <v>142</v>
      </c>
    </row>
    <row r="10" spans="2:8">
      <c r="B10" s="4">
        <v>8</v>
      </c>
      <c r="C10" s="1">
        <v>159</v>
      </c>
      <c r="D10" s="1">
        <v>2</v>
      </c>
      <c r="E10" s="1">
        <v>0</v>
      </c>
      <c r="F10" s="1">
        <v>4</v>
      </c>
      <c r="G10" s="1"/>
      <c r="H10" s="1">
        <f t="shared" si="0"/>
        <v>165</v>
      </c>
    </row>
    <row r="11" spans="2:8">
      <c r="B11" s="4">
        <v>9</v>
      </c>
      <c r="C11" s="1">
        <v>206</v>
      </c>
      <c r="D11" s="1">
        <v>3</v>
      </c>
      <c r="E11" s="1">
        <v>0</v>
      </c>
      <c r="F11" s="1">
        <v>6</v>
      </c>
      <c r="G11" s="1"/>
      <c r="H11" s="1">
        <f t="shared" si="0"/>
        <v>215</v>
      </c>
    </row>
    <row r="12" spans="2:8">
      <c r="B12" s="4">
        <v>10</v>
      </c>
      <c r="C12" s="1">
        <v>176</v>
      </c>
      <c r="D12" s="1">
        <v>4</v>
      </c>
      <c r="E12" s="1">
        <v>0</v>
      </c>
      <c r="F12" s="1">
        <v>6</v>
      </c>
      <c r="G12" s="1"/>
      <c r="H12" s="1">
        <f t="shared" si="0"/>
        <v>186</v>
      </c>
    </row>
    <row r="13" spans="2:8" ht="17.25" customHeight="1">
      <c r="B13" s="4">
        <v>11</v>
      </c>
      <c r="C13" s="1">
        <v>188</v>
      </c>
      <c r="D13" s="1">
        <v>5</v>
      </c>
      <c r="E13" s="1">
        <v>0</v>
      </c>
      <c r="F13" s="1">
        <v>4</v>
      </c>
      <c r="G13" s="1"/>
      <c r="H13" s="1">
        <f t="shared" si="0"/>
        <v>197</v>
      </c>
    </row>
    <row r="14" spans="2:8">
      <c r="B14" s="4">
        <v>12</v>
      </c>
      <c r="C14" s="1">
        <v>170</v>
      </c>
      <c r="D14" s="1">
        <v>5</v>
      </c>
      <c r="E14" s="1">
        <v>0</v>
      </c>
      <c r="F14" s="1">
        <v>4</v>
      </c>
      <c r="G14" s="1"/>
      <c r="H14" s="1">
        <f t="shared" si="0"/>
        <v>179</v>
      </c>
    </row>
    <row r="15" spans="2:8">
      <c r="B15" s="4">
        <v>13</v>
      </c>
      <c r="C15" s="1">
        <v>141</v>
      </c>
      <c r="D15" s="1">
        <v>4</v>
      </c>
      <c r="E15" s="1">
        <v>0</v>
      </c>
      <c r="F15" s="1">
        <v>4</v>
      </c>
      <c r="G15" s="1"/>
      <c r="H15" s="1">
        <f t="shared" si="0"/>
        <v>149</v>
      </c>
    </row>
    <row r="16" spans="2:8">
      <c r="B16" s="4">
        <v>14</v>
      </c>
      <c r="C16" s="1">
        <v>168</v>
      </c>
      <c r="D16" s="1">
        <v>4</v>
      </c>
      <c r="E16" s="1">
        <v>0</v>
      </c>
      <c r="F16" s="1">
        <v>5</v>
      </c>
      <c r="G16" s="1"/>
      <c r="H16" s="1">
        <f t="shared" si="0"/>
        <v>177</v>
      </c>
    </row>
    <row r="17" spans="2:8">
      <c r="B17" s="4">
        <v>15</v>
      </c>
      <c r="C17" s="1">
        <v>67</v>
      </c>
      <c r="D17" s="1">
        <v>1</v>
      </c>
      <c r="E17" s="1">
        <v>0</v>
      </c>
      <c r="F17" s="1">
        <v>2</v>
      </c>
      <c r="G17" s="1"/>
      <c r="H17" s="1">
        <f t="shared" si="0"/>
        <v>70</v>
      </c>
    </row>
    <row r="18" spans="2:8">
      <c r="B18" s="4">
        <v>16</v>
      </c>
      <c r="C18" s="1">
        <v>0</v>
      </c>
      <c r="D18" s="1">
        <v>0</v>
      </c>
      <c r="E18" s="1">
        <v>0</v>
      </c>
      <c r="F18" s="1">
        <v>0</v>
      </c>
      <c r="G18" s="1"/>
      <c r="H18" s="1">
        <f t="shared" si="0"/>
        <v>0</v>
      </c>
    </row>
    <row r="19" spans="2:8">
      <c r="B19" s="4">
        <v>17</v>
      </c>
      <c r="C19" s="1">
        <v>0</v>
      </c>
      <c r="D19" s="1">
        <v>0</v>
      </c>
      <c r="E19" s="1">
        <v>0</v>
      </c>
      <c r="F19" s="1">
        <v>0</v>
      </c>
      <c r="G19" s="1"/>
      <c r="H19" s="1">
        <f t="shared" si="0"/>
        <v>0</v>
      </c>
    </row>
    <row r="20" spans="2:8">
      <c r="B20" s="4">
        <v>18</v>
      </c>
      <c r="C20" s="1">
        <v>0</v>
      </c>
      <c r="D20" s="1">
        <v>0</v>
      </c>
      <c r="E20" s="1">
        <v>0</v>
      </c>
      <c r="F20" s="1">
        <v>0</v>
      </c>
      <c r="G20" s="1"/>
      <c r="H20" s="1">
        <f t="shared" si="0"/>
        <v>0</v>
      </c>
    </row>
    <row r="21" spans="2:8">
      <c r="B21" s="4">
        <v>19</v>
      </c>
      <c r="C21" s="1">
        <v>0</v>
      </c>
      <c r="D21" s="1">
        <v>0</v>
      </c>
      <c r="E21" s="1">
        <v>0</v>
      </c>
      <c r="F21" s="1">
        <v>0</v>
      </c>
      <c r="G21" s="1"/>
      <c r="H21" s="1">
        <f t="shared" si="0"/>
        <v>0</v>
      </c>
    </row>
    <row r="22" spans="2:8">
      <c r="B22" s="4">
        <v>20</v>
      </c>
      <c r="C22" s="1">
        <v>0</v>
      </c>
      <c r="D22" s="1">
        <v>0</v>
      </c>
      <c r="E22" s="1">
        <v>0</v>
      </c>
      <c r="F22" s="1">
        <v>0</v>
      </c>
      <c r="G22" s="1"/>
      <c r="H22" s="1">
        <f t="shared" si="0"/>
        <v>0</v>
      </c>
    </row>
    <row r="23" spans="2:8">
      <c r="B23" s="4">
        <v>21</v>
      </c>
      <c r="C23" s="1">
        <v>0</v>
      </c>
      <c r="D23" s="1">
        <v>0</v>
      </c>
      <c r="E23" s="1">
        <v>0</v>
      </c>
      <c r="F23" s="1">
        <v>0</v>
      </c>
      <c r="G23" s="1"/>
      <c r="H23" s="1">
        <f t="shared" si="0"/>
        <v>0</v>
      </c>
    </row>
    <row r="24" spans="2:8">
      <c r="B24" s="4">
        <v>22</v>
      </c>
      <c r="C24" s="1">
        <v>0</v>
      </c>
      <c r="D24" s="1">
        <v>0</v>
      </c>
      <c r="E24" s="1">
        <v>0</v>
      </c>
      <c r="F24" s="1">
        <v>0</v>
      </c>
      <c r="G24" s="1"/>
      <c r="H24" s="1">
        <f t="shared" si="0"/>
        <v>0</v>
      </c>
    </row>
    <row r="25" spans="2:8">
      <c r="B25" s="4">
        <v>23</v>
      </c>
      <c r="C25" s="1">
        <v>0</v>
      </c>
      <c r="D25" s="1">
        <v>0</v>
      </c>
      <c r="E25" s="1">
        <v>0</v>
      </c>
      <c r="F25" s="1">
        <v>0</v>
      </c>
      <c r="G25" s="1"/>
      <c r="H25" s="1">
        <f t="shared" si="0"/>
        <v>0</v>
      </c>
    </row>
    <row r="26" spans="2:8">
      <c r="B26" s="4">
        <v>24</v>
      </c>
      <c r="C26" s="1">
        <v>0</v>
      </c>
      <c r="D26" s="1">
        <v>0</v>
      </c>
      <c r="E26" s="1">
        <v>0</v>
      </c>
      <c r="F26" s="1">
        <v>0</v>
      </c>
      <c r="G26" s="1"/>
      <c r="H26" s="1">
        <f t="shared" si="0"/>
        <v>0</v>
      </c>
    </row>
    <row r="27" spans="2:8">
      <c r="B27" s="4">
        <v>25</v>
      </c>
      <c r="C27" s="1">
        <v>207</v>
      </c>
      <c r="D27" s="1">
        <v>1</v>
      </c>
      <c r="E27" s="1">
        <v>0</v>
      </c>
      <c r="F27" s="1">
        <v>4</v>
      </c>
      <c r="G27" s="1">
        <v>2</v>
      </c>
      <c r="H27" s="1">
        <f t="shared" si="0"/>
        <v>214</v>
      </c>
    </row>
    <row r="28" spans="2:8">
      <c r="B28" s="4">
        <v>26</v>
      </c>
      <c r="C28" s="1">
        <v>187</v>
      </c>
      <c r="D28" s="1">
        <v>1</v>
      </c>
      <c r="E28" s="1">
        <v>0</v>
      </c>
      <c r="F28" s="1">
        <v>4</v>
      </c>
      <c r="G28" s="1">
        <v>2</v>
      </c>
      <c r="H28" s="1">
        <f t="shared" si="0"/>
        <v>194</v>
      </c>
    </row>
    <row r="29" spans="2:8">
      <c r="B29" s="4">
        <v>27</v>
      </c>
      <c r="C29" s="1">
        <v>148</v>
      </c>
      <c r="D29" s="1">
        <v>1</v>
      </c>
      <c r="E29" s="1">
        <v>0</v>
      </c>
      <c r="F29" s="1">
        <v>3</v>
      </c>
      <c r="G29" s="1">
        <v>2</v>
      </c>
      <c r="H29" s="1">
        <f t="shared" si="0"/>
        <v>154</v>
      </c>
    </row>
    <row r="30" spans="2:8">
      <c r="B30" s="4">
        <v>28</v>
      </c>
      <c r="C30" s="1">
        <v>186</v>
      </c>
      <c r="D30" s="1">
        <v>1</v>
      </c>
      <c r="E30" s="1">
        <v>0</v>
      </c>
      <c r="F30" s="1">
        <v>2</v>
      </c>
      <c r="G30" s="1">
        <v>1</v>
      </c>
      <c r="H30" s="1">
        <f t="shared" si="0"/>
        <v>190</v>
      </c>
    </row>
    <row r="31" spans="2:8">
      <c r="B31" s="4">
        <v>29</v>
      </c>
      <c r="C31" s="1">
        <v>160</v>
      </c>
      <c r="D31" s="1">
        <v>1</v>
      </c>
      <c r="E31" s="1">
        <v>0</v>
      </c>
      <c r="F31" s="1">
        <v>5</v>
      </c>
      <c r="G31" s="1">
        <v>1</v>
      </c>
      <c r="H31" s="1">
        <f t="shared" si="0"/>
        <v>167</v>
      </c>
    </row>
    <row r="32" spans="2:8">
      <c r="B32" s="4">
        <v>30</v>
      </c>
      <c r="C32" s="1">
        <v>90</v>
      </c>
      <c r="D32" s="1">
        <v>3</v>
      </c>
      <c r="E32" s="1">
        <v>0</v>
      </c>
      <c r="F32" s="1">
        <v>2</v>
      </c>
      <c r="G32" s="1">
        <v>1</v>
      </c>
      <c r="H32" s="1">
        <f t="shared" si="0"/>
        <v>96</v>
      </c>
    </row>
    <row r="33" spans="2:8" s="160" customFormat="1">
      <c r="B33" s="155">
        <v>31</v>
      </c>
      <c r="C33" s="1">
        <v>0</v>
      </c>
      <c r="D33" s="1">
        <v>0</v>
      </c>
      <c r="E33" s="1">
        <v>0</v>
      </c>
      <c r="F33" s="1">
        <v>0</v>
      </c>
      <c r="G33" s="1"/>
      <c r="H33" s="1">
        <f t="shared" si="0"/>
        <v>0</v>
      </c>
    </row>
    <row r="34" spans="2:8" ht="15.75" thickBot="1">
      <c r="B34" s="5" t="s">
        <v>27</v>
      </c>
      <c r="C34" s="8">
        <f>SUM(C3:C33)</f>
        <v>3557</v>
      </c>
      <c r="D34" s="8">
        <f>SUM(D3:D33)</f>
        <v>59</v>
      </c>
      <c r="E34" s="8">
        <f>SUM(E3:E33)</f>
        <v>0</v>
      </c>
      <c r="F34" s="8"/>
      <c r="G34" s="8"/>
      <c r="H34" s="8">
        <f>SUM(H3:H33)</f>
        <v>3712</v>
      </c>
    </row>
    <row r="35" spans="2:8">
      <c r="B35" t="s">
        <v>28</v>
      </c>
      <c r="C35" s="17">
        <f>C36+SUM(C3:C33)</f>
        <v>9426</v>
      </c>
      <c r="D35" s="17">
        <f>D36+SUM(D3:D33)</f>
        <v>151</v>
      </c>
      <c r="E35" s="17">
        <f>E36+SUM(E3:E33)</f>
        <v>33</v>
      </c>
      <c r="F35" s="17"/>
      <c r="G35" s="17"/>
      <c r="H35" s="17">
        <f>H36+SUM(H3:H33)</f>
        <v>9833</v>
      </c>
    </row>
    <row r="36" spans="2:8">
      <c r="B36" t="s">
        <v>28</v>
      </c>
      <c r="C36" s="17">
        <v>5869</v>
      </c>
      <c r="D36" s="17">
        <v>92</v>
      </c>
      <c r="E36" s="17">
        <v>33</v>
      </c>
      <c r="F36" s="17"/>
      <c r="G36" s="17"/>
      <c r="H36" s="17">
        <v>6121</v>
      </c>
    </row>
    <row r="39" spans="2:8">
      <c r="D39" t="e">
        <f>C36+D36+#REF!+#REF!+Cement!Q36+Cement!V36</f>
        <v>#REF!</v>
      </c>
      <c r="E39" t="e">
        <f>#REF!+E36+#REF!+#REF!+Cement!R36+Cement!W36</f>
        <v>#REF!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K36"/>
  <sheetViews>
    <sheetView zoomScale="60" zoomScaleNormal="60" workbookViewId="0">
      <pane xSplit="2" ySplit="2" topLeftCell="L3" activePane="bottomRight" state="frozen"/>
      <selection pane="bottomRight" activeCell="U37" sqref="U37"/>
      <selection pane="bottomLeft" activeCell="A3" sqref="A3"/>
      <selection pane="topRight" activeCell="C1" sqref="C1"/>
    </sheetView>
  </sheetViews>
  <sheetFormatPr defaultRowHeight="1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5.140625" bestFit="1" customWidth="1"/>
    <col min="11" max="11" width="15.5703125" bestFit="1" customWidth="1"/>
    <col min="12" max="12" width="16.28515625" bestFit="1" customWidth="1"/>
    <col min="13" max="13" width="12.7109375" bestFit="1" customWidth="1"/>
    <col min="14" max="14" width="15.140625" bestFit="1" customWidth="1"/>
    <col min="15" max="15" width="15.5703125" bestFit="1" customWidth="1"/>
    <col min="16" max="16" width="16.28515625" bestFit="1" customWidth="1"/>
    <col min="17" max="17" width="12.7109375" bestFit="1" customWidth="1"/>
    <col min="18" max="18" width="15.140625" bestFit="1" customWidth="1"/>
    <col min="19" max="19" width="15.140625" customWidth="1"/>
    <col min="20" max="20" width="15.5703125" bestFit="1" customWidth="1"/>
    <col min="21" max="21" width="16.28515625" bestFit="1" customWidth="1"/>
    <col min="22" max="22" width="12.7109375" bestFit="1" customWidth="1"/>
    <col min="23" max="23" width="15.140625" bestFit="1" customWidth="1"/>
    <col min="24" max="24" width="15.5703125" bestFit="1" customWidth="1"/>
    <col min="25" max="25" width="16.28515625" bestFit="1" customWidth="1"/>
    <col min="26" max="26" width="12.7109375" bestFit="1" customWidth="1"/>
    <col min="27" max="27" width="15.140625" bestFit="1" customWidth="1"/>
    <col min="28" max="28" width="15.5703125" bestFit="1" customWidth="1"/>
    <col min="29" max="33" width="15.5703125" customWidth="1"/>
    <col min="36" max="36" width="11" bestFit="1" customWidth="1"/>
    <col min="37" max="37" width="13.5703125" bestFit="1" customWidth="1"/>
  </cols>
  <sheetData>
    <row r="1" spans="2:37">
      <c r="B1" s="3" t="s">
        <v>29</v>
      </c>
      <c r="C1" s="596" t="s">
        <v>81</v>
      </c>
      <c r="D1" s="597"/>
      <c r="E1" s="597"/>
      <c r="F1" s="599"/>
      <c r="G1" s="598"/>
      <c r="H1" s="596" t="s">
        <v>82</v>
      </c>
      <c r="I1" s="597"/>
      <c r="J1" s="597"/>
      <c r="K1" s="598"/>
      <c r="L1" s="596" t="s">
        <v>83</v>
      </c>
      <c r="M1" s="597"/>
      <c r="N1" s="597"/>
      <c r="O1" s="598"/>
      <c r="P1" s="596" t="s">
        <v>84</v>
      </c>
      <c r="Q1" s="597"/>
      <c r="R1" s="597"/>
      <c r="S1" s="599"/>
      <c r="T1" s="598"/>
      <c r="U1" s="596" t="s">
        <v>5</v>
      </c>
      <c r="V1" s="597"/>
      <c r="W1" s="597"/>
      <c r="X1" s="598"/>
      <c r="Y1" s="596" t="s">
        <v>85</v>
      </c>
      <c r="Z1" s="597"/>
      <c r="AA1" s="597"/>
      <c r="AB1" s="598"/>
      <c r="AC1" s="596" t="s">
        <v>86</v>
      </c>
      <c r="AD1" s="597"/>
      <c r="AE1" s="597"/>
      <c r="AF1" s="598"/>
      <c r="AG1" s="25"/>
      <c r="AH1" s="1" t="s">
        <v>9</v>
      </c>
      <c r="AI1" s="1"/>
    </row>
    <row r="2" spans="2:37">
      <c r="B2" s="4" t="s">
        <v>10</v>
      </c>
      <c r="C2" s="6" t="s">
        <v>11</v>
      </c>
      <c r="D2" s="192" t="s">
        <v>12</v>
      </c>
      <c r="E2" s="1" t="s">
        <v>87</v>
      </c>
      <c r="F2" s="26" t="s">
        <v>88</v>
      </c>
      <c r="G2" s="7" t="s">
        <v>15</v>
      </c>
      <c r="H2" s="6" t="s">
        <v>11</v>
      </c>
      <c r="I2" s="1" t="s">
        <v>12</v>
      </c>
      <c r="J2" s="1" t="s">
        <v>16</v>
      </c>
      <c r="K2" s="7" t="s">
        <v>15</v>
      </c>
      <c r="L2" s="6" t="s">
        <v>11</v>
      </c>
      <c r="M2" s="1" t="s">
        <v>12</v>
      </c>
      <c r="N2" s="1" t="s">
        <v>16</v>
      </c>
      <c r="O2" s="7" t="s">
        <v>15</v>
      </c>
      <c r="P2" s="6" t="s">
        <v>11</v>
      </c>
      <c r="Q2" s="1" t="s">
        <v>12</v>
      </c>
      <c r="R2" s="1" t="s">
        <v>89</v>
      </c>
      <c r="S2" s="26" t="s">
        <v>90</v>
      </c>
      <c r="T2" s="7" t="s">
        <v>15</v>
      </c>
      <c r="U2" s="6" t="s">
        <v>11</v>
      </c>
      <c r="V2" s="1" t="s">
        <v>12</v>
      </c>
      <c r="W2" s="1" t="s">
        <v>16</v>
      </c>
      <c r="X2" s="7" t="s">
        <v>15</v>
      </c>
      <c r="Y2" s="6" t="s">
        <v>11</v>
      </c>
      <c r="Z2" s="1" t="s">
        <v>12</v>
      </c>
      <c r="AA2" s="1" t="s">
        <v>16</v>
      </c>
      <c r="AB2" s="7" t="s">
        <v>15</v>
      </c>
      <c r="AC2" s="6" t="s">
        <v>11</v>
      </c>
      <c r="AD2" s="1" t="s">
        <v>12</v>
      </c>
      <c r="AE2" s="1" t="s">
        <v>16</v>
      </c>
      <c r="AF2" s="7" t="s">
        <v>15</v>
      </c>
      <c r="AG2" s="26"/>
      <c r="AH2" s="1"/>
      <c r="AI2" s="1"/>
    </row>
    <row r="3" spans="2:37">
      <c r="B3" s="4">
        <v>1</v>
      </c>
      <c r="C3" s="39">
        <v>4208.3305373246403</v>
      </c>
      <c r="D3" s="1">
        <v>0</v>
      </c>
      <c r="E3" s="34">
        <f>'Daily CEM-1'!AI4+'Daily  CEM - 2'!AH4</f>
        <v>100.85000000000001</v>
      </c>
      <c r="F3" s="437">
        <f>E3/0.95</f>
        <v>106.15789473684212</v>
      </c>
      <c r="G3" s="46">
        <f>C3+D3-F3</f>
        <v>4102.1726425877978</v>
      </c>
      <c r="H3" s="9">
        <v>0.23999999999796273</v>
      </c>
      <c r="I3" s="1">
        <v>0</v>
      </c>
      <c r="J3" s="34">
        <v>0</v>
      </c>
      <c r="K3" s="9">
        <f t="shared" ref="K3:K26" si="0">H3+I3-J3</f>
        <v>0.23999999999796273</v>
      </c>
      <c r="L3" s="39">
        <v>0</v>
      </c>
      <c r="M3" s="1">
        <v>0</v>
      </c>
      <c r="N3" s="34">
        <v>0</v>
      </c>
      <c r="O3" s="9">
        <v>0</v>
      </c>
      <c r="P3" s="200"/>
      <c r="Q3" s="1">
        <v>0</v>
      </c>
      <c r="R3" s="34">
        <f>'Daily CEM-1'!AH4+'Daily  CEM - 2'!AG4</f>
        <v>304.80999999999858</v>
      </c>
      <c r="S3" s="437">
        <f>R3/0.9</f>
        <v>338.67777777777621</v>
      </c>
      <c r="T3" s="202"/>
      <c r="U3" s="39">
        <v>0</v>
      </c>
      <c r="V3" s="1">
        <v>0</v>
      </c>
      <c r="W3" s="35">
        <v>0</v>
      </c>
      <c r="X3" s="40">
        <f t="shared" ref="X3:X33" si="1">U3+V3-W3</f>
        <v>0</v>
      </c>
      <c r="Y3" s="39">
        <v>0</v>
      </c>
      <c r="Z3" s="1">
        <v>0</v>
      </c>
      <c r="AA3" s="35">
        <v>0</v>
      </c>
      <c r="AB3" s="40">
        <f>Y3+Z3-AA3</f>
        <v>0</v>
      </c>
      <c r="AC3" s="39">
        <v>0</v>
      </c>
      <c r="AD3" s="1">
        <v>0</v>
      </c>
      <c r="AE3" s="33">
        <v>0</v>
      </c>
      <c r="AF3" s="9">
        <f>AC3+AD3-AE3</f>
        <v>0</v>
      </c>
      <c r="AG3" s="27"/>
      <c r="AH3" s="14">
        <f>E3+R3+Clinker!EL3+AE3</f>
        <v>2017</v>
      </c>
      <c r="AI3" s="1"/>
      <c r="AJ3" s="52">
        <f t="shared" ref="AJ3:AJ33" si="2">R3+W3</f>
        <v>304.80999999999858</v>
      </c>
      <c r="AK3" s="52"/>
    </row>
    <row r="4" spans="2:37">
      <c r="B4" s="4">
        <v>2</v>
      </c>
      <c r="C4" s="39">
        <f t="shared" ref="C4:C27" si="3">G3</f>
        <v>4102.1726425877978</v>
      </c>
      <c r="D4" s="1">
        <v>0</v>
      </c>
      <c r="E4" s="34">
        <f>'Daily CEM-1'!AI5+'Daily  CEM - 2'!AH5</f>
        <v>111.452</v>
      </c>
      <c r="F4" s="437">
        <f t="shared" ref="F4:F33" si="4">E4/0.95</f>
        <v>117.31789473684211</v>
      </c>
      <c r="G4" s="46">
        <f t="shared" ref="G4:G33" si="5">C4+D4-F4</f>
        <v>3984.8547478509558</v>
      </c>
      <c r="H4" s="39">
        <f t="shared" ref="H4:H27" si="6">K3</f>
        <v>0.23999999999796273</v>
      </c>
      <c r="I4" s="1">
        <v>0</v>
      </c>
      <c r="J4" s="34">
        <v>0</v>
      </c>
      <c r="K4" s="9">
        <f t="shared" si="0"/>
        <v>0.23999999999796273</v>
      </c>
      <c r="L4" s="39">
        <v>0</v>
      </c>
      <c r="M4" s="1">
        <v>0</v>
      </c>
      <c r="N4" s="34">
        <v>0</v>
      </c>
      <c r="O4" s="9">
        <v>0</v>
      </c>
      <c r="P4" s="201"/>
      <c r="Q4" s="1">
        <v>0</v>
      </c>
      <c r="R4" s="34">
        <f>'Daily CEM-1'!AH5+'Daily  CEM - 2'!AG5</f>
        <v>378.54000000000008</v>
      </c>
      <c r="S4" s="437">
        <f t="shared" ref="S4:S33" si="7">R4/0.9</f>
        <v>420.60000000000008</v>
      </c>
      <c r="T4" s="202"/>
      <c r="U4" s="47">
        <f>X3</f>
        <v>0</v>
      </c>
      <c r="V4" s="1">
        <v>0</v>
      </c>
      <c r="W4" s="35">
        <v>0</v>
      </c>
      <c r="X4" s="40">
        <f t="shared" si="1"/>
        <v>0</v>
      </c>
      <c r="Y4" s="47">
        <f>AB3</f>
        <v>0</v>
      </c>
      <c r="Z4" s="1">
        <v>0</v>
      </c>
      <c r="AA4" s="35">
        <v>0</v>
      </c>
      <c r="AB4" s="40">
        <f t="shared" ref="AB4:AB33" si="8">Y4+Z4-AA4</f>
        <v>0</v>
      </c>
      <c r="AC4" s="39">
        <v>0</v>
      </c>
      <c r="AD4" s="1">
        <v>0</v>
      </c>
      <c r="AE4" s="33">
        <v>0</v>
      </c>
      <c r="AF4" s="9">
        <f t="shared" ref="AF4:AF34" si="9">AC4+AD4-AE4</f>
        <v>0</v>
      </c>
      <c r="AG4" s="27"/>
      <c r="AH4" s="14">
        <f>E4+R4+Clinker!EL4+AE4</f>
        <v>2273</v>
      </c>
      <c r="AI4" s="1"/>
      <c r="AJ4" s="52">
        <f t="shared" si="2"/>
        <v>378.54000000000008</v>
      </c>
      <c r="AK4" s="52"/>
    </row>
    <row r="5" spans="2:37">
      <c r="B5" s="4">
        <v>3</v>
      </c>
      <c r="C5" s="39">
        <f t="shared" si="3"/>
        <v>3984.8547478509558</v>
      </c>
      <c r="D5" s="1">
        <v>0</v>
      </c>
      <c r="E5" s="34">
        <f>'Daily CEM-1'!AI6+'Daily  CEM - 2'!AH6</f>
        <v>154.62</v>
      </c>
      <c r="F5" s="437">
        <f t="shared" si="4"/>
        <v>162.7578947368421</v>
      </c>
      <c r="G5" s="46">
        <f t="shared" si="5"/>
        <v>3822.0968531141139</v>
      </c>
      <c r="H5" s="39">
        <f t="shared" si="6"/>
        <v>0.23999999999796273</v>
      </c>
      <c r="I5" s="1">
        <v>0</v>
      </c>
      <c r="J5" s="34">
        <v>0</v>
      </c>
      <c r="K5" s="9">
        <f t="shared" si="0"/>
        <v>0.23999999999796273</v>
      </c>
      <c r="L5" s="39">
        <v>0</v>
      </c>
      <c r="M5" s="1">
        <v>0</v>
      </c>
      <c r="N5" s="34">
        <v>0</v>
      </c>
      <c r="O5" s="9">
        <v>0</v>
      </c>
      <c r="P5" s="201"/>
      <c r="Q5" s="1">
        <v>0</v>
      </c>
      <c r="R5" s="34">
        <f>'Daily CEM-1'!AH6+'Daily  CEM - 2'!AG6</f>
        <v>508.14000000000004</v>
      </c>
      <c r="S5" s="437">
        <f t="shared" si="7"/>
        <v>564.6</v>
      </c>
      <c r="T5" s="202"/>
      <c r="U5" s="47">
        <f t="shared" ref="U5:U33" si="10">X4</f>
        <v>0</v>
      </c>
      <c r="V5" s="1">
        <v>0</v>
      </c>
      <c r="W5" s="35">
        <v>0</v>
      </c>
      <c r="X5" s="40">
        <f t="shared" si="1"/>
        <v>0</v>
      </c>
      <c r="Y5" s="47">
        <f t="shared" ref="Y5:Y33" si="11">AB4</f>
        <v>0</v>
      </c>
      <c r="Z5" s="1">
        <v>0</v>
      </c>
      <c r="AA5" s="35">
        <v>0</v>
      </c>
      <c r="AB5" s="40">
        <f t="shared" si="8"/>
        <v>0</v>
      </c>
      <c r="AC5" s="39">
        <v>0</v>
      </c>
      <c r="AD5" s="1">
        <v>0</v>
      </c>
      <c r="AE5" s="33">
        <v>0</v>
      </c>
      <c r="AF5" s="9">
        <f t="shared" si="9"/>
        <v>0</v>
      </c>
      <c r="AG5" s="27"/>
      <c r="AH5" s="14">
        <f>E5+R5+Clinker!EL5+AE5</f>
        <v>2937</v>
      </c>
      <c r="AI5" s="1"/>
      <c r="AJ5" s="52">
        <f t="shared" si="2"/>
        <v>508.14000000000004</v>
      </c>
      <c r="AK5" s="52"/>
    </row>
    <row r="6" spans="2:37">
      <c r="B6" s="4">
        <v>4</v>
      </c>
      <c r="C6" s="39">
        <f t="shared" si="3"/>
        <v>3822.0968531141139</v>
      </c>
      <c r="D6" s="1">
        <v>0</v>
      </c>
      <c r="E6" s="34">
        <f>'Daily CEM-1'!AI7+'Daily  CEM - 2'!AH7</f>
        <v>129.30000000000001</v>
      </c>
      <c r="F6" s="437">
        <f t="shared" si="4"/>
        <v>136.10526315789477</v>
      </c>
      <c r="G6" s="46">
        <f t="shared" si="5"/>
        <v>3685.9915899562193</v>
      </c>
      <c r="H6" s="39">
        <f t="shared" si="6"/>
        <v>0.23999999999796273</v>
      </c>
      <c r="I6" s="1">
        <v>0</v>
      </c>
      <c r="J6" s="34">
        <v>0</v>
      </c>
      <c r="K6" s="9">
        <f t="shared" si="0"/>
        <v>0.23999999999796273</v>
      </c>
      <c r="L6" s="39">
        <v>0</v>
      </c>
      <c r="M6" s="1">
        <v>0</v>
      </c>
      <c r="N6" s="34">
        <v>0</v>
      </c>
      <c r="O6" s="9">
        <v>0</v>
      </c>
      <c r="P6" s="201"/>
      <c r="Q6" s="1">
        <v>0</v>
      </c>
      <c r="R6" s="34">
        <f>'Daily CEM-1'!AH7+'Daily  CEM - 2'!AG7</f>
        <v>456.58000000423812</v>
      </c>
      <c r="S6" s="437">
        <f t="shared" si="7"/>
        <v>507.3111111158201</v>
      </c>
      <c r="T6" s="202"/>
      <c r="U6" s="47">
        <f t="shared" si="10"/>
        <v>0</v>
      </c>
      <c r="V6" s="1">
        <v>0</v>
      </c>
      <c r="W6" s="35">
        <v>0</v>
      </c>
      <c r="X6" s="40">
        <f t="shared" si="1"/>
        <v>0</v>
      </c>
      <c r="Y6" s="47">
        <f t="shared" si="11"/>
        <v>0</v>
      </c>
      <c r="Z6" s="1">
        <v>0</v>
      </c>
      <c r="AA6" s="35">
        <v>0</v>
      </c>
      <c r="AB6" s="40">
        <f t="shared" si="8"/>
        <v>0</v>
      </c>
      <c r="AC6" s="39">
        <v>0</v>
      </c>
      <c r="AD6" s="1">
        <v>0</v>
      </c>
      <c r="AE6" s="33">
        <v>0</v>
      </c>
      <c r="AF6" s="9">
        <f t="shared" si="9"/>
        <v>0</v>
      </c>
      <c r="AG6" s="27"/>
      <c r="AH6" s="14">
        <f>E6+R6+Clinker!EL6+AE6</f>
        <v>2586</v>
      </c>
      <c r="AI6" s="1"/>
      <c r="AJ6" s="52">
        <f t="shared" si="2"/>
        <v>456.58000000423812</v>
      </c>
      <c r="AK6" s="52"/>
    </row>
    <row r="7" spans="2:37">
      <c r="B7" s="4">
        <v>5</v>
      </c>
      <c r="C7" s="39">
        <f t="shared" si="3"/>
        <v>3685.9915899562193</v>
      </c>
      <c r="D7" s="1">
        <v>31.2</v>
      </c>
      <c r="E7" s="34">
        <f>'Daily CEM-1'!AI8+'Daily  CEM - 2'!AH8</f>
        <v>118.0039984</v>
      </c>
      <c r="F7" s="437">
        <f t="shared" si="4"/>
        <v>124.21473515789474</v>
      </c>
      <c r="G7" s="46">
        <f t="shared" si="5"/>
        <v>3592.9768547983244</v>
      </c>
      <c r="H7" s="39">
        <f t="shared" si="6"/>
        <v>0.23999999999796273</v>
      </c>
      <c r="I7" s="1">
        <v>0</v>
      </c>
      <c r="J7" s="34">
        <v>0</v>
      </c>
      <c r="K7" s="9">
        <f t="shared" si="0"/>
        <v>0.23999999999796273</v>
      </c>
      <c r="L7" s="39">
        <v>0</v>
      </c>
      <c r="M7" s="1">
        <v>0</v>
      </c>
      <c r="N7" s="34">
        <v>0</v>
      </c>
      <c r="O7" s="9">
        <v>0</v>
      </c>
      <c r="P7" s="201"/>
      <c r="Q7" s="1">
        <v>0</v>
      </c>
      <c r="R7" s="34">
        <f>'Daily CEM-1'!AH8+'Daily  CEM - 2'!AG8</f>
        <v>416.38099981086009</v>
      </c>
      <c r="S7" s="437">
        <f t="shared" si="7"/>
        <v>462.64555534540011</v>
      </c>
      <c r="T7" s="202"/>
      <c r="U7" s="47">
        <f t="shared" si="10"/>
        <v>0</v>
      </c>
      <c r="V7" s="1">
        <v>0</v>
      </c>
      <c r="W7" s="35">
        <v>0</v>
      </c>
      <c r="X7" s="40">
        <f t="shared" si="1"/>
        <v>0</v>
      </c>
      <c r="Y7" s="47">
        <f t="shared" si="11"/>
        <v>0</v>
      </c>
      <c r="Z7" s="1">
        <v>0</v>
      </c>
      <c r="AA7" s="35">
        <v>0</v>
      </c>
      <c r="AB7" s="40">
        <f t="shared" si="8"/>
        <v>0</v>
      </c>
      <c r="AC7" s="39">
        <v>0</v>
      </c>
      <c r="AD7" s="1">
        <v>0</v>
      </c>
      <c r="AE7" s="33">
        <v>0</v>
      </c>
      <c r="AF7" s="9">
        <f t="shared" si="9"/>
        <v>0</v>
      </c>
      <c r="AG7" s="27"/>
      <c r="AH7" s="14">
        <f>E7+R7+Clinker!EL7+AE7</f>
        <v>2360</v>
      </c>
      <c r="AI7" s="1"/>
      <c r="AJ7" s="52">
        <f t="shared" si="2"/>
        <v>416.38099981086009</v>
      </c>
      <c r="AK7" s="52"/>
    </row>
    <row r="8" spans="2:37">
      <c r="B8" s="4">
        <v>6</v>
      </c>
      <c r="C8" s="39">
        <f t="shared" si="3"/>
        <v>3592.9768547983244</v>
      </c>
      <c r="D8" s="1">
        <v>0</v>
      </c>
      <c r="E8" s="34">
        <f>'Daily CEM-1'!AI9+'Daily  CEM - 2'!AH9</f>
        <v>114.54099937999999</v>
      </c>
      <c r="F8" s="437">
        <f t="shared" si="4"/>
        <v>120.56947303157894</v>
      </c>
      <c r="G8" s="46">
        <f t="shared" si="5"/>
        <v>3472.4073817667454</v>
      </c>
      <c r="H8" s="39">
        <f t="shared" si="6"/>
        <v>0.23999999999796273</v>
      </c>
      <c r="I8" s="1">
        <v>0</v>
      </c>
      <c r="J8" s="34">
        <v>0</v>
      </c>
      <c r="K8" s="9">
        <f t="shared" si="0"/>
        <v>0.23999999999796273</v>
      </c>
      <c r="L8" s="39">
        <v>0</v>
      </c>
      <c r="M8" s="1">
        <v>0</v>
      </c>
      <c r="N8" s="34">
        <v>0</v>
      </c>
      <c r="O8" s="9">
        <v>0</v>
      </c>
      <c r="P8" s="201"/>
      <c r="Q8" s="1">
        <v>0</v>
      </c>
      <c r="R8" s="34">
        <f>'Daily CEM-1'!AH9+'Daily  CEM - 2'!AG9</f>
        <v>448.86499963740005</v>
      </c>
      <c r="S8" s="437">
        <f t="shared" si="7"/>
        <v>498.73888848600006</v>
      </c>
      <c r="T8" s="202"/>
      <c r="U8" s="47">
        <f t="shared" si="10"/>
        <v>0</v>
      </c>
      <c r="V8" s="1">
        <v>0</v>
      </c>
      <c r="W8" s="35">
        <v>0</v>
      </c>
      <c r="X8" s="40">
        <f t="shared" si="1"/>
        <v>0</v>
      </c>
      <c r="Y8" s="47">
        <f t="shared" si="11"/>
        <v>0</v>
      </c>
      <c r="Z8" s="1">
        <v>0</v>
      </c>
      <c r="AA8" s="35">
        <v>0</v>
      </c>
      <c r="AB8" s="40">
        <f t="shared" si="8"/>
        <v>0</v>
      </c>
      <c r="AC8" s="39">
        <v>0</v>
      </c>
      <c r="AD8" s="1">
        <v>0</v>
      </c>
      <c r="AE8" s="33">
        <v>0</v>
      </c>
      <c r="AF8" s="9">
        <f t="shared" si="9"/>
        <v>0</v>
      </c>
      <c r="AG8" s="27"/>
      <c r="AH8" s="14">
        <f>E8+R8+Clinker!EL8+AE8</f>
        <v>2278</v>
      </c>
      <c r="AI8" s="1"/>
      <c r="AJ8" s="52">
        <f t="shared" si="2"/>
        <v>448.86499963740005</v>
      </c>
      <c r="AK8" s="52"/>
    </row>
    <row r="9" spans="2:37">
      <c r="B9" s="4">
        <v>7</v>
      </c>
      <c r="C9" s="39">
        <f t="shared" si="3"/>
        <v>3472.4073817667454</v>
      </c>
      <c r="D9" s="1">
        <v>0</v>
      </c>
      <c r="E9" s="34">
        <f>'Daily CEM-1'!AI10+'Daily  CEM - 2'!AH10</f>
        <v>71.996001031999867</v>
      </c>
      <c r="F9" s="437">
        <f t="shared" si="4"/>
        <v>75.785264244210396</v>
      </c>
      <c r="G9" s="46">
        <f t="shared" si="5"/>
        <v>3396.6221175225351</v>
      </c>
      <c r="H9" s="39">
        <f t="shared" si="6"/>
        <v>0.23999999999796273</v>
      </c>
      <c r="I9" s="1">
        <v>0</v>
      </c>
      <c r="J9" s="34">
        <v>0</v>
      </c>
      <c r="K9" s="9">
        <f t="shared" si="0"/>
        <v>0.23999999999796273</v>
      </c>
      <c r="L9" s="39">
        <v>0</v>
      </c>
      <c r="M9" s="1">
        <v>0</v>
      </c>
      <c r="N9" s="34">
        <v>0</v>
      </c>
      <c r="O9" s="9">
        <v>0</v>
      </c>
      <c r="P9" s="201"/>
      <c r="Q9" s="1">
        <v>0</v>
      </c>
      <c r="R9" s="34">
        <f>'Daily CEM-1'!AH10+'Daily  CEM - 2'!AG10</f>
        <v>267.19999999999993</v>
      </c>
      <c r="S9" s="437">
        <f t="shared" si="7"/>
        <v>296.8888888888888</v>
      </c>
      <c r="T9" s="202"/>
      <c r="U9" s="47">
        <f t="shared" si="10"/>
        <v>0</v>
      </c>
      <c r="V9" s="1">
        <v>0</v>
      </c>
      <c r="W9" s="35">
        <v>0</v>
      </c>
      <c r="X9" s="40">
        <f t="shared" si="1"/>
        <v>0</v>
      </c>
      <c r="Y9" s="47">
        <f t="shared" si="11"/>
        <v>0</v>
      </c>
      <c r="Z9" s="1">
        <v>0</v>
      </c>
      <c r="AA9" s="35">
        <v>0</v>
      </c>
      <c r="AB9" s="40">
        <f t="shared" si="8"/>
        <v>0</v>
      </c>
      <c r="AC9" s="39">
        <v>0</v>
      </c>
      <c r="AD9" s="1">
        <v>0</v>
      </c>
      <c r="AE9" s="33">
        <v>0</v>
      </c>
      <c r="AF9" s="9">
        <f t="shared" si="9"/>
        <v>0</v>
      </c>
      <c r="AG9" s="27"/>
      <c r="AH9" s="14">
        <f>E9+R9+Clinker!EL9+AE9</f>
        <v>1430</v>
      </c>
      <c r="AI9" s="1"/>
      <c r="AJ9" s="52">
        <f t="shared" si="2"/>
        <v>267.19999999999993</v>
      </c>
      <c r="AK9" s="52"/>
    </row>
    <row r="10" spans="2:37">
      <c r="B10" s="4">
        <v>8</v>
      </c>
      <c r="C10" s="39">
        <f t="shared" si="3"/>
        <v>3396.6221175225351</v>
      </c>
      <c r="D10" s="1">
        <v>0</v>
      </c>
      <c r="E10" s="34">
        <f>'Daily CEM-1'!AI11+'Daily  CEM - 2'!AH11</f>
        <v>78.500000004970005</v>
      </c>
      <c r="F10" s="437">
        <f t="shared" si="4"/>
        <v>82.631578952600009</v>
      </c>
      <c r="G10" s="46">
        <f t="shared" si="5"/>
        <v>3313.9905385699349</v>
      </c>
      <c r="H10" s="39">
        <f t="shared" si="6"/>
        <v>0.23999999999796273</v>
      </c>
      <c r="I10" s="1">
        <v>0</v>
      </c>
      <c r="J10" s="34">
        <v>0</v>
      </c>
      <c r="K10" s="9">
        <f t="shared" si="0"/>
        <v>0.23999999999796273</v>
      </c>
      <c r="L10" s="39">
        <v>0</v>
      </c>
      <c r="M10" s="1">
        <v>0</v>
      </c>
      <c r="N10" s="34">
        <v>0</v>
      </c>
      <c r="O10" s="9">
        <f t="shared" ref="O10:O33" si="12">L10+M10-N10</f>
        <v>0</v>
      </c>
      <c r="P10" s="201"/>
      <c r="Q10" s="1">
        <v>0</v>
      </c>
      <c r="R10" s="34">
        <f>'Daily CEM-1'!AH11+'Daily  CEM - 2'!AG11</f>
        <v>277.35849999999988</v>
      </c>
      <c r="S10" s="437">
        <f t="shared" si="7"/>
        <v>308.17611111111097</v>
      </c>
      <c r="T10" s="202"/>
      <c r="U10" s="47">
        <f t="shared" si="10"/>
        <v>0</v>
      </c>
      <c r="V10" s="1">
        <v>0</v>
      </c>
      <c r="W10" s="35">
        <v>0</v>
      </c>
      <c r="X10" s="40">
        <f t="shared" si="1"/>
        <v>0</v>
      </c>
      <c r="Y10" s="47">
        <f t="shared" si="11"/>
        <v>0</v>
      </c>
      <c r="Z10" s="1">
        <v>0</v>
      </c>
      <c r="AA10" s="35">
        <v>0</v>
      </c>
      <c r="AB10" s="40">
        <f t="shared" si="8"/>
        <v>0</v>
      </c>
      <c r="AC10" s="39">
        <v>0</v>
      </c>
      <c r="AD10" s="1">
        <v>0</v>
      </c>
      <c r="AE10" s="33">
        <v>0</v>
      </c>
      <c r="AF10" s="9">
        <f t="shared" si="9"/>
        <v>0</v>
      </c>
      <c r="AG10" s="27"/>
      <c r="AH10" s="14">
        <f>E10+R10+Clinker!EL10+AE10</f>
        <v>1560</v>
      </c>
      <c r="AI10" s="1"/>
      <c r="AJ10" s="52">
        <f t="shared" si="2"/>
        <v>277.35849999999988</v>
      </c>
      <c r="AK10" s="52"/>
    </row>
    <row r="11" spans="2:37">
      <c r="B11" s="4">
        <v>9</v>
      </c>
      <c r="C11" s="39">
        <f t="shared" si="3"/>
        <v>3313.9905385699349</v>
      </c>
      <c r="D11" s="1">
        <v>62.16</v>
      </c>
      <c r="E11" s="34">
        <f>'Daily CEM-1'!AI12+'Daily  CEM - 2'!AH12</f>
        <v>85.68699995499999</v>
      </c>
      <c r="F11" s="437">
        <f t="shared" si="4"/>
        <v>90.196842057894727</v>
      </c>
      <c r="G11" s="46">
        <f t="shared" si="5"/>
        <v>3285.9536965120401</v>
      </c>
      <c r="H11" s="39">
        <f t="shared" si="6"/>
        <v>0.23999999999796273</v>
      </c>
      <c r="I11" s="1">
        <v>0</v>
      </c>
      <c r="J11" s="34">
        <v>0</v>
      </c>
      <c r="K11" s="9">
        <f t="shared" si="0"/>
        <v>0.23999999999796273</v>
      </c>
      <c r="L11" s="39">
        <v>0</v>
      </c>
      <c r="M11" s="1">
        <v>0</v>
      </c>
      <c r="N11" s="34">
        <v>0</v>
      </c>
      <c r="O11" s="9">
        <f t="shared" si="12"/>
        <v>0</v>
      </c>
      <c r="P11" s="201"/>
      <c r="Q11" s="1">
        <v>0</v>
      </c>
      <c r="R11" s="34">
        <f>'Daily CEM-1'!AH12+'Daily  CEM - 2'!AG12</f>
        <v>265.62999999999897</v>
      </c>
      <c r="S11" s="437">
        <f t="shared" si="7"/>
        <v>295.14444444444331</v>
      </c>
      <c r="T11" s="202"/>
      <c r="U11" s="47">
        <f t="shared" si="10"/>
        <v>0</v>
      </c>
      <c r="V11" s="1">
        <v>0</v>
      </c>
      <c r="W11" s="35">
        <v>0</v>
      </c>
      <c r="X11" s="40">
        <f t="shared" si="1"/>
        <v>0</v>
      </c>
      <c r="Y11" s="47">
        <f t="shared" si="11"/>
        <v>0</v>
      </c>
      <c r="Z11" s="1">
        <v>0</v>
      </c>
      <c r="AA11" s="35">
        <v>0</v>
      </c>
      <c r="AB11" s="40">
        <f t="shared" si="8"/>
        <v>0</v>
      </c>
      <c r="AC11" s="39">
        <v>0</v>
      </c>
      <c r="AD11" s="1">
        <v>0</v>
      </c>
      <c r="AE11" s="33">
        <v>0</v>
      </c>
      <c r="AF11" s="9">
        <f t="shared" si="9"/>
        <v>0</v>
      </c>
      <c r="AG11" s="27"/>
      <c r="AH11" s="14">
        <f>E11+R11+Clinker!EL11+AE11</f>
        <v>1717</v>
      </c>
      <c r="AI11" s="1"/>
      <c r="AJ11" s="52">
        <f t="shared" si="2"/>
        <v>265.62999999999897</v>
      </c>
      <c r="AK11" s="52"/>
    </row>
    <row r="12" spans="2:37">
      <c r="B12" s="4">
        <v>10</v>
      </c>
      <c r="C12" s="39">
        <f t="shared" si="3"/>
        <v>3285.9536965120401</v>
      </c>
      <c r="D12" s="1">
        <v>214.88</v>
      </c>
      <c r="E12" s="34">
        <f>'Daily CEM-1'!AI13+'Daily  CEM - 2'!AH13</f>
        <v>133.8499999478</v>
      </c>
      <c r="F12" s="437">
        <f t="shared" si="4"/>
        <v>140.89473678715791</v>
      </c>
      <c r="G12" s="46">
        <f t="shared" si="5"/>
        <v>3359.9389597248824</v>
      </c>
      <c r="H12" s="39">
        <f t="shared" si="6"/>
        <v>0.23999999999796273</v>
      </c>
      <c r="I12" s="1">
        <v>0</v>
      </c>
      <c r="J12" s="34">
        <v>0</v>
      </c>
      <c r="K12" s="9">
        <f t="shared" si="0"/>
        <v>0.23999999999796273</v>
      </c>
      <c r="L12" s="39">
        <v>0</v>
      </c>
      <c r="M12" s="1">
        <v>0</v>
      </c>
      <c r="N12" s="34">
        <v>0</v>
      </c>
      <c r="O12" s="9">
        <f t="shared" si="12"/>
        <v>0</v>
      </c>
      <c r="P12" s="201"/>
      <c r="Q12" s="1">
        <v>0</v>
      </c>
      <c r="R12" s="34">
        <f>'Daily CEM-1'!AH13+'Daily  CEM - 2'!AG13</f>
        <v>447.83000000419901</v>
      </c>
      <c r="S12" s="437">
        <f t="shared" si="7"/>
        <v>497.58888889355444</v>
      </c>
      <c r="T12" s="202"/>
      <c r="U12" s="47">
        <f t="shared" si="10"/>
        <v>0</v>
      </c>
      <c r="V12" s="1">
        <v>0</v>
      </c>
      <c r="W12" s="35">
        <v>0</v>
      </c>
      <c r="X12" s="40">
        <f t="shared" si="1"/>
        <v>0</v>
      </c>
      <c r="Y12" s="47">
        <f t="shared" si="11"/>
        <v>0</v>
      </c>
      <c r="Z12" s="1">
        <v>0</v>
      </c>
      <c r="AA12" s="35">
        <v>0</v>
      </c>
      <c r="AB12" s="40">
        <f t="shared" si="8"/>
        <v>0</v>
      </c>
      <c r="AC12" s="39">
        <v>0</v>
      </c>
      <c r="AD12" s="1">
        <v>0</v>
      </c>
      <c r="AE12" s="33">
        <v>0</v>
      </c>
      <c r="AF12" s="9">
        <f t="shared" si="9"/>
        <v>0</v>
      </c>
      <c r="AG12" s="27"/>
      <c r="AH12" s="14">
        <f>E12+R12+Clinker!EL12+AE12</f>
        <v>2657</v>
      </c>
      <c r="AI12" s="1"/>
      <c r="AJ12" s="52">
        <f t="shared" si="2"/>
        <v>447.83000000419901</v>
      </c>
      <c r="AK12" s="52"/>
    </row>
    <row r="13" spans="2:37">
      <c r="B13" s="4">
        <v>11</v>
      </c>
      <c r="C13" s="39">
        <f t="shared" si="3"/>
        <v>3359.9389597248824</v>
      </c>
      <c r="D13" s="1">
        <v>61.94</v>
      </c>
      <c r="E13" s="34">
        <f>'Daily CEM-1'!AI14+'Daily  CEM - 2'!AH14</f>
        <v>146</v>
      </c>
      <c r="F13" s="437">
        <f t="shared" si="4"/>
        <v>153.68421052631581</v>
      </c>
      <c r="G13" s="46">
        <f t="shared" si="5"/>
        <v>3268.1947491985666</v>
      </c>
      <c r="H13" s="39">
        <f t="shared" si="6"/>
        <v>0.23999999999796273</v>
      </c>
      <c r="I13" s="1">
        <v>0</v>
      </c>
      <c r="J13" s="34">
        <v>0</v>
      </c>
      <c r="K13" s="9">
        <f t="shared" si="0"/>
        <v>0.23999999999796273</v>
      </c>
      <c r="L13" s="39">
        <v>0</v>
      </c>
      <c r="M13" s="1">
        <v>0</v>
      </c>
      <c r="N13" s="34">
        <v>0</v>
      </c>
      <c r="O13" s="9">
        <f t="shared" si="12"/>
        <v>0</v>
      </c>
      <c r="P13" s="201"/>
      <c r="Q13" s="1">
        <v>0</v>
      </c>
      <c r="R13" s="35">
        <f>'Daily CEM-1'!AH14+'Daily  CEM - 2'!AG14</f>
        <v>470.0000000000145</v>
      </c>
      <c r="S13" s="437">
        <f t="shared" si="7"/>
        <v>522.22222222223832</v>
      </c>
      <c r="T13" s="202"/>
      <c r="U13" s="47">
        <f t="shared" si="10"/>
        <v>0</v>
      </c>
      <c r="V13" s="1">
        <v>0</v>
      </c>
      <c r="W13" s="35">
        <v>0</v>
      </c>
      <c r="X13" s="40">
        <f t="shared" si="1"/>
        <v>0</v>
      </c>
      <c r="Y13" s="47">
        <f t="shared" si="11"/>
        <v>0</v>
      </c>
      <c r="Z13" s="1">
        <v>0</v>
      </c>
      <c r="AA13" s="35">
        <v>0</v>
      </c>
      <c r="AB13" s="40">
        <f t="shared" si="8"/>
        <v>0</v>
      </c>
      <c r="AC13" s="39">
        <v>0</v>
      </c>
      <c r="AD13" s="1">
        <v>0</v>
      </c>
      <c r="AE13" s="33">
        <v>0</v>
      </c>
      <c r="AF13" s="9">
        <f t="shared" si="9"/>
        <v>0</v>
      </c>
      <c r="AG13" s="27"/>
      <c r="AH13" s="14">
        <f>E13+R13+Clinker!EL13+AE13</f>
        <v>2920</v>
      </c>
      <c r="AI13" s="1"/>
      <c r="AJ13" s="52">
        <f t="shared" si="2"/>
        <v>470.0000000000145</v>
      </c>
      <c r="AK13" s="52"/>
    </row>
    <row r="14" spans="2:37">
      <c r="B14" s="4">
        <v>12</v>
      </c>
      <c r="C14" s="39">
        <f t="shared" si="3"/>
        <v>3268.1947491985666</v>
      </c>
      <c r="D14" s="1">
        <v>62.52</v>
      </c>
      <c r="E14" s="34">
        <f>'Daily CEM-1'!AI15+'Daily  CEM - 2'!AH15</f>
        <v>132.62999843999998</v>
      </c>
      <c r="F14" s="437">
        <f t="shared" si="4"/>
        <v>139.61052467368418</v>
      </c>
      <c r="G14" s="46">
        <f t="shared" si="5"/>
        <v>3191.1042245248823</v>
      </c>
      <c r="H14" s="39">
        <f t="shared" si="6"/>
        <v>0.23999999999796273</v>
      </c>
      <c r="I14" s="1">
        <v>0</v>
      </c>
      <c r="J14" s="34">
        <v>0</v>
      </c>
      <c r="K14" s="9">
        <f t="shared" si="0"/>
        <v>0.23999999999796273</v>
      </c>
      <c r="L14" s="39">
        <v>0</v>
      </c>
      <c r="M14" s="1">
        <v>0</v>
      </c>
      <c r="N14" s="34">
        <v>0</v>
      </c>
      <c r="O14" s="9">
        <f t="shared" si="12"/>
        <v>0</v>
      </c>
      <c r="P14" s="201"/>
      <c r="Q14" s="1">
        <v>0</v>
      </c>
      <c r="R14" s="35">
        <f>'Daily CEM-1'!AH15+'Daily  CEM - 2'!AG15</f>
        <v>435.86599879800002</v>
      </c>
      <c r="S14" s="437">
        <f t="shared" si="7"/>
        <v>484.29555421999999</v>
      </c>
      <c r="T14" s="202"/>
      <c r="U14" s="47">
        <f t="shared" si="10"/>
        <v>0</v>
      </c>
      <c r="V14" s="1">
        <v>0</v>
      </c>
      <c r="W14" s="35">
        <v>0</v>
      </c>
      <c r="X14" s="40">
        <f t="shared" si="1"/>
        <v>0</v>
      </c>
      <c r="Y14" s="47">
        <f t="shared" si="11"/>
        <v>0</v>
      </c>
      <c r="Z14" s="1">
        <v>0</v>
      </c>
      <c r="AA14" s="35">
        <v>0</v>
      </c>
      <c r="AB14" s="40">
        <f t="shared" si="8"/>
        <v>0</v>
      </c>
      <c r="AC14" s="39">
        <v>0</v>
      </c>
      <c r="AD14" s="1">
        <v>0</v>
      </c>
      <c r="AE14" s="33">
        <v>0</v>
      </c>
      <c r="AF14" s="9">
        <f t="shared" si="9"/>
        <v>0</v>
      </c>
      <c r="AG14" s="27"/>
      <c r="AH14" s="14">
        <f>E14+R14+Clinker!EL14+AE14</f>
        <v>2650</v>
      </c>
      <c r="AI14" s="1"/>
      <c r="AJ14" s="52">
        <f t="shared" si="2"/>
        <v>435.86599879800002</v>
      </c>
      <c r="AK14" s="52"/>
    </row>
    <row r="15" spans="2:37">
      <c r="B15" s="4">
        <v>13</v>
      </c>
      <c r="C15" s="39">
        <f t="shared" si="3"/>
        <v>3191.1042245248823</v>
      </c>
      <c r="D15" s="1">
        <v>0</v>
      </c>
      <c r="E15" s="34">
        <f>'Daily CEM-1'!AI16+'Daily  CEM - 2'!AH16</f>
        <v>138.99699985200002</v>
      </c>
      <c r="F15" s="437">
        <f t="shared" si="4"/>
        <v>146.31263142315791</v>
      </c>
      <c r="G15" s="46">
        <f t="shared" si="5"/>
        <v>3044.7915931017242</v>
      </c>
      <c r="H15" s="39">
        <f t="shared" si="6"/>
        <v>0.23999999999796273</v>
      </c>
      <c r="I15" s="1">
        <v>0</v>
      </c>
      <c r="J15" s="34">
        <v>0</v>
      </c>
      <c r="K15" s="9">
        <f t="shared" si="0"/>
        <v>0.23999999999796273</v>
      </c>
      <c r="L15" s="39">
        <v>0</v>
      </c>
      <c r="M15" s="1">
        <v>0</v>
      </c>
      <c r="N15" s="34">
        <v>0</v>
      </c>
      <c r="O15" s="9">
        <f t="shared" si="12"/>
        <v>0</v>
      </c>
      <c r="P15" s="201"/>
      <c r="Q15" s="1">
        <v>0</v>
      </c>
      <c r="R15" s="35">
        <f>'Daily CEM-1'!AH16+'Daily  CEM - 2'!AG16</f>
        <v>481.39999859520003</v>
      </c>
      <c r="S15" s="437">
        <f t="shared" si="7"/>
        <v>534.88888732800001</v>
      </c>
      <c r="T15" s="202"/>
      <c r="U15" s="47">
        <f t="shared" si="10"/>
        <v>0</v>
      </c>
      <c r="V15" s="1">
        <v>0</v>
      </c>
      <c r="W15" s="35">
        <v>0</v>
      </c>
      <c r="X15" s="40">
        <f t="shared" si="1"/>
        <v>0</v>
      </c>
      <c r="Y15" s="47">
        <f t="shared" si="11"/>
        <v>0</v>
      </c>
      <c r="Z15" s="1">
        <v>0</v>
      </c>
      <c r="AA15" s="35">
        <v>0</v>
      </c>
      <c r="AB15" s="40">
        <f t="shared" si="8"/>
        <v>0</v>
      </c>
      <c r="AC15" s="39">
        <v>0</v>
      </c>
      <c r="AD15" s="1">
        <v>0</v>
      </c>
      <c r="AE15" s="33">
        <v>0</v>
      </c>
      <c r="AF15" s="9">
        <f t="shared" si="9"/>
        <v>0</v>
      </c>
      <c r="AG15" s="27"/>
      <c r="AH15" s="14">
        <f>E15+R15+Clinker!EL15+AE15</f>
        <v>2792.0000000000005</v>
      </c>
      <c r="AI15" s="1"/>
      <c r="AJ15" s="52">
        <f t="shared" si="2"/>
        <v>481.39999859520003</v>
      </c>
      <c r="AK15" s="52"/>
    </row>
    <row r="16" spans="2:37">
      <c r="B16" s="4">
        <v>14</v>
      </c>
      <c r="C16" s="39">
        <f t="shared" si="3"/>
        <v>3044.7915931017242</v>
      </c>
      <c r="D16" s="1">
        <v>0</v>
      </c>
      <c r="E16" s="34">
        <f>'Daily CEM-1'!AI17+'Daily  CEM - 2'!AH17</f>
        <v>132.8000000097</v>
      </c>
      <c r="F16" s="437">
        <f t="shared" si="4"/>
        <v>139.78947369442105</v>
      </c>
      <c r="G16" s="46">
        <f t="shared" si="5"/>
        <v>2905.0021194073033</v>
      </c>
      <c r="H16" s="39">
        <f t="shared" si="6"/>
        <v>0.23999999999796273</v>
      </c>
      <c r="I16" s="1">
        <v>0</v>
      </c>
      <c r="J16" s="34">
        <v>0</v>
      </c>
      <c r="K16" s="9">
        <f t="shared" si="0"/>
        <v>0.23999999999796273</v>
      </c>
      <c r="L16" s="39">
        <v>0</v>
      </c>
      <c r="M16" s="1">
        <v>0</v>
      </c>
      <c r="N16" s="34">
        <v>0</v>
      </c>
      <c r="O16" s="9">
        <f t="shared" si="12"/>
        <v>0</v>
      </c>
      <c r="P16" s="201"/>
      <c r="Q16" s="1">
        <v>0</v>
      </c>
      <c r="R16" s="35">
        <f>'Daily CEM-1'!AH17+'Daily  CEM - 2'!AG17</f>
        <v>438.61999999922944</v>
      </c>
      <c r="S16" s="437">
        <f t="shared" si="7"/>
        <v>487.35555555469938</v>
      </c>
      <c r="T16" s="202"/>
      <c r="U16" s="47">
        <f t="shared" si="10"/>
        <v>0</v>
      </c>
      <c r="V16" s="1">
        <v>0</v>
      </c>
      <c r="W16" s="35">
        <v>0</v>
      </c>
      <c r="X16" s="40">
        <f t="shared" si="1"/>
        <v>0</v>
      </c>
      <c r="Y16" s="47">
        <f t="shared" si="11"/>
        <v>0</v>
      </c>
      <c r="Z16" s="1">
        <v>0</v>
      </c>
      <c r="AA16" s="35">
        <v>0</v>
      </c>
      <c r="AB16" s="40">
        <f t="shared" si="8"/>
        <v>0</v>
      </c>
      <c r="AC16" s="39">
        <v>0</v>
      </c>
      <c r="AD16" s="1">
        <v>0</v>
      </c>
      <c r="AE16" s="33">
        <v>0</v>
      </c>
      <c r="AF16" s="9">
        <f t="shared" si="9"/>
        <v>0</v>
      </c>
      <c r="AG16" s="27"/>
      <c r="AH16" s="14">
        <f>E16+R16+Clinker!EL16+AE16</f>
        <v>2655</v>
      </c>
      <c r="AI16" s="1"/>
      <c r="AJ16" s="52">
        <f t="shared" si="2"/>
        <v>438.61999999922944</v>
      </c>
      <c r="AK16" s="52"/>
    </row>
    <row r="17" spans="2:37">
      <c r="B17" s="4">
        <v>15</v>
      </c>
      <c r="C17" s="39">
        <f t="shared" si="3"/>
        <v>2905.0021194073033</v>
      </c>
      <c r="D17" s="1">
        <v>87.28</v>
      </c>
      <c r="E17" s="34">
        <f>'Daily CEM-1'!AI18+'Daily  CEM - 2'!AH18</f>
        <v>123.04198999963199</v>
      </c>
      <c r="F17" s="437">
        <f t="shared" si="4"/>
        <v>129.51788421013896</v>
      </c>
      <c r="G17" s="46">
        <f t="shared" si="5"/>
        <v>2862.7642351971645</v>
      </c>
      <c r="H17" s="39">
        <f t="shared" si="6"/>
        <v>0.23999999999796273</v>
      </c>
      <c r="I17" s="1">
        <v>0</v>
      </c>
      <c r="J17" s="34">
        <v>0</v>
      </c>
      <c r="K17" s="9">
        <f t="shared" si="0"/>
        <v>0.23999999999796273</v>
      </c>
      <c r="L17" s="39">
        <v>0</v>
      </c>
      <c r="M17" s="1">
        <v>0</v>
      </c>
      <c r="N17" s="34">
        <v>0</v>
      </c>
      <c r="O17" s="9">
        <f t="shared" si="12"/>
        <v>0</v>
      </c>
      <c r="P17" s="201"/>
      <c r="Q17" s="1">
        <v>0</v>
      </c>
      <c r="R17" s="35">
        <f>'Daily CEM-1'!AH18+'Daily  CEM - 2'!AG18</f>
        <v>391.28999999999849</v>
      </c>
      <c r="S17" s="437">
        <f t="shared" si="7"/>
        <v>434.76666666666495</v>
      </c>
      <c r="T17" s="202"/>
      <c r="U17" s="47">
        <f t="shared" si="10"/>
        <v>0</v>
      </c>
      <c r="V17" s="1">
        <v>0</v>
      </c>
      <c r="W17" s="35">
        <v>0</v>
      </c>
      <c r="X17" s="40">
        <f t="shared" si="1"/>
        <v>0</v>
      </c>
      <c r="Y17" s="47">
        <f t="shared" si="11"/>
        <v>0</v>
      </c>
      <c r="Z17" s="1">
        <v>0</v>
      </c>
      <c r="AA17" s="35">
        <v>0</v>
      </c>
      <c r="AB17" s="40">
        <f t="shared" si="8"/>
        <v>0</v>
      </c>
      <c r="AC17" s="39">
        <v>0</v>
      </c>
      <c r="AD17" s="1">
        <v>0</v>
      </c>
      <c r="AE17" s="33">
        <v>0</v>
      </c>
      <c r="AF17" s="9">
        <f t="shared" si="9"/>
        <v>0</v>
      </c>
      <c r="AG17" s="27"/>
      <c r="AH17" s="14">
        <f>E17+R17+Clinker!EL17+AE17</f>
        <v>2099.4650000000001</v>
      </c>
      <c r="AI17" s="1"/>
      <c r="AJ17" s="52">
        <f t="shared" si="2"/>
        <v>391.28999999999849</v>
      </c>
      <c r="AK17" s="52"/>
    </row>
    <row r="18" spans="2:37">
      <c r="B18" s="4">
        <v>16</v>
      </c>
      <c r="C18" s="39">
        <f t="shared" si="3"/>
        <v>2862.7642351971645</v>
      </c>
      <c r="D18" s="1">
        <v>0</v>
      </c>
      <c r="E18" s="34">
        <f>'Daily CEM-1'!AI19+'Daily  CEM - 2'!AH19</f>
        <v>144.411000043</v>
      </c>
      <c r="F18" s="454">
        <f>E18/0.94615</f>
        <v>152.63013268826296</v>
      </c>
      <c r="G18" s="46">
        <f t="shared" si="5"/>
        <v>2710.1341025089014</v>
      </c>
      <c r="H18" s="39">
        <f t="shared" si="6"/>
        <v>0.23999999999796273</v>
      </c>
      <c r="I18" s="1">
        <v>0</v>
      </c>
      <c r="J18" s="34">
        <v>0</v>
      </c>
      <c r="K18" s="9">
        <f t="shared" si="0"/>
        <v>0.23999999999796273</v>
      </c>
      <c r="L18" s="39">
        <v>0</v>
      </c>
      <c r="M18" s="1">
        <v>0</v>
      </c>
      <c r="N18" s="34">
        <v>0</v>
      </c>
      <c r="O18" s="9">
        <f t="shared" si="12"/>
        <v>0</v>
      </c>
      <c r="P18" s="201"/>
      <c r="Q18" s="1">
        <v>0</v>
      </c>
      <c r="R18" s="35">
        <f>'Daily CEM-1'!AH19+'Daily  CEM - 2'!AG19</f>
        <v>457.05999999999938</v>
      </c>
      <c r="S18" s="437">
        <f t="shared" si="7"/>
        <v>507.84444444444375</v>
      </c>
      <c r="T18" s="202"/>
      <c r="U18" s="47">
        <f t="shared" si="10"/>
        <v>0</v>
      </c>
      <c r="V18" s="1">
        <v>0</v>
      </c>
      <c r="W18" s="35">
        <v>0</v>
      </c>
      <c r="X18" s="40">
        <f t="shared" si="1"/>
        <v>0</v>
      </c>
      <c r="Y18" s="47">
        <f t="shared" si="11"/>
        <v>0</v>
      </c>
      <c r="Z18" s="1">
        <v>0</v>
      </c>
      <c r="AA18" s="35">
        <v>0</v>
      </c>
      <c r="AB18" s="40">
        <f t="shared" si="8"/>
        <v>0</v>
      </c>
      <c r="AC18" s="39">
        <v>0</v>
      </c>
      <c r="AD18" s="1">
        <v>0</v>
      </c>
      <c r="AE18" s="33">
        <v>0</v>
      </c>
      <c r="AF18" s="9">
        <f t="shared" si="9"/>
        <v>0</v>
      </c>
      <c r="AG18" s="27"/>
      <c r="AH18" s="14">
        <f>E18+R18+Clinker!EL18+AE18</f>
        <v>1640.9059999999997</v>
      </c>
      <c r="AI18" s="1"/>
      <c r="AJ18" s="52">
        <f t="shared" si="2"/>
        <v>457.05999999999938</v>
      </c>
      <c r="AK18" s="52"/>
    </row>
    <row r="19" spans="2:37">
      <c r="B19" s="4">
        <v>17</v>
      </c>
      <c r="C19" s="39">
        <f t="shared" si="3"/>
        <v>2710.1341025089014</v>
      </c>
      <c r="D19" s="1">
        <v>121.7</v>
      </c>
      <c r="E19" s="34">
        <f>'Daily CEM-1'!AI20+'Daily  CEM - 2'!AH20</f>
        <v>140.75</v>
      </c>
      <c r="F19" s="437">
        <f t="shared" si="4"/>
        <v>148.15789473684211</v>
      </c>
      <c r="G19" s="46">
        <f t="shared" si="5"/>
        <v>2683.6762077720591</v>
      </c>
      <c r="H19" s="39">
        <f t="shared" si="6"/>
        <v>0.23999999999796273</v>
      </c>
      <c r="I19" s="1">
        <v>0</v>
      </c>
      <c r="J19" s="34">
        <v>0</v>
      </c>
      <c r="K19" s="9">
        <f t="shared" si="0"/>
        <v>0.23999999999796273</v>
      </c>
      <c r="L19" s="39">
        <v>0</v>
      </c>
      <c r="M19" s="1">
        <v>0</v>
      </c>
      <c r="N19" s="34">
        <v>0</v>
      </c>
      <c r="O19" s="9">
        <f t="shared" si="12"/>
        <v>0</v>
      </c>
      <c r="P19" s="201"/>
      <c r="Q19" s="1">
        <v>0</v>
      </c>
      <c r="R19" s="35">
        <f>'Daily CEM-1'!AH20+'Daily  CEM - 2'!AG20</f>
        <v>504.55999999984499</v>
      </c>
      <c r="S19" s="437">
        <f t="shared" si="7"/>
        <v>560.62222222205003</v>
      </c>
      <c r="T19" s="202"/>
      <c r="U19" s="47">
        <f t="shared" si="10"/>
        <v>0</v>
      </c>
      <c r="V19" s="1">
        <v>0</v>
      </c>
      <c r="W19" s="35">
        <v>0</v>
      </c>
      <c r="X19" s="40">
        <f t="shared" si="1"/>
        <v>0</v>
      </c>
      <c r="Y19" s="47">
        <f t="shared" si="11"/>
        <v>0</v>
      </c>
      <c r="Z19" s="1">
        <v>0</v>
      </c>
      <c r="AA19" s="35">
        <v>0</v>
      </c>
      <c r="AB19" s="40">
        <f t="shared" si="8"/>
        <v>0</v>
      </c>
      <c r="AC19" s="39">
        <v>0</v>
      </c>
      <c r="AD19" s="1">
        <v>0</v>
      </c>
      <c r="AE19" s="33">
        <v>0</v>
      </c>
      <c r="AF19" s="9">
        <f t="shared" si="9"/>
        <v>0</v>
      </c>
      <c r="AG19" s="27"/>
      <c r="AH19" s="14">
        <f>E19+R19+Clinker!EL19+AE19</f>
        <v>1622.038</v>
      </c>
      <c r="AI19" s="1"/>
      <c r="AJ19" s="52">
        <f t="shared" si="2"/>
        <v>504.55999999984499</v>
      </c>
      <c r="AK19" s="52"/>
    </row>
    <row r="20" spans="2:37">
      <c r="B20" s="4">
        <v>18</v>
      </c>
      <c r="C20" s="39">
        <f t="shared" si="3"/>
        <v>2683.6762077720591</v>
      </c>
      <c r="D20" s="1">
        <v>208.08</v>
      </c>
      <c r="E20" s="34">
        <f>'Daily CEM-1'!AI21+'Daily  CEM - 2'!AH21</f>
        <v>140.47</v>
      </c>
      <c r="F20" s="437">
        <f t="shared" si="4"/>
        <v>147.86315789473684</v>
      </c>
      <c r="G20" s="46">
        <f t="shared" si="5"/>
        <v>2743.893049877322</v>
      </c>
      <c r="H20" s="39">
        <f t="shared" si="6"/>
        <v>0.23999999999796273</v>
      </c>
      <c r="I20" s="1">
        <v>0</v>
      </c>
      <c r="J20" s="34">
        <v>0</v>
      </c>
      <c r="K20" s="9">
        <f t="shared" si="0"/>
        <v>0.23999999999796273</v>
      </c>
      <c r="L20" s="39">
        <v>0</v>
      </c>
      <c r="M20" s="1">
        <v>0</v>
      </c>
      <c r="N20" s="34">
        <v>0</v>
      </c>
      <c r="O20" s="9">
        <f t="shared" si="12"/>
        <v>0</v>
      </c>
      <c r="P20" s="201"/>
      <c r="Q20" s="1">
        <v>0</v>
      </c>
      <c r="R20" s="35">
        <f>'Daily CEM-1'!AH21+'Daily  CEM - 2'!AG21</f>
        <v>436.97999999999854</v>
      </c>
      <c r="S20" s="437">
        <f t="shared" si="7"/>
        <v>485.53333333333171</v>
      </c>
      <c r="T20" s="202"/>
      <c r="U20" s="47">
        <f t="shared" si="10"/>
        <v>0</v>
      </c>
      <c r="V20" s="1">
        <v>0</v>
      </c>
      <c r="W20" s="35">
        <v>0</v>
      </c>
      <c r="X20" s="40">
        <f t="shared" si="1"/>
        <v>0</v>
      </c>
      <c r="Y20" s="47">
        <f t="shared" si="11"/>
        <v>0</v>
      </c>
      <c r="Z20" s="1">
        <v>0</v>
      </c>
      <c r="AA20" s="35">
        <v>0</v>
      </c>
      <c r="AB20" s="40">
        <f t="shared" si="8"/>
        <v>0</v>
      </c>
      <c r="AC20" s="39">
        <v>0</v>
      </c>
      <c r="AD20" s="1">
        <v>0</v>
      </c>
      <c r="AE20" s="33">
        <v>0</v>
      </c>
      <c r="AF20" s="9">
        <f t="shared" si="9"/>
        <v>0</v>
      </c>
      <c r="AG20" s="27"/>
      <c r="AH20" s="14">
        <f>E20+R20+Clinker!EL20+AE20</f>
        <v>1749.808</v>
      </c>
      <c r="AI20" s="1"/>
      <c r="AJ20" s="52">
        <f t="shared" si="2"/>
        <v>436.97999999999854</v>
      </c>
      <c r="AK20" s="52"/>
    </row>
    <row r="21" spans="2:37">
      <c r="B21" s="4">
        <v>19</v>
      </c>
      <c r="C21" s="39">
        <f t="shared" si="3"/>
        <v>2743.893049877322</v>
      </c>
      <c r="D21" s="1">
        <v>307.26</v>
      </c>
      <c r="E21" s="34">
        <f>'Daily CEM-1'!AI22+'Daily  CEM - 2'!AH22</f>
        <v>149.69099908699999</v>
      </c>
      <c r="F21" s="437">
        <f t="shared" si="4"/>
        <v>157.5694727231579</v>
      </c>
      <c r="G21" s="46">
        <f>C21+D21-F21</f>
        <v>2893.5835771541638</v>
      </c>
      <c r="H21" s="39">
        <f t="shared" si="6"/>
        <v>0.23999999999796273</v>
      </c>
      <c r="I21" s="1">
        <v>0</v>
      </c>
      <c r="J21" s="34">
        <v>0</v>
      </c>
      <c r="K21" s="9">
        <f t="shared" si="0"/>
        <v>0.23999999999796273</v>
      </c>
      <c r="L21" s="39">
        <v>0</v>
      </c>
      <c r="M21" s="1">
        <v>0</v>
      </c>
      <c r="N21" s="34">
        <v>0</v>
      </c>
      <c r="O21" s="9">
        <f t="shared" si="12"/>
        <v>0</v>
      </c>
      <c r="P21" s="201"/>
      <c r="Q21" s="1">
        <v>0</v>
      </c>
      <c r="R21" s="35">
        <f>'Daily CEM-1'!AH22+'Daily  CEM - 2'!AG22</f>
        <v>447.50099873160002</v>
      </c>
      <c r="S21" s="437">
        <f t="shared" si="7"/>
        <v>497.22333192400004</v>
      </c>
      <c r="T21" s="202"/>
      <c r="U21" s="47">
        <f t="shared" si="10"/>
        <v>0</v>
      </c>
      <c r="V21" s="1">
        <v>0</v>
      </c>
      <c r="W21" s="35">
        <v>0</v>
      </c>
      <c r="X21" s="40">
        <f t="shared" si="1"/>
        <v>0</v>
      </c>
      <c r="Y21" s="47">
        <f t="shared" si="11"/>
        <v>0</v>
      </c>
      <c r="Z21" s="1">
        <v>0</v>
      </c>
      <c r="AA21" s="35">
        <v>0</v>
      </c>
      <c r="AB21" s="184">
        <f t="shared" si="8"/>
        <v>0</v>
      </c>
      <c r="AC21" s="39">
        <v>0</v>
      </c>
      <c r="AD21" s="1">
        <v>0</v>
      </c>
      <c r="AE21" s="33">
        <v>0</v>
      </c>
      <c r="AF21" s="9">
        <f t="shared" si="9"/>
        <v>0</v>
      </c>
      <c r="AG21" s="27"/>
      <c r="AH21" s="14">
        <f>E21+R21+Clinker!EL21+AE21</f>
        <v>1929.1950000000002</v>
      </c>
      <c r="AI21" s="1"/>
      <c r="AJ21" s="52">
        <f t="shared" si="2"/>
        <v>447.50099873160002</v>
      </c>
      <c r="AK21" s="52"/>
    </row>
    <row r="22" spans="2:37">
      <c r="B22" s="4">
        <v>20</v>
      </c>
      <c r="C22" s="39">
        <f t="shared" si="3"/>
        <v>2893.5835771541638</v>
      </c>
      <c r="D22" s="1">
        <v>0</v>
      </c>
      <c r="E22" s="34">
        <f>'Daily CEM-1'!AI23+'Daily  CEM - 2'!AH23</f>
        <v>150.16799860000003</v>
      </c>
      <c r="F22" s="437">
        <f t="shared" si="4"/>
        <v>158.07157747368424</v>
      </c>
      <c r="G22" s="46">
        <f t="shared" si="5"/>
        <v>2735.5119996804797</v>
      </c>
      <c r="H22" s="39">
        <f t="shared" si="6"/>
        <v>0.23999999999796273</v>
      </c>
      <c r="I22" s="1">
        <v>0</v>
      </c>
      <c r="J22" s="34">
        <v>0</v>
      </c>
      <c r="K22" s="9">
        <f t="shared" si="0"/>
        <v>0.23999999999796273</v>
      </c>
      <c r="L22" s="39">
        <v>0</v>
      </c>
      <c r="M22" s="1">
        <v>0</v>
      </c>
      <c r="N22" s="34">
        <v>0</v>
      </c>
      <c r="O22" s="9">
        <f t="shared" si="12"/>
        <v>0</v>
      </c>
      <c r="P22" s="201"/>
      <c r="Q22" s="1">
        <v>0</v>
      </c>
      <c r="R22" s="35">
        <f>'Daily CEM-1'!AH23+'Daily  CEM - 2'!AG23</f>
        <v>409.26499830539996</v>
      </c>
      <c r="S22" s="437">
        <f t="shared" si="7"/>
        <v>454.73888700599991</v>
      </c>
      <c r="T22" s="202"/>
      <c r="U22" s="47">
        <f t="shared" si="10"/>
        <v>0</v>
      </c>
      <c r="V22" s="1">
        <v>0</v>
      </c>
      <c r="W22" s="35">
        <v>0</v>
      </c>
      <c r="X22" s="40">
        <f t="shared" si="1"/>
        <v>0</v>
      </c>
      <c r="Y22" s="47">
        <f t="shared" si="11"/>
        <v>0</v>
      </c>
      <c r="Z22" s="1">
        <v>0</v>
      </c>
      <c r="AA22" s="35">
        <v>0</v>
      </c>
      <c r="AB22" s="40">
        <f>Y22+Z22-AA22</f>
        <v>0</v>
      </c>
      <c r="AC22" s="39">
        <v>0</v>
      </c>
      <c r="AD22" s="1">
        <v>0</v>
      </c>
      <c r="AE22" s="33">
        <v>0</v>
      </c>
      <c r="AF22" s="9">
        <f t="shared" si="9"/>
        <v>0</v>
      </c>
      <c r="AG22" s="27"/>
      <c r="AH22" s="14">
        <f>E22+R22+Clinker!EL22+AE22</f>
        <v>3006</v>
      </c>
      <c r="AI22" s="1"/>
      <c r="AJ22" s="52">
        <f t="shared" si="2"/>
        <v>409.26499830539996</v>
      </c>
      <c r="AK22" s="52"/>
    </row>
    <row r="23" spans="2:37">
      <c r="B23" s="4">
        <v>21</v>
      </c>
      <c r="C23" s="39">
        <f t="shared" si="3"/>
        <v>2735.5119996804797</v>
      </c>
      <c r="D23" s="1">
        <v>0</v>
      </c>
      <c r="E23" s="34">
        <f>'Daily CEM-1'!AI24+'Daily  CEM - 2'!AH24</f>
        <v>150.5</v>
      </c>
      <c r="F23" s="437">
        <f t="shared" si="4"/>
        <v>158.42105263157896</v>
      </c>
      <c r="G23" s="46">
        <f t="shared" si="5"/>
        <v>2577.0909470489005</v>
      </c>
      <c r="H23" s="39">
        <f t="shared" si="6"/>
        <v>0.23999999999796273</v>
      </c>
      <c r="I23" s="1">
        <v>0</v>
      </c>
      <c r="J23" s="34">
        <v>0</v>
      </c>
      <c r="K23" s="9">
        <f t="shared" si="0"/>
        <v>0.23999999999796273</v>
      </c>
      <c r="L23" s="39">
        <v>0</v>
      </c>
      <c r="M23" s="1">
        <v>0</v>
      </c>
      <c r="N23" s="34">
        <v>0</v>
      </c>
      <c r="O23" s="9">
        <f t="shared" si="12"/>
        <v>0</v>
      </c>
      <c r="P23" s="201"/>
      <c r="Q23" s="1">
        <v>0</v>
      </c>
      <c r="R23" s="35">
        <f>'Daily CEM-1'!AH24+'Daily  CEM - 2'!AG24</f>
        <v>375.45999999999913</v>
      </c>
      <c r="S23" s="437">
        <f t="shared" si="7"/>
        <v>417.17777777777678</v>
      </c>
      <c r="T23" s="202"/>
      <c r="U23" s="47">
        <f t="shared" si="10"/>
        <v>0</v>
      </c>
      <c r="V23" s="1">
        <v>0</v>
      </c>
      <c r="W23" s="35">
        <v>0</v>
      </c>
      <c r="X23" s="40">
        <f t="shared" si="1"/>
        <v>0</v>
      </c>
      <c r="Y23" s="47">
        <f t="shared" si="11"/>
        <v>0</v>
      </c>
      <c r="Z23" s="1">
        <v>0</v>
      </c>
      <c r="AA23" s="35">
        <v>0</v>
      </c>
      <c r="AB23" s="40">
        <f t="shared" si="8"/>
        <v>0</v>
      </c>
      <c r="AC23" s="39">
        <v>0</v>
      </c>
      <c r="AD23" s="1">
        <v>0</v>
      </c>
      <c r="AE23" s="33">
        <v>0</v>
      </c>
      <c r="AF23" s="9">
        <f t="shared" si="9"/>
        <v>0</v>
      </c>
      <c r="AG23" s="27"/>
      <c r="AH23" s="14">
        <f>E23+R23+Clinker!EL23+AE23</f>
        <v>2718.2370000000001</v>
      </c>
      <c r="AI23" s="1"/>
      <c r="AJ23" s="52">
        <f t="shared" si="2"/>
        <v>375.45999999999913</v>
      </c>
      <c r="AK23" s="52"/>
    </row>
    <row r="24" spans="2:37">
      <c r="B24" s="4">
        <v>22</v>
      </c>
      <c r="C24" s="39">
        <f t="shared" si="3"/>
        <v>2577.0909470489005</v>
      </c>
      <c r="D24" s="1">
        <v>453.74</v>
      </c>
      <c r="E24" s="34">
        <f>'Daily CEM-1'!AI25+'Daily  CEM - 2'!AH25</f>
        <v>149.7240000068</v>
      </c>
      <c r="F24" s="437">
        <f t="shared" si="4"/>
        <v>157.60421053347369</v>
      </c>
      <c r="G24" s="46">
        <f t="shared" si="5"/>
        <v>2873.2267365154266</v>
      </c>
      <c r="H24" s="39">
        <f t="shared" si="6"/>
        <v>0.23999999999796273</v>
      </c>
      <c r="I24" s="1">
        <v>0</v>
      </c>
      <c r="J24" s="34">
        <v>0</v>
      </c>
      <c r="K24" s="9">
        <f t="shared" si="0"/>
        <v>0.23999999999796273</v>
      </c>
      <c r="L24" s="39">
        <v>0</v>
      </c>
      <c r="M24" s="1">
        <v>0</v>
      </c>
      <c r="N24" s="34">
        <v>0</v>
      </c>
      <c r="O24" s="9">
        <f t="shared" si="12"/>
        <v>0</v>
      </c>
      <c r="P24" s="201"/>
      <c r="Q24" s="1">
        <v>0</v>
      </c>
      <c r="R24" s="35">
        <f>'Daily CEM-1'!AH25+'Daily  CEM - 2'!AG25</f>
        <v>389.07800001729936</v>
      </c>
      <c r="S24" s="437">
        <f t="shared" si="7"/>
        <v>432.30888890811036</v>
      </c>
      <c r="T24" s="202"/>
      <c r="U24" s="47">
        <f t="shared" si="10"/>
        <v>0</v>
      </c>
      <c r="V24" s="1">
        <v>0</v>
      </c>
      <c r="W24" s="35">
        <v>0</v>
      </c>
      <c r="X24" s="40">
        <f t="shared" si="1"/>
        <v>0</v>
      </c>
      <c r="Y24" s="47">
        <f t="shared" si="11"/>
        <v>0</v>
      </c>
      <c r="Z24" s="1">
        <v>0</v>
      </c>
      <c r="AA24" s="35">
        <v>0</v>
      </c>
      <c r="AB24" s="40">
        <f t="shared" si="8"/>
        <v>0</v>
      </c>
      <c r="AC24" s="39">
        <v>0</v>
      </c>
      <c r="AD24" s="1">
        <v>0</v>
      </c>
      <c r="AE24" s="33">
        <v>0</v>
      </c>
      <c r="AF24" s="9">
        <f t="shared" si="9"/>
        <v>0</v>
      </c>
      <c r="AG24" s="27"/>
      <c r="AH24" s="14">
        <f>E24+R24+Clinker!EL24+AE24</f>
        <v>2995</v>
      </c>
      <c r="AI24" s="1"/>
      <c r="AJ24" s="52">
        <f t="shared" si="2"/>
        <v>389.07800001729936</v>
      </c>
      <c r="AK24" s="52"/>
    </row>
    <row r="25" spans="2:37">
      <c r="B25" s="4">
        <v>23</v>
      </c>
      <c r="C25" s="39">
        <f t="shared" si="3"/>
        <v>2873.2267365154266</v>
      </c>
      <c r="D25" s="1">
        <v>269</v>
      </c>
      <c r="E25" s="34">
        <f>'Daily CEM-1'!AI26+'Daily  CEM - 2'!AH26</f>
        <v>140.77000000519999</v>
      </c>
      <c r="F25" s="437">
        <f t="shared" si="4"/>
        <v>148.17894737389474</v>
      </c>
      <c r="G25" s="46">
        <f t="shared" si="5"/>
        <v>2994.0477891415321</v>
      </c>
      <c r="H25" s="39">
        <f t="shared" si="6"/>
        <v>0.23999999999796273</v>
      </c>
      <c r="I25" s="1">
        <v>0</v>
      </c>
      <c r="J25" s="34">
        <v>0</v>
      </c>
      <c r="K25" s="9">
        <f t="shared" si="0"/>
        <v>0.23999999999796273</v>
      </c>
      <c r="L25" s="39">
        <v>0</v>
      </c>
      <c r="M25" s="1">
        <v>0</v>
      </c>
      <c r="N25" s="34">
        <v>0</v>
      </c>
      <c r="O25" s="9">
        <f t="shared" si="12"/>
        <v>0</v>
      </c>
      <c r="P25" s="201"/>
      <c r="Q25" s="1">
        <v>0</v>
      </c>
      <c r="R25" s="35">
        <f>'Daily CEM-1'!AH26+'Daily  CEM - 2'!AG26</f>
        <v>360.55099999912875</v>
      </c>
      <c r="S25" s="437">
        <f t="shared" si="7"/>
        <v>400.61222222125417</v>
      </c>
      <c r="T25" s="202"/>
      <c r="U25" s="47">
        <f t="shared" si="10"/>
        <v>0</v>
      </c>
      <c r="V25" s="1">
        <v>0</v>
      </c>
      <c r="W25" s="35">
        <v>0</v>
      </c>
      <c r="X25" s="40">
        <f t="shared" si="1"/>
        <v>0</v>
      </c>
      <c r="Y25" s="47">
        <f t="shared" si="11"/>
        <v>0</v>
      </c>
      <c r="Z25" s="1">
        <v>0</v>
      </c>
      <c r="AA25" s="35">
        <v>0</v>
      </c>
      <c r="AB25" s="40">
        <f t="shared" si="8"/>
        <v>0</v>
      </c>
      <c r="AC25" s="39">
        <v>0</v>
      </c>
      <c r="AD25" s="1">
        <v>0</v>
      </c>
      <c r="AE25" s="33">
        <v>0</v>
      </c>
      <c r="AF25" s="9">
        <f t="shared" si="9"/>
        <v>0</v>
      </c>
      <c r="AG25" s="27"/>
      <c r="AH25" s="14">
        <f>E25+R25+Clinker!EL25+AE25</f>
        <v>2815.4999999999995</v>
      </c>
      <c r="AI25" s="1"/>
      <c r="AJ25" s="52">
        <f t="shared" si="2"/>
        <v>360.55099999912875</v>
      </c>
      <c r="AK25" s="52"/>
    </row>
    <row r="26" spans="2:37">
      <c r="B26" s="4">
        <v>24</v>
      </c>
      <c r="C26" s="39">
        <f t="shared" si="3"/>
        <v>2994.0477891415321</v>
      </c>
      <c r="D26" s="1">
        <v>270.60000000000002</v>
      </c>
      <c r="E26" s="34">
        <f>'Daily CEM-1'!AI27+'Daily  CEM - 2'!AH27</f>
        <v>142.97699999</v>
      </c>
      <c r="F26" s="437">
        <f t="shared" si="4"/>
        <v>150.50210525263159</v>
      </c>
      <c r="G26" s="46">
        <f t="shared" si="5"/>
        <v>3114.1456838889003</v>
      </c>
      <c r="H26" s="39">
        <f t="shared" si="6"/>
        <v>0.23999999999796273</v>
      </c>
      <c r="I26" s="1">
        <v>0</v>
      </c>
      <c r="J26" s="34">
        <v>0</v>
      </c>
      <c r="K26" s="9">
        <f t="shared" si="0"/>
        <v>0.23999999999796273</v>
      </c>
      <c r="L26" s="39">
        <v>0</v>
      </c>
      <c r="M26" s="1">
        <v>0</v>
      </c>
      <c r="N26" s="34">
        <v>0</v>
      </c>
      <c r="O26" s="9">
        <f t="shared" si="12"/>
        <v>0</v>
      </c>
      <c r="P26" s="201"/>
      <c r="Q26" s="1">
        <v>0</v>
      </c>
      <c r="R26" s="35">
        <f>'Daily CEM-1'!AH27+'Daily  CEM - 2'!AG27</f>
        <v>364.24999999999807</v>
      </c>
      <c r="S26" s="437">
        <f t="shared" si="7"/>
        <v>404.72222222222007</v>
      </c>
      <c r="T26" s="202"/>
      <c r="U26" s="47">
        <f t="shared" si="10"/>
        <v>0</v>
      </c>
      <c r="V26" s="1">
        <v>0</v>
      </c>
      <c r="W26" s="35">
        <v>0</v>
      </c>
      <c r="X26" s="40">
        <f t="shared" si="1"/>
        <v>0</v>
      </c>
      <c r="Y26" s="47">
        <f t="shared" si="11"/>
        <v>0</v>
      </c>
      <c r="Z26" s="1">
        <v>0</v>
      </c>
      <c r="AA26" s="35">
        <v>0</v>
      </c>
      <c r="AB26" s="40">
        <f t="shared" si="8"/>
        <v>0</v>
      </c>
      <c r="AC26" s="39">
        <v>0</v>
      </c>
      <c r="AD26" s="1">
        <v>0</v>
      </c>
      <c r="AE26" s="33">
        <v>0</v>
      </c>
      <c r="AF26" s="9">
        <f t="shared" si="9"/>
        <v>0</v>
      </c>
      <c r="AG26" s="27"/>
      <c r="AH26" s="14">
        <f>E26+R26+Clinker!EL26+AE26</f>
        <v>2860</v>
      </c>
      <c r="AI26" s="1"/>
      <c r="AJ26" s="52">
        <f t="shared" si="2"/>
        <v>364.24999999999807</v>
      </c>
      <c r="AK26" s="52"/>
    </row>
    <row r="27" spans="2:37">
      <c r="B27" s="4">
        <v>25</v>
      </c>
      <c r="C27" s="39">
        <f t="shared" si="3"/>
        <v>3114.1456838889003</v>
      </c>
      <c r="D27" s="1">
        <v>0</v>
      </c>
      <c r="E27" s="34">
        <f>'Daily CEM-1'!AI28+'Daily  CEM - 2'!AH28</f>
        <v>146.95000000000002</v>
      </c>
      <c r="F27" s="437">
        <f t="shared" si="4"/>
        <v>154.68421052631581</v>
      </c>
      <c r="G27" s="46">
        <f t="shared" si="5"/>
        <v>2959.4614733625845</v>
      </c>
      <c r="H27" s="39">
        <f t="shared" si="6"/>
        <v>0.23999999999796273</v>
      </c>
      <c r="I27" s="1">
        <v>0</v>
      </c>
      <c r="J27" s="34">
        <v>0</v>
      </c>
      <c r="K27" s="9">
        <f>H27+I27-J27</f>
        <v>0.23999999999796273</v>
      </c>
      <c r="L27" s="39">
        <v>0</v>
      </c>
      <c r="M27" s="1">
        <v>0</v>
      </c>
      <c r="N27" s="34">
        <v>0</v>
      </c>
      <c r="O27" s="9">
        <f t="shared" si="12"/>
        <v>0</v>
      </c>
      <c r="P27" s="201"/>
      <c r="Q27" s="1">
        <v>0</v>
      </c>
      <c r="R27" s="35">
        <f>'Daily CEM-1'!AH28+'Daily  CEM - 2'!AG28</f>
        <v>393.71799999999928</v>
      </c>
      <c r="S27" s="437">
        <f t="shared" si="7"/>
        <v>437.46444444444364</v>
      </c>
      <c r="T27" s="202"/>
      <c r="U27" s="47">
        <f t="shared" si="10"/>
        <v>0</v>
      </c>
      <c r="V27" s="1">
        <v>0</v>
      </c>
      <c r="W27" s="35">
        <v>0</v>
      </c>
      <c r="X27" s="40">
        <f t="shared" si="1"/>
        <v>0</v>
      </c>
      <c r="Y27" s="47">
        <f t="shared" si="11"/>
        <v>0</v>
      </c>
      <c r="Z27" s="1">
        <v>0</v>
      </c>
      <c r="AA27" s="35">
        <v>0</v>
      </c>
      <c r="AB27" s="40">
        <f t="shared" si="8"/>
        <v>0</v>
      </c>
      <c r="AC27" s="39">
        <v>0</v>
      </c>
      <c r="AD27" s="1">
        <v>0</v>
      </c>
      <c r="AE27" s="33">
        <v>0</v>
      </c>
      <c r="AF27" s="9">
        <f t="shared" si="9"/>
        <v>0</v>
      </c>
      <c r="AG27" s="27"/>
      <c r="AH27" s="14">
        <f>E27+R27+Clinker!EL27+AE27</f>
        <v>2938.9999999999995</v>
      </c>
      <c r="AI27" s="1"/>
      <c r="AJ27" s="52">
        <f t="shared" si="2"/>
        <v>393.71799999999928</v>
      </c>
      <c r="AK27" s="52"/>
    </row>
    <row r="28" spans="2:37">
      <c r="B28" s="4">
        <v>26</v>
      </c>
      <c r="C28" s="39">
        <f t="shared" ref="C28:C33" si="13">G27</f>
        <v>2959.4614733625845</v>
      </c>
      <c r="D28" s="1">
        <v>512.72</v>
      </c>
      <c r="E28" s="34">
        <f>'Daily CEM-1'!AI29+'Daily  CEM - 2'!AH29</f>
        <v>145.49299875599999</v>
      </c>
      <c r="F28" s="437">
        <f t="shared" si="4"/>
        <v>153.15052500631577</v>
      </c>
      <c r="G28" s="46">
        <f t="shared" si="5"/>
        <v>3319.0309483562687</v>
      </c>
      <c r="H28" s="39">
        <f t="shared" ref="H28:H33" si="14">K27</f>
        <v>0.23999999999796273</v>
      </c>
      <c r="I28" s="1">
        <v>0</v>
      </c>
      <c r="J28" s="34">
        <v>0</v>
      </c>
      <c r="K28" s="9">
        <f t="shared" ref="K28:K33" si="15">H28+I28-J28</f>
        <v>0.23999999999796273</v>
      </c>
      <c r="L28" s="39">
        <v>0</v>
      </c>
      <c r="M28" s="1">
        <v>0</v>
      </c>
      <c r="N28" s="34">
        <v>0</v>
      </c>
      <c r="O28" s="9">
        <f t="shared" si="12"/>
        <v>0</v>
      </c>
      <c r="P28" s="201"/>
      <c r="Q28" s="1">
        <v>0</v>
      </c>
      <c r="R28" s="34">
        <f>'Daily CEM-1'!AH29+'Daily  CEM - 2'!AG29</f>
        <v>394.58199916080002</v>
      </c>
      <c r="S28" s="437">
        <f t="shared" si="7"/>
        <v>438.42444351200004</v>
      </c>
      <c r="T28" s="202"/>
      <c r="U28" s="47">
        <f t="shared" si="10"/>
        <v>0</v>
      </c>
      <c r="V28" s="1">
        <v>0</v>
      </c>
      <c r="W28" s="35">
        <v>0</v>
      </c>
      <c r="X28" s="40">
        <f t="shared" si="1"/>
        <v>0</v>
      </c>
      <c r="Y28" s="47">
        <f t="shared" si="11"/>
        <v>0</v>
      </c>
      <c r="Z28" s="1">
        <v>0</v>
      </c>
      <c r="AA28" s="35">
        <v>0</v>
      </c>
      <c r="AB28" s="40">
        <f t="shared" si="8"/>
        <v>0</v>
      </c>
      <c r="AC28" s="39">
        <v>0</v>
      </c>
      <c r="AD28" s="1">
        <v>0</v>
      </c>
      <c r="AE28" s="33">
        <v>0</v>
      </c>
      <c r="AF28" s="9">
        <f t="shared" si="9"/>
        <v>0</v>
      </c>
      <c r="AG28" s="27"/>
      <c r="AH28" s="14">
        <f>E28+R28+Clinker!EL28+AE28</f>
        <v>2912.9999999999995</v>
      </c>
      <c r="AI28" s="1"/>
      <c r="AJ28" s="52">
        <f t="shared" si="2"/>
        <v>394.58199916080002</v>
      </c>
      <c r="AK28" s="52"/>
    </row>
    <row r="29" spans="2:37">
      <c r="B29" s="4">
        <v>27</v>
      </c>
      <c r="C29" s="39">
        <f t="shared" si="13"/>
        <v>3319.0309483562687</v>
      </c>
      <c r="D29" s="1">
        <v>120.58</v>
      </c>
      <c r="E29" s="34">
        <f>'Daily CEM-1'!AI30+'Daily  CEM - 2'!AH30</f>
        <v>119.99699907</v>
      </c>
      <c r="F29" s="437">
        <f t="shared" si="4"/>
        <v>126.31263060000001</v>
      </c>
      <c r="G29" s="46">
        <f t="shared" si="5"/>
        <v>3313.2983177562687</v>
      </c>
      <c r="H29" s="39">
        <f t="shared" si="14"/>
        <v>0.23999999999796273</v>
      </c>
      <c r="I29" s="1">
        <v>0</v>
      </c>
      <c r="J29" s="34">
        <v>0</v>
      </c>
      <c r="K29" s="9">
        <f t="shared" si="15"/>
        <v>0.23999999999796273</v>
      </c>
      <c r="L29" s="39">
        <v>0</v>
      </c>
      <c r="M29" s="1">
        <v>0</v>
      </c>
      <c r="N29" s="34">
        <v>0</v>
      </c>
      <c r="O29" s="9">
        <f t="shared" si="12"/>
        <v>0</v>
      </c>
      <c r="P29" s="201"/>
      <c r="Q29" s="1">
        <v>0</v>
      </c>
      <c r="R29" s="35">
        <f>'Daily CEM-1'!AH30+'Daily  CEM - 2'!AG30</f>
        <v>327.0129989472</v>
      </c>
      <c r="S29" s="437">
        <f t="shared" si="7"/>
        <v>363.347776608</v>
      </c>
      <c r="T29" s="202"/>
      <c r="U29" s="47">
        <f t="shared" si="10"/>
        <v>0</v>
      </c>
      <c r="V29" s="1">
        <v>0</v>
      </c>
      <c r="W29" s="35">
        <v>0</v>
      </c>
      <c r="X29" s="40">
        <f t="shared" si="1"/>
        <v>0</v>
      </c>
      <c r="Y29" s="47">
        <f t="shared" si="11"/>
        <v>0</v>
      </c>
      <c r="Z29" s="1">
        <v>0</v>
      </c>
      <c r="AA29" s="35">
        <v>0</v>
      </c>
      <c r="AB29" s="40">
        <f t="shared" si="8"/>
        <v>0</v>
      </c>
      <c r="AC29" s="39">
        <v>0</v>
      </c>
      <c r="AD29" s="1">
        <v>0</v>
      </c>
      <c r="AE29" s="33">
        <v>0</v>
      </c>
      <c r="AF29" s="9">
        <f t="shared" si="9"/>
        <v>0</v>
      </c>
      <c r="AG29" s="27"/>
      <c r="AH29" s="14">
        <f>E29+R29+Clinker!EL29+AE29</f>
        <v>2403</v>
      </c>
      <c r="AI29" s="1"/>
      <c r="AJ29" s="52">
        <f t="shared" si="2"/>
        <v>327.0129989472</v>
      </c>
    </row>
    <row r="30" spans="2:37">
      <c r="B30" s="4">
        <v>28</v>
      </c>
      <c r="C30" s="39">
        <f t="shared" si="13"/>
        <v>3313.2983177562687</v>
      </c>
      <c r="D30" s="1">
        <v>0</v>
      </c>
      <c r="E30" s="34">
        <f>'Daily CEM-1'!AI31+'Daily  CEM - 2'!AH31</f>
        <v>140.97700057039998</v>
      </c>
      <c r="F30" s="437">
        <f t="shared" si="4"/>
        <v>148.39684270568421</v>
      </c>
      <c r="G30" s="46">
        <f t="shared" si="5"/>
        <v>3164.9014750505844</v>
      </c>
      <c r="H30" s="39">
        <f t="shared" si="14"/>
        <v>0.23999999999796273</v>
      </c>
      <c r="I30" s="1">
        <v>0</v>
      </c>
      <c r="J30" s="34">
        <v>0</v>
      </c>
      <c r="K30" s="9">
        <f t="shared" si="15"/>
        <v>0.23999999999796273</v>
      </c>
      <c r="L30" s="39">
        <v>0</v>
      </c>
      <c r="M30" s="1">
        <v>0</v>
      </c>
      <c r="N30" s="34">
        <v>0</v>
      </c>
      <c r="O30" s="9">
        <f t="shared" si="12"/>
        <v>0</v>
      </c>
      <c r="P30" s="201"/>
      <c r="Q30" s="1">
        <v>0</v>
      </c>
      <c r="R30" s="34">
        <f>'Daily CEM-1'!AH31+'Daily  CEM - 2'!AG31</f>
        <v>375.30600000187906</v>
      </c>
      <c r="S30" s="437">
        <f t="shared" si="7"/>
        <v>417.00666666875452</v>
      </c>
      <c r="T30" s="202"/>
      <c r="U30" s="47">
        <f t="shared" si="10"/>
        <v>0</v>
      </c>
      <c r="V30" s="1">
        <v>0</v>
      </c>
      <c r="W30" s="35">
        <v>0</v>
      </c>
      <c r="X30" s="40">
        <f t="shared" si="1"/>
        <v>0</v>
      </c>
      <c r="Y30" s="47">
        <f t="shared" si="11"/>
        <v>0</v>
      </c>
      <c r="Z30" s="1">
        <v>0</v>
      </c>
      <c r="AA30" s="35">
        <v>0</v>
      </c>
      <c r="AB30" s="40">
        <f t="shared" si="8"/>
        <v>0</v>
      </c>
      <c r="AC30" s="39">
        <v>0</v>
      </c>
      <c r="AD30" s="1">
        <v>0</v>
      </c>
      <c r="AE30" s="33">
        <v>0</v>
      </c>
      <c r="AF30" s="9">
        <f t="shared" si="9"/>
        <v>0</v>
      </c>
      <c r="AG30" s="27"/>
      <c r="AH30" s="14">
        <f>E30+R30+Clinker!EL30+AE30</f>
        <v>2819.9999999999995</v>
      </c>
      <c r="AI30" s="1"/>
      <c r="AJ30" s="52">
        <f t="shared" si="2"/>
        <v>375.30600000187906</v>
      </c>
    </row>
    <row r="31" spans="2:37">
      <c r="B31" s="4">
        <v>29</v>
      </c>
      <c r="C31" s="39">
        <f t="shared" si="13"/>
        <v>3164.9014750505844</v>
      </c>
      <c r="D31" s="1">
        <v>214.1</v>
      </c>
      <c r="E31" s="34">
        <f>'Daily CEM-1'!AI32+'Daily  CEM - 2'!AH32</f>
        <v>125.56800000200002</v>
      </c>
      <c r="F31" s="437">
        <f t="shared" si="4"/>
        <v>132.17684210736846</v>
      </c>
      <c r="G31" s="46">
        <f t="shared" si="5"/>
        <v>3246.8246329432159</v>
      </c>
      <c r="H31" s="39">
        <f t="shared" si="14"/>
        <v>0.23999999999796273</v>
      </c>
      <c r="I31" s="1">
        <v>0</v>
      </c>
      <c r="J31" s="34">
        <v>0</v>
      </c>
      <c r="K31" s="9">
        <f t="shared" si="15"/>
        <v>0.23999999999796273</v>
      </c>
      <c r="L31" s="39">
        <v>0</v>
      </c>
      <c r="M31" s="1">
        <v>0</v>
      </c>
      <c r="N31" s="34">
        <v>0</v>
      </c>
      <c r="O31" s="9">
        <f t="shared" si="12"/>
        <v>0</v>
      </c>
      <c r="P31" s="201"/>
      <c r="Q31" s="1">
        <v>0</v>
      </c>
      <c r="R31" s="35">
        <f>'Daily CEM-1'!AH32+'Daily  CEM - 2'!AG32</f>
        <v>328.01999991839875</v>
      </c>
      <c r="S31" s="437">
        <f t="shared" si="7"/>
        <v>364.4666665759986</v>
      </c>
      <c r="T31" s="202"/>
      <c r="U31" s="47">
        <f t="shared" si="10"/>
        <v>0</v>
      </c>
      <c r="V31" s="1">
        <v>0</v>
      </c>
      <c r="W31" s="35">
        <v>0</v>
      </c>
      <c r="X31" s="40">
        <f t="shared" si="1"/>
        <v>0</v>
      </c>
      <c r="Y31" s="47">
        <f t="shared" si="11"/>
        <v>0</v>
      </c>
      <c r="Z31" s="1">
        <v>0</v>
      </c>
      <c r="AA31" s="35">
        <v>0</v>
      </c>
      <c r="AB31" s="40">
        <f t="shared" si="8"/>
        <v>0</v>
      </c>
      <c r="AC31" s="39">
        <v>0</v>
      </c>
      <c r="AD31" s="1">
        <v>0</v>
      </c>
      <c r="AE31" s="33">
        <v>0</v>
      </c>
      <c r="AF31" s="9">
        <f t="shared" si="9"/>
        <v>0</v>
      </c>
      <c r="AG31" s="27"/>
      <c r="AH31" s="14">
        <f>E31+R31+Clinker!EL31+AE31</f>
        <v>2512</v>
      </c>
      <c r="AI31" s="1"/>
      <c r="AJ31" s="52">
        <f t="shared" si="2"/>
        <v>328.01999991839875</v>
      </c>
    </row>
    <row r="32" spans="2:37">
      <c r="B32" s="4">
        <v>30</v>
      </c>
      <c r="C32" s="39">
        <f t="shared" si="13"/>
        <v>3246.8246329432159</v>
      </c>
      <c r="D32" s="1">
        <v>91.7</v>
      </c>
      <c r="E32" s="34">
        <f>'Daily CEM-1'!AI33+'Daily  CEM - 2'!AH33</f>
        <v>137.9805000328999</v>
      </c>
      <c r="F32" s="437">
        <f t="shared" si="4"/>
        <v>145.24263161357885</v>
      </c>
      <c r="G32" s="46">
        <f t="shared" si="5"/>
        <v>3193.2820013296368</v>
      </c>
      <c r="H32" s="39">
        <f t="shared" si="14"/>
        <v>0.23999999999796273</v>
      </c>
      <c r="I32" s="1">
        <v>0</v>
      </c>
      <c r="J32" s="34">
        <v>0</v>
      </c>
      <c r="K32" s="9">
        <f t="shared" si="15"/>
        <v>0.23999999999796273</v>
      </c>
      <c r="L32" s="39">
        <v>0</v>
      </c>
      <c r="M32" s="1">
        <v>0</v>
      </c>
      <c r="N32" s="34">
        <v>0</v>
      </c>
      <c r="O32" s="9">
        <f t="shared" si="12"/>
        <v>0</v>
      </c>
      <c r="P32" s="201"/>
      <c r="Q32" s="1">
        <v>0</v>
      </c>
      <c r="R32" s="35">
        <f>'Daily CEM-1'!AH33+'Daily  CEM - 2'!AG33</f>
        <v>367.06700021119872</v>
      </c>
      <c r="S32" s="437">
        <f t="shared" si="7"/>
        <v>407.85222245688743</v>
      </c>
      <c r="T32" s="202"/>
      <c r="U32" s="47">
        <f t="shared" si="10"/>
        <v>0</v>
      </c>
      <c r="V32" s="1">
        <v>0</v>
      </c>
      <c r="W32" s="35">
        <v>0</v>
      </c>
      <c r="X32" s="40">
        <f t="shared" si="1"/>
        <v>0</v>
      </c>
      <c r="Y32" s="47">
        <f t="shared" si="11"/>
        <v>0</v>
      </c>
      <c r="Z32" s="1">
        <v>0</v>
      </c>
      <c r="AA32" s="35">
        <v>0</v>
      </c>
      <c r="AB32" s="40">
        <f t="shared" si="8"/>
        <v>0</v>
      </c>
      <c r="AC32" s="39">
        <v>0</v>
      </c>
      <c r="AD32" s="1">
        <v>0</v>
      </c>
      <c r="AE32" s="33">
        <v>0</v>
      </c>
      <c r="AF32" s="9">
        <f t="shared" si="9"/>
        <v>0</v>
      </c>
      <c r="AG32" s="27"/>
      <c r="AH32" s="14">
        <f>E32+R32+Clinker!EL32+AE32</f>
        <v>2759.9999999999995</v>
      </c>
      <c r="AI32" s="1"/>
      <c r="AJ32" s="52">
        <f t="shared" si="2"/>
        <v>367.06700021119872</v>
      </c>
    </row>
    <row r="33" spans="2:37" s="160" customFormat="1">
      <c r="B33" s="162">
        <v>31</v>
      </c>
      <c r="C33" s="156">
        <f t="shared" si="13"/>
        <v>3193.2820013296368</v>
      </c>
      <c r="D33" s="1">
        <v>0</v>
      </c>
      <c r="E33" s="34">
        <f>'Daily CEM-1'!AI34+'Daily  CEM - 2'!AH34</f>
        <v>0</v>
      </c>
      <c r="F33" s="437">
        <f t="shared" si="4"/>
        <v>0</v>
      </c>
      <c r="G33" s="46">
        <f t="shared" si="5"/>
        <v>3193.2820013296368</v>
      </c>
      <c r="H33" s="156">
        <f t="shared" si="14"/>
        <v>0.23999999999796273</v>
      </c>
      <c r="I33" s="157">
        <v>0</v>
      </c>
      <c r="J33" s="34">
        <v>0</v>
      </c>
      <c r="K33" s="158">
        <f t="shared" si="15"/>
        <v>0.23999999999796273</v>
      </c>
      <c r="L33" s="39">
        <v>0</v>
      </c>
      <c r="M33" s="157">
        <v>0</v>
      </c>
      <c r="N33" s="33">
        <f>'Daily CEM-1'!AJ34</f>
        <v>0</v>
      </c>
      <c r="O33" s="9">
        <f t="shared" si="12"/>
        <v>0</v>
      </c>
      <c r="P33" s="201"/>
      <c r="Q33" s="1">
        <v>0</v>
      </c>
      <c r="R33" s="35">
        <f>'Daily CEM-1'!AH34+'Daily  CEM - 2'!AG34</f>
        <v>0</v>
      </c>
      <c r="S33" s="437">
        <f t="shared" si="7"/>
        <v>0</v>
      </c>
      <c r="T33" s="202"/>
      <c r="U33" s="164">
        <f t="shared" si="10"/>
        <v>0</v>
      </c>
      <c r="V33" s="1">
        <v>0</v>
      </c>
      <c r="W33" s="35">
        <v>0</v>
      </c>
      <c r="X33" s="40">
        <f t="shared" si="1"/>
        <v>0</v>
      </c>
      <c r="Y33" s="164">
        <f t="shared" si="11"/>
        <v>0</v>
      </c>
      <c r="Z33" s="1">
        <v>0</v>
      </c>
      <c r="AA33" s="35">
        <v>0</v>
      </c>
      <c r="AB33" s="40">
        <f t="shared" si="8"/>
        <v>0</v>
      </c>
      <c r="AC33" s="39">
        <v>0</v>
      </c>
      <c r="AD33" s="1">
        <v>0</v>
      </c>
      <c r="AE33" s="33">
        <v>0</v>
      </c>
      <c r="AF33" s="9">
        <f t="shared" si="9"/>
        <v>0</v>
      </c>
      <c r="AG33" s="159"/>
      <c r="AH33" s="165" t="e">
        <f>E33+R33+Clinker!#REF!+AE33</f>
        <v>#REF!</v>
      </c>
      <c r="AI33" s="157"/>
      <c r="AJ33" s="52">
        <f t="shared" si="2"/>
        <v>0</v>
      </c>
    </row>
    <row r="34" spans="2:37" ht="15.75" thickBot="1">
      <c r="B34" s="5" t="s">
        <v>27</v>
      </c>
      <c r="C34" s="8">
        <f>SUM(C3:C33)</f>
        <v>100019.3017835441</v>
      </c>
      <c r="D34" s="8">
        <f>SUM(D3:D33)</f>
        <v>3089.4599999999996</v>
      </c>
      <c r="E34" s="8">
        <f t="shared" ref="E34:O34" si="16">SUM(E3:E33)</f>
        <v>3898.6954831844014</v>
      </c>
      <c r="F34" s="8">
        <f t="shared" si="16"/>
        <v>4104.5085359950026</v>
      </c>
      <c r="G34" s="10">
        <v>0</v>
      </c>
      <c r="H34" s="8">
        <f t="shared" si="16"/>
        <v>7.4399999999368447</v>
      </c>
      <c r="I34" s="8">
        <f t="shared" si="16"/>
        <v>0</v>
      </c>
      <c r="J34" s="8">
        <f t="shared" si="16"/>
        <v>0</v>
      </c>
      <c r="K34" s="10">
        <f t="shared" si="16"/>
        <v>7.4399999999368447</v>
      </c>
      <c r="L34" s="8">
        <f t="shared" si="16"/>
        <v>0</v>
      </c>
      <c r="M34" s="8">
        <f t="shared" si="16"/>
        <v>0</v>
      </c>
      <c r="N34" s="8">
        <f t="shared" si="16"/>
        <v>0</v>
      </c>
      <c r="O34" s="10">
        <f t="shared" si="16"/>
        <v>0</v>
      </c>
      <c r="P34" s="6">
        <f>T33</f>
        <v>0</v>
      </c>
      <c r="Q34" s="8">
        <f t="shared" ref="Q34:T34" si="17">SUM(Q3:Q33)</f>
        <v>0</v>
      </c>
      <c r="R34" s="8">
        <f t="shared" si="17"/>
        <v>11918.921492141882</v>
      </c>
      <c r="S34" s="8">
        <f t="shared" si="17"/>
        <v>13243.246102379868</v>
      </c>
      <c r="T34" s="10">
        <f t="shared" si="17"/>
        <v>0</v>
      </c>
      <c r="U34" s="6">
        <f>X33</f>
        <v>0</v>
      </c>
      <c r="V34" s="8">
        <f t="shared" ref="V34:X34" si="18">SUM(V3:V33)</f>
        <v>0</v>
      </c>
      <c r="W34" s="8">
        <f t="shared" si="18"/>
        <v>0</v>
      </c>
      <c r="X34" s="10">
        <f t="shared" si="18"/>
        <v>0</v>
      </c>
      <c r="Y34" s="6">
        <f>AB33</f>
        <v>0</v>
      </c>
      <c r="Z34" s="8">
        <f t="shared" ref="Z34:AB34" si="19">SUM(Z3:Z33)</f>
        <v>0</v>
      </c>
      <c r="AA34" s="8">
        <f t="shared" si="19"/>
        <v>0</v>
      </c>
      <c r="AB34" s="10">
        <f t="shared" si="19"/>
        <v>0</v>
      </c>
      <c r="AC34" s="39">
        <v>0</v>
      </c>
      <c r="AD34" s="1">
        <v>0</v>
      </c>
      <c r="AE34" s="33">
        <v>0</v>
      </c>
      <c r="AF34" s="9">
        <f t="shared" si="9"/>
        <v>0</v>
      </c>
      <c r="AG34" s="28"/>
      <c r="AH34" s="14">
        <f>E34+R34+Clinker!EL34+AE34</f>
        <v>72615.14899999999</v>
      </c>
      <c r="AI34" s="1"/>
    </row>
    <row r="35" spans="2:37">
      <c r="B35" t="s">
        <v>28</v>
      </c>
      <c r="D35" s="17">
        <f>D36+D34</f>
        <v>5216.08</v>
      </c>
      <c r="E35" s="17">
        <f t="shared" ref="E35:AE35" si="20">E36+E34</f>
        <v>9124.931478693461</v>
      </c>
      <c r="F35" s="17">
        <f t="shared" si="20"/>
        <v>9468.1780578201451</v>
      </c>
      <c r="G35" s="17">
        <v>0</v>
      </c>
      <c r="H35" s="17"/>
      <c r="I35" s="17">
        <f t="shared" si="20"/>
        <v>0</v>
      </c>
      <c r="J35" s="17">
        <f t="shared" si="20"/>
        <v>0</v>
      </c>
      <c r="K35" s="17"/>
      <c r="L35" s="17">
        <f t="shared" si="20"/>
        <v>0</v>
      </c>
      <c r="M35" s="17">
        <f t="shared" si="20"/>
        <v>0</v>
      </c>
      <c r="N35" s="17">
        <f t="shared" si="20"/>
        <v>0</v>
      </c>
      <c r="O35" s="17"/>
      <c r="P35" s="17"/>
      <c r="Q35" s="17">
        <f t="shared" si="20"/>
        <v>0</v>
      </c>
      <c r="R35" s="17">
        <f t="shared" si="20"/>
        <v>31311.854482767776</v>
      </c>
      <c r="S35" s="17">
        <f t="shared" si="20"/>
        <v>33716.597537232548</v>
      </c>
      <c r="T35" s="17"/>
      <c r="U35" s="17"/>
      <c r="V35" s="17">
        <f t="shared" ref="V35:W35" si="21">V36+V34</f>
        <v>0</v>
      </c>
      <c r="W35" s="17">
        <f t="shared" si="21"/>
        <v>0</v>
      </c>
      <c r="X35" s="17"/>
      <c r="Y35" s="17"/>
      <c r="Z35" s="17">
        <f t="shared" ref="Z35:AA35" si="22">Z36+Z34</f>
        <v>0</v>
      </c>
      <c r="AA35" s="17">
        <f t="shared" si="22"/>
        <v>0</v>
      </c>
      <c r="AB35" s="17"/>
      <c r="AC35" s="17">
        <v>0</v>
      </c>
      <c r="AD35" s="17" t="e">
        <f t="shared" si="20"/>
        <v>#REF!</v>
      </c>
      <c r="AE35" s="17" t="e">
        <f t="shared" si="20"/>
        <v>#REF!</v>
      </c>
      <c r="AH35" s="14">
        <v>164201.03720367979</v>
      </c>
      <c r="AJ35" s="52"/>
      <c r="AK35" s="52"/>
    </row>
    <row r="36" spans="2:37" ht="16.5" customHeight="1">
      <c r="B36" t="s">
        <v>28</v>
      </c>
      <c r="D36">
        <v>2126.62</v>
      </c>
      <c r="E36">
        <v>5226.2359955090596</v>
      </c>
      <c r="F36">
        <v>5363.6695218251425</v>
      </c>
      <c r="G36">
        <v>0</v>
      </c>
      <c r="I36">
        <v>0</v>
      </c>
      <c r="J36">
        <v>0</v>
      </c>
      <c r="L36">
        <v>0</v>
      </c>
      <c r="M36">
        <v>0</v>
      </c>
      <c r="N36">
        <v>0</v>
      </c>
      <c r="Q36">
        <v>0</v>
      </c>
      <c r="R36">
        <v>19392.932990625894</v>
      </c>
      <c r="S36">
        <v>20473.351434852681</v>
      </c>
      <c r="V36">
        <v>0</v>
      </c>
      <c r="W36">
        <v>0</v>
      </c>
      <c r="Z36">
        <v>0</v>
      </c>
      <c r="AA36">
        <v>0</v>
      </c>
      <c r="AC36">
        <v>0</v>
      </c>
      <c r="AD36" t="e">
        <v>#REF!</v>
      </c>
      <c r="AE36" t="e">
        <v>#REF!</v>
      </c>
      <c r="AH36" s="14">
        <v>164201.03720367979</v>
      </c>
    </row>
  </sheetData>
  <mergeCells count="7">
    <mergeCell ref="C1:G1"/>
    <mergeCell ref="H1:K1"/>
    <mergeCell ref="L1:O1"/>
    <mergeCell ref="P1:T1"/>
    <mergeCell ref="AC1:AF1"/>
    <mergeCell ref="U1:X1"/>
    <mergeCell ref="Y1:AB1"/>
  </mergeCells>
  <pageMargins left="0" right="0" top="0.75" bottom="0.75" header="0.3" footer="0.3"/>
  <pageSetup paperSize="9"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B1:DB54"/>
  <sheetViews>
    <sheetView zoomScale="60" zoomScaleNormal="60" workbookViewId="0">
      <pane xSplit="2" ySplit="2" topLeftCell="C7" activePane="bottomRight" state="frozen"/>
      <selection pane="bottomRight" activeCell="P32" sqref="P32"/>
      <selection pane="bottomLeft" activeCell="A3" sqref="A3"/>
      <selection pane="topRight" activeCell="C1" sqref="C1"/>
    </sheetView>
  </sheetViews>
  <sheetFormatPr defaultRowHeight="15"/>
  <cols>
    <col min="1" max="1" width="3.85546875" customWidth="1"/>
    <col min="2" max="2" width="8.140625" customWidth="1"/>
    <col min="3" max="3" width="9.7109375" bestFit="1" customWidth="1"/>
    <col min="4" max="4" width="12.7109375" bestFit="1" customWidth="1"/>
    <col min="5" max="5" width="12.7109375" customWidth="1"/>
    <col min="6" max="6" width="15.140625" bestFit="1" customWidth="1"/>
    <col min="7" max="7" width="16.28515625" bestFit="1" customWidth="1"/>
    <col min="8" max="13" width="16.28515625" customWidth="1"/>
    <col min="14" max="14" width="12.7109375" bestFit="1" customWidth="1"/>
    <col min="15" max="15" width="15.140625" bestFit="1" customWidth="1"/>
    <col min="16" max="18" width="15.140625" customWidth="1"/>
    <col min="19" max="19" width="16.28515625" bestFit="1" customWidth="1"/>
    <col min="20" max="20" width="16.28515625" customWidth="1"/>
    <col min="21" max="21" width="12.7109375" bestFit="1" customWidth="1"/>
    <col min="22" max="22" width="14.7109375" bestFit="1" customWidth="1"/>
    <col min="23" max="23" width="14.7109375" customWidth="1"/>
    <col min="24" max="24" width="15.140625" bestFit="1" customWidth="1"/>
    <col min="25" max="25" width="16.28515625" bestFit="1" customWidth="1"/>
    <col min="26" max="26" width="12.7109375" bestFit="1" customWidth="1"/>
    <col min="27" max="27" width="15.140625" bestFit="1" customWidth="1"/>
    <col min="28" max="28" width="13.140625" customWidth="1"/>
    <col min="29" max="29" width="12.7109375" bestFit="1" customWidth="1"/>
    <col min="30" max="30" width="15.140625" bestFit="1" customWidth="1"/>
    <col min="31" max="31" width="9.7109375" bestFit="1" customWidth="1"/>
    <col min="32" max="32" width="12.7109375" bestFit="1" customWidth="1"/>
    <col min="43" max="43" width="13.140625" customWidth="1"/>
    <col min="44" max="44" width="12.7109375" bestFit="1" customWidth="1"/>
    <col min="45" max="45" width="15.140625" bestFit="1" customWidth="1"/>
    <col min="46" max="46" width="9.7109375" bestFit="1" customWidth="1"/>
    <col min="47" max="47" width="12.7109375" bestFit="1" customWidth="1"/>
    <col min="58" max="60" width="12.5703125" customWidth="1"/>
    <col min="61" max="61" width="13.7109375" customWidth="1"/>
    <col min="64" max="64" width="11.140625" bestFit="1" customWidth="1"/>
    <col min="65" max="77" width="13.42578125" customWidth="1"/>
    <col min="78" max="78" width="9.140625" customWidth="1"/>
    <col min="79" max="80" width="7.28515625" customWidth="1"/>
    <col min="81" max="81" width="7.42578125" customWidth="1"/>
    <col min="82" max="82" width="13" bestFit="1" customWidth="1"/>
    <col min="84" max="84" width="10.42578125" bestFit="1" customWidth="1"/>
    <col min="85" max="85" width="10.85546875" bestFit="1" customWidth="1"/>
    <col min="86" max="86" width="10.85546875" customWidth="1"/>
  </cols>
  <sheetData>
    <row r="1" spans="2:104">
      <c r="B1" s="3" t="s">
        <v>91</v>
      </c>
      <c r="C1" s="596" t="s">
        <v>92</v>
      </c>
      <c r="D1" s="597"/>
      <c r="E1" s="597"/>
      <c r="F1" s="597"/>
      <c r="G1" s="596" t="s">
        <v>93</v>
      </c>
      <c r="H1" s="614"/>
      <c r="I1" s="614"/>
      <c r="J1" s="614"/>
      <c r="K1" s="614"/>
      <c r="L1" s="614"/>
      <c r="M1" s="614"/>
      <c r="N1" s="597"/>
      <c r="O1" s="597"/>
      <c r="P1" s="599" t="s">
        <v>94</v>
      </c>
      <c r="Q1" s="603"/>
      <c r="R1" s="604"/>
      <c r="S1" s="596" t="s">
        <v>95</v>
      </c>
      <c r="T1" s="614"/>
      <c r="U1" s="597"/>
      <c r="V1" s="597"/>
      <c r="W1" s="597"/>
      <c r="X1" s="597"/>
      <c r="Y1" s="596" t="s">
        <v>96</v>
      </c>
      <c r="Z1" s="597"/>
      <c r="AA1" s="597"/>
      <c r="AB1" s="596" t="s">
        <v>97</v>
      </c>
      <c r="AC1" s="597"/>
      <c r="AD1" s="597"/>
      <c r="AE1" s="596" t="s">
        <v>98</v>
      </c>
      <c r="AF1" s="597"/>
      <c r="AG1" s="598"/>
      <c r="AH1" s="596" t="s">
        <v>99</v>
      </c>
      <c r="AI1" s="597"/>
      <c r="AJ1" s="598"/>
      <c r="AK1" s="615" t="s">
        <v>100</v>
      </c>
      <c r="AL1" s="616"/>
      <c r="AM1" s="617"/>
      <c r="AN1" s="615" t="s">
        <v>101</v>
      </c>
      <c r="AO1" s="616"/>
      <c r="AP1" s="617"/>
      <c r="AQ1" s="596" t="s">
        <v>102</v>
      </c>
      <c r="AR1" s="597"/>
      <c r="AS1" s="597"/>
      <c r="AT1" s="596" t="s">
        <v>103</v>
      </c>
      <c r="AU1" s="597"/>
      <c r="AV1" s="598"/>
      <c r="AW1" s="596" t="s">
        <v>104</v>
      </c>
      <c r="AX1" s="597"/>
      <c r="AY1" s="598"/>
      <c r="AZ1" s="596" t="s">
        <v>105</v>
      </c>
      <c r="BA1" s="597"/>
      <c r="BB1" s="598"/>
      <c r="BC1" s="596" t="s">
        <v>106</v>
      </c>
      <c r="BD1" s="597"/>
      <c r="BE1" s="598"/>
      <c r="BF1" s="614" t="s">
        <v>107</v>
      </c>
      <c r="BG1" s="614"/>
      <c r="BH1" s="614"/>
      <c r="BI1" s="597"/>
      <c r="BJ1" s="614" t="s">
        <v>108</v>
      </c>
      <c r="BK1" s="614"/>
      <c r="BL1" s="614"/>
      <c r="BM1" s="597"/>
      <c r="BN1" s="614" t="s">
        <v>109</v>
      </c>
      <c r="BO1" s="614"/>
      <c r="BP1" s="614"/>
      <c r="BQ1" s="597"/>
      <c r="BR1" s="614" t="s">
        <v>110</v>
      </c>
      <c r="BS1" s="614"/>
      <c r="BT1" s="614"/>
      <c r="BU1" s="597"/>
      <c r="BV1" s="614" t="s">
        <v>111</v>
      </c>
      <c r="BW1" s="614"/>
      <c r="BX1" s="614"/>
      <c r="BY1" s="597"/>
    </row>
    <row r="2" spans="2:104" ht="67.5" customHeight="1">
      <c r="B2" s="4" t="s">
        <v>10</v>
      </c>
      <c r="C2" s="6" t="s">
        <v>112</v>
      </c>
      <c r="D2" s="1" t="s">
        <v>12</v>
      </c>
      <c r="E2" s="1" t="s">
        <v>79</v>
      </c>
      <c r="F2" s="1" t="s">
        <v>113</v>
      </c>
      <c r="G2" s="6" t="s">
        <v>112</v>
      </c>
      <c r="H2" s="2" t="s">
        <v>114</v>
      </c>
      <c r="I2" s="2" t="s">
        <v>115</v>
      </c>
      <c r="J2" s="2" t="s">
        <v>116</v>
      </c>
      <c r="K2" s="2" t="s">
        <v>117</v>
      </c>
      <c r="L2" s="2" t="s">
        <v>118</v>
      </c>
      <c r="M2" s="2" t="s">
        <v>119</v>
      </c>
      <c r="N2" s="1" t="s">
        <v>12</v>
      </c>
      <c r="O2" s="1" t="s">
        <v>113</v>
      </c>
      <c r="P2" s="6" t="s">
        <v>112</v>
      </c>
      <c r="Q2" s="2" t="s">
        <v>80</v>
      </c>
      <c r="R2" s="1" t="s">
        <v>113</v>
      </c>
      <c r="S2" s="6" t="s">
        <v>112</v>
      </c>
      <c r="T2" s="2" t="s">
        <v>114</v>
      </c>
      <c r="U2" s="1" t="s">
        <v>12</v>
      </c>
      <c r="V2" s="1" t="s">
        <v>120</v>
      </c>
      <c r="W2" s="1" t="s">
        <v>115</v>
      </c>
      <c r="X2" s="1" t="s">
        <v>113</v>
      </c>
      <c r="Y2" s="6" t="s">
        <v>112</v>
      </c>
      <c r="Z2" s="1" t="s">
        <v>12</v>
      </c>
      <c r="AA2" s="1" t="s">
        <v>113</v>
      </c>
      <c r="AB2" s="6" t="s">
        <v>112</v>
      </c>
      <c r="AC2" s="1" t="s">
        <v>12</v>
      </c>
      <c r="AD2" s="1" t="s">
        <v>113</v>
      </c>
      <c r="AE2" s="6" t="s">
        <v>112</v>
      </c>
      <c r="AF2" s="1" t="s">
        <v>12</v>
      </c>
      <c r="AG2" s="7" t="s">
        <v>113</v>
      </c>
      <c r="AH2" s="6" t="s">
        <v>112</v>
      </c>
      <c r="AI2" s="1" t="s">
        <v>12</v>
      </c>
      <c r="AJ2" s="7" t="s">
        <v>113</v>
      </c>
      <c r="AK2" s="6" t="s">
        <v>112</v>
      </c>
      <c r="AL2" s="1" t="s">
        <v>12</v>
      </c>
      <c r="AM2" s="1" t="s">
        <v>113</v>
      </c>
      <c r="AN2" s="6" t="s">
        <v>112</v>
      </c>
      <c r="AO2" s="1" t="s">
        <v>12</v>
      </c>
      <c r="AP2" s="1" t="s">
        <v>113</v>
      </c>
      <c r="AQ2" s="6" t="s">
        <v>112</v>
      </c>
      <c r="AR2" s="1" t="s">
        <v>12</v>
      </c>
      <c r="AS2" s="1" t="s">
        <v>113</v>
      </c>
      <c r="AT2" s="6" t="s">
        <v>112</v>
      </c>
      <c r="AU2" s="1" t="s">
        <v>12</v>
      </c>
      <c r="AV2" s="7" t="s">
        <v>113</v>
      </c>
      <c r="AW2" s="6" t="s">
        <v>112</v>
      </c>
      <c r="AX2" s="1" t="s">
        <v>12</v>
      </c>
      <c r="AY2" s="7" t="s">
        <v>113</v>
      </c>
      <c r="AZ2" s="6" t="s">
        <v>112</v>
      </c>
      <c r="BA2" s="1" t="s">
        <v>12</v>
      </c>
      <c r="BB2" s="7" t="s">
        <v>113</v>
      </c>
      <c r="BC2" s="6" t="s">
        <v>112</v>
      </c>
      <c r="BD2" s="1" t="s">
        <v>12</v>
      </c>
      <c r="BE2" s="7" t="s">
        <v>113</v>
      </c>
      <c r="BF2" s="16" t="s">
        <v>121</v>
      </c>
      <c r="BG2" s="2" t="s">
        <v>12</v>
      </c>
      <c r="BH2" s="2" t="s">
        <v>122</v>
      </c>
      <c r="BI2" s="18" t="s">
        <v>123</v>
      </c>
      <c r="BJ2" s="16" t="s">
        <v>121</v>
      </c>
      <c r="BK2" s="2" t="s">
        <v>12</v>
      </c>
      <c r="BL2" s="2" t="s">
        <v>122</v>
      </c>
      <c r="BM2" s="18" t="s">
        <v>123</v>
      </c>
      <c r="BN2" s="16" t="s">
        <v>121</v>
      </c>
      <c r="BO2" s="2" t="s">
        <v>12</v>
      </c>
      <c r="BP2" s="2" t="s">
        <v>122</v>
      </c>
      <c r="BQ2" s="18" t="s">
        <v>123</v>
      </c>
      <c r="BR2" s="16" t="s">
        <v>121</v>
      </c>
      <c r="BS2" s="2" t="s">
        <v>12</v>
      </c>
      <c r="BT2" s="2" t="s">
        <v>122</v>
      </c>
      <c r="BU2" s="18" t="s">
        <v>123</v>
      </c>
      <c r="BV2" s="16" t="s">
        <v>121</v>
      </c>
      <c r="BW2" s="2" t="s">
        <v>12</v>
      </c>
      <c r="BX2" s="2" t="s">
        <v>122</v>
      </c>
      <c r="BY2" s="18" t="s">
        <v>123</v>
      </c>
      <c r="BZ2" s="23" t="s">
        <v>124</v>
      </c>
      <c r="CA2" s="23" t="s">
        <v>125</v>
      </c>
      <c r="CB2" s="23" t="s">
        <v>126</v>
      </c>
      <c r="CC2" s="19" t="s">
        <v>9</v>
      </c>
      <c r="CD2" s="19" t="s">
        <v>127</v>
      </c>
      <c r="CE2" s="423" t="s">
        <v>128</v>
      </c>
      <c r="CF2" s="24" t="s">
        <v>129</v>
      </c>
      <c r="CG2" s="24" t="s">
        <v>130</v>
      </c>
      <c r="CH2" s="268" t="s">
        <v>131</v>
      </c>
      <c r="CK2" s="1"/>
      <c r="CL2" s="1" t="s">
        <v>132</v>
      </c>
      <c r="CM2" s="1" t="s">
        <v>133</v>
      </c>
      <c r="CN2" s="1" t="s">
        <v>134</v>
      </c>
      <c r="CO2" s="1" t="s">
        <v>135</v>
      </c>
      <c r="CP2" s="1" t="s">
        <v>63</v>
      </c>
      <c r="CQ2" s="2"/>
      <c r="CR2" s="1"/>
      <c r="CS2" s="1" t="s">
        <v>136</v>
      </c>
      <c r="CT2" s="1" t="s">
        <v>135</v>
      </c>
    </row>
    <row r="3" spans="2:104">
      <c r="B3" s="4">
        <v>1</v>
      </c>
      <c r="C3" s="1">
        <v>21.5</v>
      </c>
      <c r="D3" s="34">
        <f>'Mines (2)'!D3+'Mines (2)'!I3+'Mines (2)'!W3+'Mines (2)'!AA3+'Mines (2)'!AE3</f>
        <v>5443.72</v>
      </c>
      <c r="E3" s="169">
        <f>'Mines (2)'!E3+'Mines (2)'!J3+'Mines (2)'!X3+'Mines (2)'!AB3+'Mines (2)'!AF3</f>
        <v>3401</v>
      </c>
      <c r="F3" s="34">
        <f>D3/C3</f>
        <v>253.19627906976746</v>
      </c>
      <c r="G3" s="1">
        <v>22.27</v>
      </c>
      <c r="H3" s="36">
        <v>1267.6400168375185</v>
      </c>
      <c r="I3" s="299">
        <f>H3+(N3)+(Q3)-K3</f>
        <v>1325.2000168375189</v>
      </c>
      <c r="J3" s="1">
        <v>2659</v>
      </c>
      <c r="K3" s="36">
        <f t="shared" ref="K3:K20" si="0">L3</f>
        <v>3053.5</v>
      </c>
      <c r="L3" s="36">
        <f>Clinker!EK3*1.55</f>
        <v>3053.5</v>
      </c>
      <c r="M3" s="36">
        <v>0</v>
      </c>
      <c r="N3" s="1">
        <v>2876</v>
      </c>
      <c r="O3" s="15">
        <f t="shared" ref="O3:O34" si="1">N3/G3</f>
        <v>129.14234396048496</v>
      </c>
      <c r="P3" s="1">
        <v>23.5</v>
      </c>
      <c r="Q3" s="1">
        <v>235.06</v>
      </c>
      <c r="R3" s="15">
        <f>Q3/P3</f>
        <v>10.002553191489362</v>
      </c>
      <c r="S3" s="1">
        <v>18.7</v>
      </c>
      <c r="T3" s="16">
        <v>42.109999999999843</v>
      </c>
      <c r="U3" s="1">
        <v>282</v>
      </c>
      <c r="V3" s="1">
        <v>287</v>
      </c>
      <c r="W3" s="18">
        <f t="shared" ref="W3:W27" si="2">T3+U3-V3</f>
        <v>37.109999999999843</v>
      </c>
      <c r="X3" s="15">
        <f t="shared" ref="X3:X34" si="3">U3/S3</f>
        <v>15.080213903743315</v>
      </c>
      <c r="Y3" s="1">
        <v>24</v>
      </c>
      <c r="Z3" s="33">
        <f>Clinker!EK3</f>
        <v>1970</v>
      </c>
      <c r="AA3" s="15">
        <f t="shared" ref="AA3:AA25" si="4">Z3/Y3</f>
        <v>82.083333333333329</v>
      </c>
      <c r="AB3" s="37">
        <f>'Daily CEM-1'!H4</f>
        <v>8.3800000000000008</v>
      </c>
      <c r="AC3" s="33">
        <f>'Daily CEM-1'!C4</f>
        <v>553</v>
      </c>
      <c r="AD3" s="15">
        <f t="shared" ref="AD3:AD25" si="5">AC3/AB3</f>
        <v>65.990453460620515</v>
      </c>
      <c r="AE3" s="37">
        <f>'Daily CEM-1'!I4</f>
        <v>0</v>
      </c>
      <c r="AF3" s="33">
        <f>'Daily CEM-1'!D4</f>
        <v>0</v>
      </c>
      <c r="AG3" s="15" t="e">
        <f>AF3/AE3</f>
        <v>#DIV/0!</v>
      </c>
      <c r="AH3" s="61">
        <f>'Daily CEM-1'!J4</f>
        <v>0</v>
      </c>
      <c r="AI3" s="61">
        <f>'Daily CEM-1'!E4</f>
        <v>0</v>
      </c>
      <c r="AJ3" s="60"/>
      <c r="AK3" s="61">
        <f>'Daily CEM-1'!K4</f>
        <v>0</v>
      </c>
      <c r="AL3" s="61">
        <f>'Daily CEM-1'!F4</f>
        <v>0</v>
      </c>
      <c r="AM3" s="60" t="e">
        <f>AL3/AK3</f>
        <v>#DIV/0!</v>
      </c>
      <c r="AN3" s="60">
        <f>'Daily CEM-1'!L4</f>
        <v>0</v>
      </c>
      <c r="AO3" s="60">
        <f>'Daily CEM-1'!G4</f>
        <v>0</v>
      </c>
      <c r="AP3" s="60" t="e">
        <f>AO3/AN3</f>
        <v>#DIV/0!</v>
      </c>
      <c r="AQ3" s="37">
        <f>'Daily  CEM - 2'!H4</f>
        <v>20</v>
      </c>
      <c r="AR3" s="33">
        <f>'Daily  CEM - 2'!C4</f>
        <v>1240</v>
      </c>
      <c r="AS3" s="15">
        <f t="shared" ref="AS3:AS25" si="6">AR3/AQ3</f>
        <v>62</v>
      </c>
      <c r="AT3" s="37">
        <f>'Daily  CEM - 2'!I4</f>
        <v>0</v>
      </c>
      <c r="AU3" s="33">
        <f>'Daily  CEM - 2'!D4</f>
        <v>0</v>
      </c>
      <c r="AV3" s="15" t="e">
        <f t="shared" ref="AV3:AV25" si="7">AU3/AT3</f>
        <v>#DIV/0!</v>
      </c>
      <c r="AW3" s="61">
        <f>'Daily  CEM - 2'!J4</f>
        <v>0</v>
      </c>
      <c r="AX3" s="61">
        <f>'Daily  CEM - 2'!E4</f>
        <v>0</v>
      </c>
      <c r="AY3" s="197" t="e">
        <f>AX3/AW3</f>
        <v>#DIV/0!</v>
      </c>
      <c r="AZ3" s="61">
        <f>'Daily  CEM - 2'!K4</f>
        <v>4</v>
      </c>
      <c r="BA3" s="61">
        <f>'Daily  CEM - 2'!F4</f>
        <v>224</v>
      </c>
      <c r="BB3" s="60">
        <f>BA3/AZ3</f>
        <v>56</v>
      </c>
      <c r="BC3" s="61">
        <f>'Daily  CEM - 2'!L4</f>
        <v>0</v>
      </c>
      <c r="BD3" s="61">
        <f>'Daily  CEM - 2'!G4</f>
        <v>0</v>
      </c>
      <c r="BE3" s="60" t="e">
        <f>BD3/BC3</f>
        <v>#DIV/0!</v>
      </c>
      <c r="BF3" s="435">
        <v>1816.7279999999787</v>
      </c>
      <c r="BG3" s="36">
        <f>AC3+AR3</f>
        <v>1793</v>
      </c>
      <c r="BH3" s="1">
        <v>1888</v>
      </c>
      <c r="BI3" s="18">
        <f>BF3+BG3-BH3-'Internal use cement'!F3</f>
        <v>1721.7279999999787</v>
      </c>
      <c r="BJ3" s="434">
        <v>578.29999999999995</v>
      </c>
      <c r="BK3" s="36">
        <f>AF3+AU3</f>
        <v>0</v>
      </c>
      <c r="BL3" s="1">
        <v>31</v>
      </c>
      <c r="BM3" s="18">
        <f>BJ3+BK3-BL3-'Internal use cement'!AB3</f>
        <v>547.29999999999995</v>
      </c>
      <c r="BN3" s="18">
        <v>9.0000000000849845E-2</v>
      </c>
      <c r="BO3" s="63">
        <f>AI3+AX3</f>
        <v>0</v>
      </c>
      <c r="BP3" s="1">
        <v>0</v>
      </c>
      <c r="BQ3" s="66">
        <f>BN3+BO3-BP3-'Internal use cement'!Q3</f>
        <v>9.0000000000849845E-2</v>
      </c>
      <c r="BR3" s="18">
        <v>127.70000000000005</v>
      </c>
      <c r="BS3" s="63">
        <f>BA3+AL3</f>
        <v>224</v>
      </c>
      <c r="BT3" s="1">
        <v>121</v>
      </c>
      <c r="BU3" s="66">
        <f>BR3+BS3-BT3-'Internal use cement'!AG3</f>
        <v>230.70000000000005</v>
      </c>
      <c r="BV3" s="66">
        <v>1167.4000000000001</v>
      </c>
      <c r="BW3" s="34">
        <f>AO3+BD3</f>
        <v>0</v>
      </c>
      <c r="BX3" s="1">
        <v>120.82</v>
      </c>
      <c r="BY3" s="66">
        <f>BV3+BW3-BX3-'Internal use cement'!AO3</f>
        <v>1046.5800000000002</v>
      </c>
      <c r="BZ3" s="1">
        <v>1932</v>
      </c>
      <c r="CA3" s="1">
        <v>1926</v>
      </c>
      <c r="CB3" s="1">
        <v>137</v>
      </c>
      <c r="CC3" s="1">
        <f>SUM(BZ3:CB3)</f>
        <v>3995</v>
      </c>
      <c r="CD3" s="15">
        <f>BI3+BM3+BQ3+BU3+BY3</f>
        <v>3546.3979999999792</v>
      </c>
      <c r="CE3" s="270">
        <f>CC3-CD3</f>
        <v>448.60200000002078</v>
      </c>
      <c r="CF3" s="15">
        <f>BH3+BL3+BP3+BT3+BX3</f>
        <v>2160.8200000000002</v>
      </c>
      <c r="CG3" s="15">
        <f>AC3+AF3+AI3+AR3+AU3+AX3+BA3+AL3+BW3</f>
        <v>2017</v>
      </c>
      <c r="CH3" s="270">
        <f>J3-I3</f>
        <v>1333.7999831624811</v>
      </c>
      <c r="CI3">
        <f>BF3+BJ3</f>
        <v>2395.0279999999784</v>
      </c>
      <c r="CJ3" s="52">
        <f t="shared" ref="CJ3:CJ31" si="8">AB3+AH3+AE3</f>
        <v>8.3800000000000008</v>
      </c>
      <c r="CK3" s="1">
        <v>1</v>
      </c>
      <c r="CL3" s="1">
        <f>24-G3</f>
        <v>1.7300000000000004</v>
      </c>
      <c r="CM3" s="1">
        <f>24-S3</f>
        <v>5.3000000000000007</v>
      </c>
      <c r="CN3" s="15">
        <f>24-CS3</f>
        <v>15.62</v>
      </c>
      <c r="CO3" s="15">
        <f>24-CT3</f>
        <v>0</v>
      </c>
      <c r="CP3" s="1">
        <f>24-Y3</f>
        <v>0</v>
      </c>
      <c r="CQ3" s="2">
        <v>1</v>
      </c>
      <c r="CR3" s="15">
        <f>AR3+AU3+AX3</f>
        <v>1240</v>
      </c>
      <c r="CS3" s="15">
        <f>'Daily CEM-1'!H4+'Daily CEM-1'!I4+'Daily CEM-1'!J4+'Daily CEM-1'!K4+'Daily CEM-1'!L4</f>
        <v>8.3800000000000008</v>
      </c>
      <c r="CT3" s="15">
        <f>AQ3+AT3+AW3+'Daily  CEM - 2'!K4+'Daily  CEM - 2'!L4</f>
        <v>24</v>
      </c>
      <c r="CU3" s="52">
        <f>24-CS3</f>
        <v>15.62</v>
      </c>
      <c r="CW3" s="52">
        <f>N3+Q3</f>
        <v>3111.06</v>
      </c>
      <c r="CX3" s="52">
        <v>1</v>
      </c>
      <c r="CZ3">
        <f>N3+Q3</f>
        <v>3111.06</v>
      </c>
    </row>
    <row r="4" spans="2:104">
      <c r="B4" s="4">
        <v>2</v>
      </c>
      <c r="C4" s="1">
        <v>18.03</v>
      </c>
      <c r="D4" s="34">
        <f>'Mines (2)'!D4+'Mines (2)'!I4+'Mines (2)'!W4+'Mines (2)'!AA4+'Mines (2)'!AE4</f>
        <v>2717.3199999999997</v>
      </c>
      <c r="E4" s="169">
        <f>'Mines (2)'!E4+'Mines (2)'!J4+'Mines (2)'!X4+'Mines (2)'!AB4+'Mines (2)'!AF4</f>
        <v>1916</v>
      </c>
      <c r="F4" s="34">
        <f>D4/C4</f>
        <v>150.71103716028838</v>
      </c>
      <c r="G4" s="1">
        <v>12.3</v>
      </c>
      <c r="H4" s="299">
        <f>I3</f>
        <v>1325.2000168375189</v>
      </c>
      <c r="I4" s="299">
        <f t="shared" ref="I4:I33" si="9">H4+(N4)+(Q4)-K4</f>
        <v>600.92001683751869</v>
      </c>
      <c r="J4" s="1">
        <v>1400</v>
      </c>
      <c r="K4" s="36">
        <f t="shared" si="0"/>
        <v>2503.25</v>
      </c>
      <c r="L4" s="36">
        <f>Clinker!EK4*1.55</f>
        <v>2503.25</v>
      </c>
      <c r="M4" s="36">
        <v>0</v>
      </c>
      <c r="N4" s="1">
        <v>1599</v>
      </c>
      <c r="O4" s="15">
        <f t="shared" si="1"/>
        <v>130</v>
      </c>
      <c r="P4" s="1">
        <v>17.88</v>
      </c>
      <c r="Q4" s="1">
        <v>179.97</v>
      </c>
      <c r="R4" s="15">
        <f t="shared" ref="R4:R33" si="10">Q4/P4</f>
        <v>10.065436241610739</v>
      </c>
      <c r="S4" s="1">
        <v>18.3</v>
      </c>
      <c r="T4" s="16">
        <f t="shared" ref="T4:T28" si="11">W3</f>
        <v>37.109999999999843</v>
      </c>
      <c r="U4" s="1">
        <v>250</v>
      </c>
      <c r="V4" s="1">
        <v>247</v>
      </c>
      <c r="W4" s="18">
        <f>T4+U4-V4</f>
        <v>40.109999999999843</v>
      </c>
      <c r="X4" s="15">
        <f t="shared" si="3"/>
        <v>13.66120218579235</v>
      </c>
      <c r="Y4" s="1">
        <v>23.75</v>
      </c>
      <c r="Z4" s="33">
        <f>Clinker!EK4</f>
        <v>1615</v>
      </c>
      <c r="AA4" s="15">
        <f t="shared" si="4"/>
        <v>68</v>
      </c>
      <c r="AB4" s="37">
        <f>'Daily CEM-1'!H5</f>
        <v>16.920000000000002</v>
      </c>
      <c r="AC4" s="33">
        <f>'Daily CEM-1'!C5</f>
        <v>1099</v>
      </c>
      <c r="AD4" s="15">
        <f t="shared" si="5"/>
        <v>64.952718676122927</v>
      </c>
      <c r="AE4" s="37">
        <f>'Daily CEM-1'!I5</f>
        <v>0</v>
      </c>
      <c r="AF4" s="33">
        <f>'Daily CEM-1'!D5</f>
        <v>0</v>
      </c>
      <c r="AG4" s="15" t="e">
        <f t="shared" ref="AG4:AG25" si="12">AF4/AE4</f>
        <v>#DIV/0!</v>
      </c>
      <c r="AH4" s="61">
        <f>'Daily CEM-1'!J5</f>
        <v>0</v>
      </c>
      <c r="AI4" s="61">
        <f>'Daily CEM-1'!E5</f>
        <v>0</v>
      </c>
      <c r="AJ4" s="60"/>
      <c r="AK4" s="61">
        <f>'Daily CEM-1'!K5</f>
        <v>0</v>
      </c>
      <c r="AL4" s="61">
        <f>'Daily CEM-1'!F5</f>
        <v>0</v>
      </c>
      <c r="AM4" s="60" t="e">
        <f t="shared" ref="AM4:AM32" si="13">AL4/AK4</f>
        <v>#DIV/0!</v>
      </c>
      <c r="AN4" s="60">
        <f>'Daily CEM-1'!L5</f>
        <v>0</v>
      </c>
      <c r="AO4" s="60">
        <f>'Daily CEM-1'!G5</f>
        <v>0</v>
      </c>
      <c r="AP4" s="60" t="e">
        <f t="shared" ref="AP4:AP33" si="14">AO4/AN4</f>
        <v>#DIV/0!</v>
      </c>
      <c r="AQ4" s="37">
        <f>'Daily  CEM - 2'!H5</f>
        <v>16.25</v>
      </c>
      <c r="AR4" s="33">
        <f>'Daily  CEM - 2'!C5</f>
        <v>1004</v>
      </c>
      <c r="AS4" s="15">
        <f t="shared" si="6"/>
        <v>61.784615384615385</v>
      </c>
      <c r="AT4" s="37">
        <f>'Daily  CEM - 2'!I5</f>
        <v>0</v>
      </c>
      <c r="AU4" s="33">
        <f>'Daily  CEM - 2'!D5</f>
        <v>0</v>
      </c>
      <c r="AV4" s="15" t="e">
        <f t="shared" si="7"/>
        <v>#DIV/0!</v>
      </c>
      <c r="AW4" s="61">
        <f>'Daily  CEM - 2'!J5</f>
        <v>0</v>
      </c>
      <c r="AX4" s="61">
        <f>'Daily  CEM - 2'!E5</f>
        <v>0</v>
      </c>
      <c r="AY4" s="197" t="e">
        <f t="shared" ref="AY4:AY33" si="15">AX4/AW4</f>
        <v>#DIV/0!</v>
      </c>
      <c r="AZ4" s="61">
        <f>'Daily  CEM - 2'!K5</f>
        <v>3</v>
      </c>
      <c r="BA4" s="61">
        <f>'Daily  CEM - 2'!F5</f>
        <v>170</v>
      </c>
      <c r="BB4" s="60">
        <f t="shared" ref="BB4:BB25" si="16">BA4/AZ4</f>
        <v>56.666666666666664</v>
      </c>
      <c r="BC4" s="61">
        <f>'Daily  CEM - 2'!L5</f>
        <v>0</v>
      </c>
      <c r="BD4" s="61">
        <f>'Daily  CEM - 2'!G5</f>
        <v>0</v>
      </c>
      <c r="BE4" s="60" t="e">
        <f t="shared" ref="BE4:BE33" si="17">BD4/BC4</f>
        <v>#DIV/0!</v>
      </c>
      <c r="BF4" s="16">
        <f t="shared" ref="BF4:BF27" si="18">BI3</f>
        <v>1721.7279999999787</v>
      </c>
      <c r="BG4" s="36">
        <f t="shared" ref="BG4:BG33" si="19">AC4+AR4</f>
        <v>2103</v>
      </c>
      <c r="BH4" s="1">
        <v>2227.15</v>
      </c>
      <c r="BI4" s="18">
        <f>BF4+BG4-BH4-'Internal use cement'!F4</f>
        <v>1597.5779999999786</v>
      </c>
      <c r="BJ4" s="16">
        <f t="shared" ref="BJ4:BJ27" si="20">BM3</f>
        <v>547.29999999999995</v>
      </c>
      <c r="BK4" s="36">
        <f t="shared" ref="BK4:BK33" si="21">AF4+AU4</f>
        <v>0</v>
      </c>
      <c r="BL4" s="1">
        <v>126</v>
      </c>
      <c r="BM4" s="18">
        <f>BJ4+BK4-BL4-'Internal use cement'!AB4</f>
        <v>421.29999999999995</v>
      </c>
      <c r="BN4" s="18">
        <f>BQ3</f>
        <v>9.0000000000849845E-2</v>
      </c>
      <c r="BO4" s="63">
        <f t="shared" ref="BO4:BO5" si="22">AI4+AX4</f>
        <v>0</v>
      </c>
      <c r="BP4" s="1">
        <v>0</v>
      </c>
      <c r="BQ4" s="66">
        <f>BN4+BO4-BP4-'Internal use cement'!Q4</f>
        <v>9.0000000000849845E-2</v>
      </c>
      <c r="BR4" s="18">
        <f>BU3</f>
        <v>230.70000000000005</v>
      </c>
      <c r="BS4" s="63">
        <f t="shared" ref="BS4:BS33" si="23">BA4+AL4</f>
        <v>170</v>
      </c>
      <c r="BT4" s="1">
        <v>150</v>
      </c>
      <c r="BU4" s="66">
        <f>BR4+BS4-BT4-'Internal use cement'!AG4</f>
        <v>250.70000000000005</v>
      </c>
      <c r="BV4" s="66">
        <f>BY3</f>
        <v>1046.5800000000002</v>
      </c>
      <c r="BW4" s="34">
        <f t="shared" ref="BW4:BW33" si="24">AO4+BD4</f>
        <v>0</v>
      </c>
      <c r="BX4" s="1">
        <v>453.52</v>
      </c>
      <c r="BY4" s="66">
        <f>BV4+BW4-BX4-'Internal use cement'!AO4</f>
        <v>593.06000000000017</v>
      </c>
      <c r="BZ4" s="1">
        <v>1481</v>
      </c>
      <c r="CA4" s="1">
        <v>1820</v>
      </c>
      <c r="CB4" s="1">
        <v>148</v>
      </c>
      <c r="CC4" s="1">
        <f>SUM(BZ4:CB4)</f>
        <v>3449</v>
      </c>
      <c r="CD4" s="15">
        <f t="shared" ref="CD4:CD32" si="25">BI4+BM4+BQ4+BU4+BY4</f>
        <v>2862.7279999999801</v>
      </c>
      <c r="CE4" s="270">
        <f>CC4-CD4</f>
        <v>586.27200000001994</v>
      </c>
      <c r="CF4" s="15">
        <f t="shared" ref="CF4:CF32" si="26">BH4+BL4+BP4+BT4+BX4</f>
        <v>2956.67</v>
      </c>
      <c r="CG4" s="15">
        <f t="shared" ref="CG4:CG33" si="27">AC4+AF4+AI4+AR4+AU4+AX4+BA4+AL4+BW4</f>
        <v>2273</v>
      </c>
      <c r="CH4" s="270">
        <f t="shared" ref="CH4:CH33" si="28">J4-I4</f>
        <v>799.07998316248131</v>
      </c>
      <c r="CJ4" s="52">
        <f t="shared" si="8"/>
        <v>16.920000000000002</v>
      </c>
      <c r="CK4" s="1">
        <v>2</v>
      </c>
      <c r="CL4" s="1">
        <f t="shared" ref="CL4:CL24" si="29">24-G4</f>
        <v>11.7</v>
      </c>
      <c r="CM4" s="1">
        <f t="shared" ref="CM4:CM33" si="30">24-S4</f>
        <v>5.6999999999999993</v>
      </c>
      <c r="CN4" s="15">
        <f t="shared" ref="CN4:CN32" si="31">24-CS4</f>
        <v>7.0799999999999983</v>
      </c>
      <c r="CO4" s="15">
        <f t="shared" ref="CO4:CO33" si="32">24-CT4</f>
        <v>4.75</v>
      </c>
      <c r="CP4" s="1">
        <f t="shared" ref="CP4:CP33" si="33">24-Y4</f>
        <v>0.25</v>
      </c>
      <c r="CQ4" s="2">
        <v>2</v>
      </c>
      <c r="CR4" s="15">
        <f t="shared" ref="CR4:CR33" si="34">AR4+AU4+AX4</f>
        <v>1004</v>
      </c>
      <c r="CS4" s="15">
        <f>'Daily CEM-1'!H5+'Daily CEM-1'!I5+'Daily CEM-1'!J5+'Daily CEM-1'!K5+'Daily CEM-1'!L5</f>
        <v>16.920000000000002</v>
      </c>
      <c r="CT4" s="15">
        <f>AQ4+AT4+AW4+'Daily  CEM - 2'!K5+'Daily  CEM - 2'!L5</f>
        <v>19.25</v>
      </c>
      <c r="CU4" s="52">
        <f t="shared" ref="CU4:CU33" si="35">24-CS4</f>
        <v>7.0799999999999983</v>
      </c>
      <c r="CW4" s="52">
        <f t="shared" ref="CW4:CW32" si="36">N4+Q4</f>
        <v>1778.97</v>
      </c>
      <c r="CX4" s="52">
        <v>2</v>
      </c>
      <c r="CZ4">
        <f t="shared" ref="CZ4:CZ24" si="37">N4+Q4</f>
        <v>1778.97</v>
      </c>
    </row>
    <row r="5" spans="2:104">
      <c r="B5" s="4">
        <v>3</v>
      </c>
      <c r="C5" s="1">
        <v>18.78</v>
      </c>
      <c r="D5" s="34">
        <f>'Mines (2)'!D5+'Mines (2)'!I5+'Mines (2)'!W5+'Mines (2)'!AA5+'Mines (2)'!AE5</f>
        <v>3464.66</v>
      </c>
      <c r="E5" s="169">
        <f>'Mines (2)'!E5+'Mines (2)'!J5+'Mines (2)'!X5+'Mines (2)'!AB5+'Mines (2)'!AF5</f>
        <v>2530</v>
      </c>
      <c r="F5" s="34">
        <f>D5/C5</f>
        <v>184.48668796592116</v>
      </c>
      <c r="G5" s="1">
        <v>17.670000000000002</v>
      </c>
      <c r="H5" s="16">
        <f t="shared" ref="H5:H33" si="38">I4</f>
        <v>600.92001683751869</v>
      </c>
      <c r="I5" s="299">
        <f t="shared" si="9"/>
        <v>829.83001683751854</v>
      </c>
      <c r="J5" s="1">
        <v>1587</v>
      </c>
      <c r="K5" s="36">
        <f t="shared" si="0"/>
        <v>2182.4</v>
      </c>
      <c r="L5" s="36">
        <f>Clinker!EK5*1.55</f>
        <v>2182.4</v>
      </c>
      <c r="M5" s="36">
        <v>0</v>
      </c>
      <c r="N5" s="1">
        <v>2226</v>
      </c>
      <c r="O5" s="15">
        <f t="shared" si="1"/>
        <v>125.97623089983021</v>
      </c>
      <c r="P5" s="1">
        <v>18.5</v>
      </c>
      <c r="Q5" s="1">
        <v>185.31</v>
      </c>
      <c r="R5" s="15">
        <f t="shared" si="10"/>
        <v>10.016756756756758</v>
      </c>
      <c r="S5" s="1">
        <v>15</v>
      </c>
      <c r="T5" s="16">
        <f t="shared" si="11"/>
        <v>40.109999999999843</v>
      </c>
      <c r="U5" s="1">
        <v>215.1</v>
      </c>
      <c r="V5" s="1">
        <v>232</v>
      </c>
      <c r="W5" s="18">
        <f t="shared" si="2"/>
        <v>23.209999999999837</v>
      </c>
      <c r="X5" s="15">
        <f t="shared" si="3"/>
        <v>14.34</v>
      </c>
      <c r="Y5" s="1">
        <v>21.62</v>
      </c>
      <c r="Z5" s="33">
        <f>Clinker!EK5</f>
        <v>1408</v>
      </c>
      <c r="AA5" s="15">
        <f t="shared" si="4"/>
        <v>65.124884366327478</v>
      </c>
      <c r="AB5" s="37">
        <f>'Daily CEM-1'!H6</f>
        <v>23.2</v>
      </c>
      <c r="AC5" s="33">
        <f>'Daily CEM-1'!C6</f>
        <v>1554</v>
      </c>
      <c r="AD5" s="15">
        <f t="shared" si="5"/>
        <v>66.982758620689651</v>
      </c>
      <c r="AE5" s="37">
        <f>'Daily CEM-1'!I6</f>
        <v>0</v>
      </c>
      <c r="AF5" s="33">
        <f>'Daily CEM-1'!D6</f>
        <v>0</v>
      </c>
      <c r="AG5" s="15" t="e">
        <f t="shared" si="12"/>
        <v>#DIV/0!</v>
      </c>
      <c r="AH5" s="61">
        <f>'Daily CEM-1'!J6</f>
        <v>0</v>
      </c>
      <c r="AI5" s="61">
        <f>'Daily CEM-1'!E6</f>
        <v>0</v>
      </c>
      <c r="AJ5" s="60"/>
      <c r="AK5" s="61">
        <f>'Daily CEM-1'!K6</f>
        <v>0</v>
      </c>
      <c r="AL5" s="61">
        <f>'Daily CEM-1'!F6</f>
        <v>0</v>
      </c>
      <c r="AM5" s="60" t="e">
        <f t="shared" si="13"/>
        <v>#DIV/0!</v>
      </c>
      <c r="AN5" s="60">
        <f>'Daily CEM-1'!L6</f>
        <v>0</v>
      </c>
      <c r="AO5" s="60">
        <f>'Daily CEM-1'!G6</f>
        <v>0</v>
      </c>
      <c r="AP5" s="60" t="e">
        <f t="shared" si="14"/>
        <v>#DIV/0!</v>
      </c>
      <c r="AQ5" s="37">
        <f>'Daily  CEM - 2'!H6</f>
        <v>21.25</v>
      </c>
      <c r="AR5" s="33">
        <f>'Daily  CEM - 2'!C6</f>
        <v>1269</v>
      </c>
      <c r="AS5" s="15">
        <f t="shared" si="6"/>
        <v>59.71764705882353</v>
      </c>
      <c r="AT5" s="37">
        <f>'Daily  CEM - 2'!I6</f>
        <v>0</v>
      </c>
      <c r="AU5" s="33">
        <f>'Daily  CEM - 2'!D6</f>
        <v>0</v>
      </c>
      <c r="AV5" s="15" t="e">
        <f t="shared" si="7"/>
        <v>#DIV/0!</v>
      </c>
      <c r="AW5" s="61">
        <f>'Daily  CEM - 2'!J6</f>
        <v>0</v>
      </c>
      <c r="AX5" s="61">
        <f>'Daily  CEM - 2'!E6</f>
        <v>0</v>
      </c>
      <c r="AY5" s="197" t="e">
        <f t="shared" si="15"/>
        <v>#DIV/0!</v>
      </c>
      <c r="AZ5" s="61">
        <f>'Daily  CEM - 2'!K6</f>
        <v>2</v>
      </c>
      <c r="BA5" s="61">
        <f>'Daily  CEM - 2'!F6</f>
        <v>114</v>
      </c>
      <c r="BB5" s="60">
        <f t="shared" si="16"/>
        <v>57</v>
      </c>
      <c r="BC5" s="61">
        <f>'Daily  CEM - 2'!L6</f>
        <v>0</v>
      </c>
      <c r="BD5" s="61">
        <f>'Daily  CEM - 2'!G6</f>
        <v>0</v>
      </c>
      <c r="BE5" s="60" t="e">
        <f t="shared" si="17"/>
        <v>#DIV/0!</v>
      </c>
      <c r="BF5" s="16">
        <f t="shared" si="18"/>
        <v>1597.5779999999786</v>
      </c>
      <c r="BG5" s="36">
        <f t="shared" si="19"/>
        <v>2823</v>
      </c>
      <c r="BH5" s="1">
        <v>1686.91</v>
      </c>
      <c r="BI5" s="18">
        <f>BF5+BG5-BH5-'Internal use cement'!F5</f>
        <v>2733.6679999999787</v>
      </c>
      <c r="BJ5" s="16">
        <f t="shared" si="20"/>
        <v>421.29999999999995</v>
      </c>
      <c r="BK5" s="36">
        <f t="shared" si="21"/>
        <v>0</v>
      </c>
      <c r="BL5" s="1">
        <v>79</v>
      </c>
      <c r="BM5" s="18">
        <f>BJ5+BK5-BL5-'Internal use cement'!AB5</f>
        <v>342.29999999999995</v>
      </c>
      <c r="BN5" s="18">
        <f t="shared" ref="BN5:BN33" si="39">BQ4</f>
        <v>9.0000000000849845E-2</v>
      </c>
      <c r="BO5" s="63">
        <f t="shared" si="22"/>
        <v>0</v>
      </c>
      <c r="BP5" s="1">
        <v>0</v>
      </c>
      <c r="BQ5" s="66">
        <f>BN5+BO5-BP5-'Internal use cement'!Q5</f>
        <v>9.0000000000849845E-2</v>
      </c>
      <c r="BR5" s="18">
        <f t="shared" ref="BR5:BR33" si="40">BU4</f>
        <v>250.70000000000005</v>
      </c>
      <c r="BS5" s="63">
        <f t="shared" si="23"/>
        <v>114</v>
      </c>
      <c r="BT5" s="1">
        <v>30</v>
      </c>
      <c r="BU5" s="66">
        <f>BR5+BS5-BT5-'Internal use cement'!AG5</f>
        <v>334.70000000000005</v>
      </c>
      <c r="BV5" s="66">
        <f t="shared" ref="BV5:BV33" si="41">BY4</f>
        <v>593.06000000000017</v>
      </c>
      <c r="BW5" s="34">
        <f t="shared" si="24"/>
        <v>0</v>
      </c>
      <c r="BX5" s="1">
        <v>363.8</v>
      </c>
      <c r="BY5" s="66">
        <f>BV5+BW5-BX5-'Internal use cement'!AO5</f>
        <v>229.26000000000016</v>
      </c>
      <c r="BZ5" s="1">
        <v>1576</v>
      </c>
      <c r="CA5" s="1">
        <v>2371</v>
      </c>
      <c r="CB5" s="1">
        <v>254</v>
      </c>
      <c r="CC5" s="1">
        <f t="shared" ref="CC5:CC31" si="42">SUM(BZ5:CB5)</f>
        <v>4201</v>
      </c>
      <c r="CD5" s="15">
        <f t="shared" si="25"/>
        <v>3640.01799999998</v>
      </c>
      <c r="CE5" s="269">
        <f t="shared" ref="CE5:CE8" si="43">CC5-CD5</f>
        <v>560.98200000001998</v>
      </c>
      <c r="CF5" s="15">
        <f t="shared" si="26"/>
        <v>2159.71</v>
      </c>
      <c r="CG5" s="15">
        <f t="shared" si="27"/>
        <v>2937</v>
      </c>
      <c r="CH5" s="270">
        <f t="shared" si="28"/>
        <v>757.16998316248146</v>
      </c>
      <c r="CJ5" s="52">
        <f t="shared" si="8"/>
        <v>23.2</v>
      </c>
      <c r="CK5" s="1">
        <v>3</v>
      </c>
      <c r="CL5" s="1">
        <f t="shared" si="29"/>
        <v>6.3299999999999983</v>
      </c>
      <c r="CM5" s="1">
        <f t="shared" si="30"/>
        <v>9</v>
      </c>
      <c r="CN5" s="15">
        <f t="shared" si="31"/>
        <v>0.80000000000000071</v>
      </c>
      <c r="CO5" s="15">
        <f t="shared" si="32"/>
        <v>0.75</v>
      </c>
      <c r="CP5" s="1">
        <f t="shared" si="33"/>
        <v>2.379999999999999</v>
      </c>
      <c r="CQ5" s="2">
        <v>3</v>
      </c>
      <c r="CR5" s="15">
        <f t="shared" si="34"/>
        <v>1269</v>
      </c>
      <c r="CS5" s="15">
        <f>'Daily CEM-1'!H6+'Daily CEM-1'!I6+'Daily CEM-1'!J6+'Daily CEM-1'!K6+'Daily CEM-1'!L6</f>
        <v>23.2</v>
      </c>
      <c r="CT5" s="15">
        <f>AQ5+AT5+AW5+'Daily  CEM - 2'!K6+'Daily  CEM - 2'!L6</f>
        <v>23.25</v>
      </c>
      <c r="CU5" s="52">
        <f t="shared" si="35"/>
        <v>0.80000000000000071</v>
      </c>
      <c r="CW5" s="52">
        <f t="shared" si="36"/>
        <v>2411.31</v>
      </c>
      <c r="CX5" s="52">
        <v>3</v>
      </c>
      <c r="CZ5">
        <f t="shared" si="37"/>
        <v>2411.31</v>
      </c>
    </row>
    <row r="6" spans="2:104">
      <c r="B6" s="4">
        <v>4</v>
      </c>
      <c r="C6" s="1">
        <v>7.43</v>
      </c>
      <c r="D6" s="34">
        <f>'Mines (2)'!D6+'Mines (2)'!I6+'Mines (2)'!W6+'Mines (2)'!AA6+'Mines (2)'!AE6</f>
        <v>1139.0999999999999</v>
      </c>
      <c r="E6" s="169">
        <f>'Mines (2)'!E6+'Mines (2)'!J6+'Mines (2)'!X6+'Mines (2)'!AB6+'Mines (2)'!AF6</f>
        <v>3136</v>
      </c>
      <c r="F6" s="34">
        <f t="shared" ref="F6:F25" si="44">D6/C6</f>
        <v>153.31090174966351</v>
      </c>
      <c r="G6" s="1">
        <v>21.33</v>
      </c>
      <c r="H6" s="16">
        <f t="shared" si="38"/>
        <v>829.83001683751854</v>
      </c>
      <c r="I6" s="299">
        <f t="shared" si="9"/>
        <v>1013.3900168375185</v>
      </c>
      <c r="J6" s="1">
        <v>1480</v>
      </c>
      <c r="K6" s="36">
        <f>L6</f>
        <v>2774.5</v>
      </c>
      <c r="L6" s="36">
        <f>Clinker!EK6*1.55</f>
        <v>2774.5</v>
      </c>
      <c r="M6" s="36">
        <v>0</v>
      </c>
      <c r="N6" s="1">
        <v>2751</v>
      </c>
      <c r="O6" s="34">
        <f t="shared" si="1"/>
        <v>128.97327707454292</v>
      </c>
      <c r="P6" s="1">
        <v>20.75</v>
      </c>
      <c r="Q6" s="1">
        <v>207.06</v>
      </c>
      <c r="R6" s="15">
        <f t="shared" si="10"/>
        <v>9.9787951807228925</v>
      </c>
      <c r="S6" s="1">
        <v>19.7</v>
      </c>
      <c r="T6" s="16">
        <f t="shared" si="11"/>
        <v>23.209999999999837</v>
      </c>
      <c r="U6" s="1">
        <v>285</v>
      </c>
      <c r="V6" s="1">
        <v>265</v>
      </c>
      <c r="W6" s="18">
        <f t="shared" si="2"/>
        <v>43.209999999999809</v>
      </c>
      <c r="X6" s="34">
        <f t="shared" si="3"/>
        <v>14.467005076142133</v>
      </c>
      <c r="Y6" s="1">
        <v>24</v>
      </c>
      <c r="Z6" s="33">
        <f>Clinker!EK6</f>
        <v>1790</v>
      </c>
      <c r="AA6" s="34">
        <f t="shared" si="4"/>
        <v>74.583333333333329</v>
      </c>
      <c r="AB6" s="37">
        <f>'Daily CEM-1'!H7</f>
        <v>18.23</v>
      </c>
      <c r="AC6" s="33">
        <f>'Daily CEM-1'!C7</f>
        <v>1173</v>
      </c>
      <c r="AD6" s="34">
        <f t="shared" si="5"/>
        <v>64.344487109160724</v>
      </c>
      <c r="AE6" s="37">
        <f>'Daily CEM-1'!I7</f>
        <v>0</v>
      </c>
      <c r="AF6" s="33">
        <f>'Daily CEM-1'!D7</f>
        <v>0</v>
      </c>
      <c r="AG6" s="34" t="e">
        <f t="shared" si="12"/>
        <v>#DIV/0!</v>
      </c>
      <c r="AH6" s="61">
        <f>'Daily CEM-1'!J7</f>
        <v>0</v>
      </c>
      <c r="AI6" s="61">
        <f>'Daily CEM-1'!E7</f>
        <v>0</v>
      </c>
      <c r="AJ6" s="61"/>
      <c r="AK6" s="61">
        <f>'Daily CEM-1'!K7</f>
        <v>0</v>
      </c>
      <c r="AL6" s="61">
        <f>'Daily CEM-1'!F7</f>
        <v>0</v>
      </c>
      <c r="AM6" s="61" t="e">
        <f t="shared" si="13"/>
        <v>#DIV/0!</v>
      </c>
      <c r="AN6" s="60">
        <f>'Daily CEM-1'!L7</f>
        <v>3</v>
      </c>
      <c r="AO6" s="60">
        <f>'Daily CEM-1'!G7</f>
        <v>212</v>
      </c>
      <c r="AP6" s="60">
        <f t="shared" si="14"/>
        <v>70.666666666666671</v>
      </c>
      <c r="AQ6" s="37">
        <f>'Daily  CEM - 2'!H7</f>
        <v>20.6</v>
      </c>
      <c r="AR6" s="33">
        <f>'Daily  CEM - 2'!C7</f>
        <v>1201</v>
      </c>
      <c r="AS6" s="34">
        <f t="shared" si="6"/>
        <v>58.300970873786405</v>
      </c>
      <c r="AT6" s="37">
        <f>'Daily  CEM - 2'!I7</f>
        <v>0</v>
      </c>
      <c r="AU6" s="33">
        <f>'Daily  CEM - 2'!D7</f>
        <v>0</v>
      </c>
      <c r="AV6" s="34" t="e">
        <f t="shared" si="7"/>
        <v>#DIV/0!</v>
      </c>
      <c r="AW6" s="61">
        <f>'Daily  CEM - 2'!J7</f>
        <v>0</v>
      </c>
      <c r="AX6" s="61">
        <f>'Daily  CEM - 2'!E7</f>
        <v>0</v>
      </c>
      <c r="AY6" s="197" t="e">
        <f t="shared" si="15"/>
        <v>#DIV/0!</v>
      </c>
      <c r="AZ6" s="61">
        <f>'Daily  CEM - 2'!K7</f>
        <v>0</v>
      </c>
      <c r="BA6" s="61">
        <f>'Daily  CEM - 2'!F7</f>
        <v>0</v>
      </c>
      <c r="BB6" s="60" t="e">
        <f t="shared" si="16"/>
        <v>#DIV/0!</v>
      </c>
      <c r="BC6" s="61">
        <f>'Daily  CEM - 2'!L7</f>
        <v>0</v>
      </c>
      <c r="BD6" s="61">
        <f>'Daily  CEM - 2'!G7</f>
        <v>0</v>
      </c>
      <c r="BE6" s="60" t="e">
        <f t="shared" si="17"/>
        <v>#DIV/0!</v>
      </c>
      <c r="BF6" s="16">
        <f t="shared" si="18"/>
        <v>2733.6679999999787</v>
      </c>
      <c r="BG6" s="36">
        <f t="shared" si="19"/>
        <v>2374</v>
      </c>
      <c r="BH6" s="1">
        <v>2654.98</v>
      </c>
      <c r="BI6" s="18">
        <f>BF6+BG6-BH6-'Internal use cement'!F6</f>
        <v>2452.6879999999787</v>
      </c>
      <c r="BJ6" s="16">
        <f t="shared" si="20"/>
        <v>342.29999999999995</v>
      </c>
      <c r="BK6" s="36">
        <f t="shared" si="21"/>
        <v>0</v>
      </c>
      <c r="BL6" s="1">
        <v>124</v>
      </c>
      <c r="BM6" s="18">
        <f>BJ6+BK6-BL6-'Internal use cement'!AB6</f>
        <v>218.29999999999995</v>
      </c>
      <c r="BN6" s="18">
        <f t="shared" si="39"/>
        <v>9.0000000000849845E-2</v>
      </c>
      <c r="BO6" s="63">
        <f t="shared" ref="BO6:BO33" si="45">AI6+AX6</f>
        <v>0</v>
      </c>
      <c r="BP6" s="1">
        <v>0</v>
      </c>
      <c r="BQ6" s="66">
        <f>BN6+BO6-BP6-'Internal use cement'!Q6</f>
        <v>9.0000000000849845E-2</v>
      </c>
      <c r="BR6" s="18">
        <f t="shared" si="40"/>
        <v>334.70000000000005</v>
      </c>
      <c r="BS6" s="63">
        <f t="shared" si="23"/>
        <v>0</v>
      </c>
      <c r="BT6" s="1">
        <v>212</v>
      </c>
      <c r="BU6" s="66">
        <f>BR6+BS6-BT6-'Internal use cement'!AG6</f>
        <v>122.70000000000005</v>
      </c>
      <c r="BV6" s="66">
        <f t="shared" si="41"/>
        <v>229.26000000000016</v>
      </c>
      <c r="BW6" s="34">
        <f>AO6+BD6</f>
        <v>212</v>
      </c>
      <c r="BX6" s="1">
        <v>119.76</v>
      </c>
      <c r="BY6" s="66">
        <f>BV6+BW6-BX6-'Internal use cement'!AO6</f>
        <v>321.50000000000017</v>
      </c>
      <c r="BZ6" s="1">
        <v>1600</v>
      </c>
      <c r="CA6" s="1">
        <v>1867</v>
      </c>
      <c r="CB6" s="1">
        <v>149</v>
      </c>
      <c r="CC6" s="1">
        <f t="shared" si="42"/>
        <v>3616</v>
      </c>
      <c r="CD6" s="15">
        <f t="shared" si="25"/>
        <v>3115.2779999999793</v>
      </c>
      <c r="CE6" s="269">
        <f t="shared" si="43"/>
        <v>500.72200000002067</v>
      </c>
      <c r="CF6" s="15">
        <f t="shared" si="26"/>
        <v>3110.7400000000002</v>
      </c>
      <c r="CG6" s="15">
        <f t="shared" si="27"/>
        <v>2586</v>
      </c>
      <c r="CH6" s="270">
        <f>J6-I6</f>
        <v>466.60998316248151</v>
      </c>
      <c r="CJ6" s="52">
        <f t="shared" si="8"/>
        <v>18.23</v>
      </c>
      <c r="CK6" s="1">
        <v>4</v>
      </c>
      <c r="CL6" s="1">
        <f t="shared" si="29"/>
        <v>2.6700000000000017</v>
      </c>
      <c r="CM6" s="1">
        <f t="shared" si="30"/>
        <v>4.3000000000000007</v>
      </c>
      <c r="CN6" s="15">
        <f t="shared" si="31"/>
        <v>2.7699999999999996</v>
      </c>
      <c r="CO6" s="15">
        <f t="shared" si="32"/>
        <v>3.3999999999999986</v>
      </c>
      <c r="CP6" s="1">
        <f t="shared" si="33"/>
        <v>0</v>
      </c>
      <c r="CQ6" s="2">
        <v>4</v>
      </c>
      <c r="CR6" s="15">
        <f t="shared" si="34"/>
        <v>1201</v>
      </c>
      <c r="CS6" s="15">
        <f>'Daily CEM-1'!H7+'Daily CEM-1'!I7+'Daily CEM-1'!J7+'Daily CEM-1'!K7+'Daily CEM-1'!L7</f>
        <v>21.23</v>
      </c>
      <c r="CT6" s="15">
        <f>AQ6+AT6+AW6+'Daily  CEM - 2'!K7+'Daily  CEM - 2'!L7</f>
        <v>20.6</v>
      </c>
      <c r="CU6" s="52">
        <f t="shared" si="35"/>
        <v>2.7699999999999996</v>
      </c>
      <c r="CW6" s="52">
        <f t="shared" si="36"/>
        <v>2958.06</v>
      </c>
      <c r="CX6" s="52">
        <v>4</v>
      </c>
      <c r="CZ6">
        <f t="shared" si="37"/>
        <v>2958.06</v>
      </c>
    </row>
    <row r="7" spans="2:104">
      <c r="B7" s="4">
        <v>5</v>
      </c>
      <c r="C7" s="1">
        <v>21.58</v>
      </c>
      <c r="D7" s="34">
        <f>'Mines (2)'!D7+'Mines (2)'!I7+'Mines (2)'!W7+'Mines (2)'!AA7+'Mines (2)'!AE7</f>
        <v>3164.6400000000003</v>
      </c>
      <c r="E7" s="169">
        <f>'Mines (2)'!E7+'Mines (2)'!J7+'Mines (2)'!X7+'Mines (2)'!AB7+'Mines (2)'!AF7</f>
        <v>2777</v>
      </c>
      <c r="F7" s="34">
        <f t="shared" si="44"/>
        <v>146.64689527340133</v>
      </c>
      <c r="G7" s="1">
        <v>19.100000000000001</v>
      </c>
      <c r="H7" s="16">
        <f t="shared" si="38"/>
        <v>1013.3900168375185</v>
      </c>
      <c r="I7" s="299">
        <f t="shared" si="9"/>
        <v>1013.2800168375184</v>
      </c>
      <c r="J7" s="1">
        <v>943</v>
      </c>
      <c r="K7" s="36">
        <f t="shared" si="0"/>
        <v>2619.5</v>
      </c>
      <c r="L7" s="36">
        <f>Clinker!EK7*1.55</f>
        <v>2619.5</v>
      </c>
      <c r="M7" s="36">
        <v>0</v>
      </c>
      <c r="N7" s="1">
        <v>2439</v>
      </c>
      <c r="O7" s="34">
        <f t="shared" si="1"/>
        <v>127.69633507853402</v>
      </c>
      <c r="P7" s="1">
        <v>18</v>
      </c>
      <c r="Q7" s="1">
        <v>180.39</v>
      </c>
      <c r="R7" s="15">
        <f t="shared" si="10"/>
        <v>10.021666666666667</v>
      </c>
      <c r="S7" s="1">
        <v>18</v>
      </c>
      <c r="T7" s="16">
        <f t="shared" si="11"/>
        <v>43.209999999999809</v>
      </c>
      <c r="U7" s="1">
        <v>263</v>
      </c>
      <c r="V7" s="1">
        <v>252</v>
      </c>
      <c r="W7" s="18">
        <f t="shared" si="2"/>
        <v>54.209999999999809</v>
      </c>
      <c r="X7" s="34">
        <f t="shared" si="3"/>
        <v>14.611111111111111</v>
      </c>
      <c r="Y7" s="1">
        <v>24</v>
      </c>
      <c r="Z7" s="33">
        <f>Clinker!EK7</f>
        <v>1690</v>
      </c>
      <c r="AA7" s="34">
        <f t="shared" si="4"/>
        <v>70.416666666666671</v>
      </c>
      <c r="AB7" s="37">
        <f>'Daily CEM-1'!H8</f>
        <v>22.2</v>
      </c>
      <c r="AC7" s="33">
        <f>'Daily CEM-1'!C8</f>
        <v>1462</v>
      </c>
      <c r="AD7" s="34">
        <f>AC7/AB7</f>
        <v>65.855855855855864</v>
      </c>
      <c r="AE7" s="37">
        <f>'Daily CEM-1'!I8</f>
        <v>0</v>
      </c>
      <c r="AF7" s="33">
        <f>'Daily CEM-1'!D8</f>
        <v>0</v>
      </c>
      <c r="AG7" s="34" t="e">
        <f t="shared" si="12"/>
        <v>#DIV/0!</v>
      </c>
      <c r="AH7" s="61">
        <f>'Daily CEM-1'!J8</f>
        <v>0</v>
      </c>
      <c r="AI7" s="61">
        <f>'Daily CEM-1'!E8</f>
        <v>0</v>
      </c>
      <c r="AJ7" s="61"/>
      <c r="AK7" s="61">
        <f>'Daily CEM-1'!K8</f>
        <v>0</v>
      </c>
      <c r="AL7" s="61">
        <f>'Daily CEM-1'!F8</f>
        <v>0</v>
      </c>
      <c r="AM7" s="61" t="e">
        <f t="shared" si="13"/>
        <v>#DIV/0!</v>
      </c>
      <c r="AN7" s="60">
        <f>'Daily CEM-1'!L8</f>
        <v>0</v>
      </c>
      <c r="AO7" s="60">
        <f>'Daily CEM-1'!G8</f>
        <v>0</v>
      </c>
      <c r="AP7" s="60" t="e">
        <f t="shared" si="14"/>
        <v>#DIV/0!</v>
      </c>
      <c r="AQ7" s="37">
        <f>'Daily  CEM - 2'!H8</f>
        <v>15.92</v>
      </c>
      <c r="AR7" s="33">
        <f>'Daily  CEM - 2'!C8</f>
        <v>898</v>
      </c>
      <c r="AS7" s="34">
        <f t="shared" si="6"/>
        <v>56.4070351758794</v>
      </c>
      <c r="AT7" s="37">
        <f>'Daily  CEM - 2'!I8</f>
        <v>0</v>
      </c>
      <c r="AU7" s="33">
        <f>'Daily  CEM - 2'!D8</f>
        <v>0</v>
      </c>
      <c r="AV7" s="34" t="e">
        <f t="shared" si="7"/>
        <v>#DIV/0!</v>
      </c>
      <c r="AW7" s="61">
        <f>'Daily  CEM - 2'!J8</f>
        <v>0</v>
      </c>
      <c r="AX7" s="61">
        <f>'Daily  CEM - 2'!E8</f>
        <v>0</v>
      </c>
      <c r="AY7" s="197" t="e">
        <f t="shared" si="15"/>
        <v>#DIV/0!</v>
      </c>
      <c r="AZ7" s="61">
        <f>'Daily  CEM - 2'!K8</f>
        <v>0</v>
      </c>
      <c r="BA7" s="61">
        <f>'Daily  CEM - 2'!F8</f>
        <v>0</v>
      </c>
      <c r="BB7" s="60" t="e">
        <f t="shared" si="16"/>
        <v>#DIV/0!</v>
      </c>
      <c r="BC7" s="61">
        <f>'Daily  CEM - 2'!L8</f>
        <v>0</v>
      </c>
      <c r="BD7" s="61">
        <f>'Daily  CEM - 2'!G8</f>
        <v>0</v>
      </c>
      <c r="BE7" s="60" t="e">
        <f t="shared" si="17"/>
        <v>#DIV/0!</v>
      </c>
      <c r="BF7" s="16">
        <f t="shared" si="18"/>
        <v>2452.6879999999787</v>
      </c>
      <c r="BG7" s="36">
        <f t="shared" si="19"/>
        <v>2360</v>
      </c>
      <c r="BH7" s="1">
        <v>2712.96</v>
      </c>
      <c r="BI7" s="18">
        <f>BF7+BG7-BH7-'Internal use cement'!F7</f>
        <v>2099.7279999999782</v>
      </c>
      <c r="BJ7" s="16">
        <f t="shared" si="20"/>
        <v>218.29999999999995</v>
      </c>
      <c r="BK7" s="36">
        <f t="shared" si="21"/>
        <v>0</v>
      </c>
      <c r="BL7" s="1">
        <v>30</v>
      </c>
      <c r="BM7" s="18">
        <f>BJ7+BK7-BL7-'Internal use cement'!AB7</f>
        <v>188.29999999999995</v>
      </c>
      <c r="BN7" s="18">
        <f t="shared" si="39"/>
        <v>9.0000000000849845E-2</v>
      </c>
      <c r="BO7" s="63">
        <f t="shared" si="45"/>
        <v>0</v>
      </c>
      <c r="BP7" s="1">
        <v>0</v>
      </c>
      <c r="BQ7" s="66">
        <f>BN7+BO7-BP7-'Internal use cement'!Q7</f>
        <v>9.0000000000849845E-2</v>
      </c>
      <c r="BR7" s="18">
        <f t="shared" si="40"/>
        <v>122.70000000000005</v>
      </c>
      <c r="BS7" s="63">
        <f>BA7+AL7</f>
        <v>0</v>
      </c>
      <c r="BT7" s="1">
        <v>30</v>
      </c>
      <c r="BU7" s="66">
        <f>BR7+BS7-BT7-'Internal use cement'!AG7</f>
        <v>92.700000000000045</v>
      </c>
      <c r="BV7" s="66">
        <f t="shared" si="41"/>
        <v>321.50000000000017</v>
      </c>
      <c r="BW7" s="34">
        <f>AO7+BD7</f>
        <v>0</v>
      </c>
      <c r="BX7" s="1">
        <v>120.84</v>
      </c>
      <c r="BY7" s="66">
        <f>BV7+BW7-BX7-'Internal use cement'!AO7</f>
        <v>200.66000000000017</v>
      </c>
      <c r="BZ7" s="1">
        <v>1435</v>
      </c>
      <c r="CA7" s="1">
        <v>1624</v>
      </c>
      <c r="CB7" s="1">
        <v>144</v>
      </c>
      <c r="CC7" s="1">
        <f t="shared" si="42"/>
        <v>3203</v>
      </c>
      <c r="CD7" s="15">
        <f t="shared" si="25"/>
        <v>2581.4779999999796</v>
      </c>
      <c r="CE7" s="269">
        <f t="shared" si="43"/>
        <v>621.5220000000204</v>
      </c>
      <c r="CF7" s="15">
        <f t="shared" si="26"/>
        <v>2893.8</v>
      </c>
      <c r="CG7" s="15">
        <f t="shared" si="27"/>
        <v>2360</v>
      </c>
      <c r="CH7" s="270">
        <f t="shared" si="28"/>
        <v>-70.28001683751836</v>
      </c>
      <c r="CJ7" s="52">
        <f t="shared" si="8"/>
        <v>22.2</v>
      </c>
      <c r="CK7" s="1">
        <v>5</v>
      </c>
      <c r="CL7" s="1">
        <f t="shared" si="29"/>
        <v>4.8999999999999986</v>
      </c>
      <c r="CM7" s="1">
        <f t="shared" si="30"/>
        <v>6</v>
      </c>
      <c r="CN7" s="15">
        <f t="shared" si="31"/>
        <v>1.8000000000000007</v>
      </c>
      <c r="CO7" s="15">
        <f t="shared" si="32"/>
        <v>8.08</v>
      </c>
      <c r="CP7" s="1">
        <f t="shared" si="33"/>
        <v>0</v>
      </c>
      <c r="CQ7" s="2">
        <v>5</v>
      </c>
      <c r="CR7" s="15">
        <f t="shared" si="34"/>
        <v>898</v>
      </c>
      <c r="CS7" s="15">
        <f>'Daily CEM-1'!H8+'Daily CEM-1'!I8+'Daily CEM-1'!J8+'Daily CEM-1'!K8+'Daily CEM-1'!L8</f>
        <v>22.2</v>
      </c>
      <c r="CT7" s="15">
        <f>AQ7+AT7+AW7+'Daily  CEM - 2'!K8+'Daily  CEM - 2'!L8</f>
        <v>15.92</v>
      </c>
      <c r="CU7" s="52">
        <f t="shared" si="35"/>
        <v>1.8000000000000007</v>
      </c>
      <c r="CW7" s="52">
        <f t="shared" si="36"/>
        <v>2619.39</v>
      </c>
      <c r="CX7" s="52">
        <v>5</v>
      </c>
      <c r="CZ7">
        <f t="shared" si="37"/>
        <v>2619.39</v>
      </c>
    </row>
    <row r="8" spans="2:104">
      <c r="B8" s="4">
        <v>6</v>
      </c>
      <c r="C8" s="1">
        <v>20.57</v>
      </c>
      <c r="D8" s="34">
        <f>'Mines (2)'!D8+'Mines (2)'!I8+'Mines (2)'!W8+'Mines (2)'!AA8+'Mines (2)'!AE8</f>
        <v>3318.08</v>
      </c>
      <c r="E8" s="169">
        <f>'Mines (2)'!E8+'Mines (2)'!J8+'Mines (2)'!X8+'Mines (2)'!AB8+'Mines (2)'!AF8</f>
        <v>2377</v>
      </c>
      <c r="F8" s="34">
        <f t="shared" si="44"/>
        <v>161.30675741370928</v>
      </c>
      <c r="G8" s="1">
        <v>18.62</v>
      </c>
      <c r="H8" s="16">
        <f t="shared" si="38"/>
        <v>1013.2800168375184</v>
      </c>
      <c r="I8" s="299">
        <f t="shared" si="9"/>
        <v>922.4900168375184</v>
      </c>
      <c r="J8" s="1">
        <v>909</v>
      </c>
      <c r="K8" s="36">
        <f t="shared" si="0"/>
        <v>2332.75</v>
      </c>
      <c r="L8" s="36">
        <f>Clinker!EK8*1.55</f>
        <v>2332.75</v>
      </c>
      <c r="M8" s="36">
        <v>0</v>
      </c>
      <c r="N8" s="1">
        <v>2128</v>
      </c>
      <c r="O8" s="34">
        <f t="shared" si="1"/>
        <v>114.28571428571428</v>
      </c>
      <c r="P8" s="1">
        <v>16.25</v>
      </c>
      <c r="Q8" s="1">
        <v>113.96</v>
      </c>
      <c r="R8" s="15">
        <f>Q8/P8</f>
        <v>7.0129230769230766</v>
      </c>
      <c r="S8" s="1">
        <v>17.29</v>
      </c>
      <c r="T8" s="16">
        <f t="shared" si="11"/>
        <v>54.209999999999809</v>
      </c>
      <c r="U8" s="1">
        <v>239</v>
      </c>
      <c r="V8" s="1">
        <v>240</v>
      </c>
      <c r="W8" s="18">
        <f t="shared" si="2"/>
        <v>53.209999999999809</v>
      </c>
      <c r="X8" s="34">
        <f t="shared" si="3"/>
        <v>13.823019086176982</v>
      </c>
      <c r="Y8" s="1">
        <v>23.67</v>
      </c>
      <c r="Z8" s="33">
        <f>Clinker!EK8</f>
        <v>1505</v>
      </c>
      <c r="AA8" s="34">
        <f t="shared" si="4"/>
        <v>63.582594000844949</v>
      </c>
      <c r="AB8" s="37">
        <f>'Daily CEM-1'!H9</f>
        <v>16</v>
      </c>
      <c r="AC8" s="33">
        <f>'Daily CEM-1'!C9</f>
        <v>1129</v>
      </c>
      <c r="AD8" s="34">
        <f t="shared" si="5"/>
        <v>70.5625</v>
      </c>
      <c r="AE8" s="37">
        <f>'Daily CEM-1'!I9</f>
        <v>3</v>
      </c>
      <c r="AF8" s="33">
        <f>'Daily CEM-1'!D9</f>
        <v>207</v>
      </c>
      <c r="AG8" s="34">
        <f t="shared" si="12"/>
        <v>69</v>
      </c>
      <c r="AH8" s="61">
        <f>'Daily CEM-1'!J9</f>
        <v>0</v>
      </c>
      <c r="AI8" s="61">
        <f>'Daily CEM-1'!E9</f>
        <v>0</v>
      </c>
      <c r="AJ8" s="61"/>
      <c r="AK8" s="61">
        <f>'Daily CEM-1'!K9</f>
        <v>0</v>
      </c>
      <c r="AL8" s="61">
        <f>'Daily CEM-1'!F9</f>
        <v>0</v>
      </c>
      <c r="AM8" s="61" t="e">
        <f t="shared" si="13"/>
        <v>#DIV/0!</v>
      </c>
      <c r="AN8" s="60">
        <f>'Daily CEM-1'!L9</f>
        <v>5</v>
      </c>
      <c r="AO8" s="60">
        <f>'Daily CEM-1'!G9</f>
        <v>344</v>
      </c>
      <c r="AP8" s="60">
        <f t="shared" si="14"/>
        <v>68.8</v>
      </c>
      <c r="AQ8" s="37">
        <f>'Daily  CEM - 2'!H9</f>
        <v>9.7100000000000009</v>
      </c>
      <c r="AR8" s="33">
        <f>'Daily  CEM - 2'!C9</f>
        <v>598</v>
      </c>
      <c r="AS8" s="34">
        <f t="shared" si="6"/>
        <v>61.585993820803289</v>
      </c>
      <c r="AT8" s="37">
        <f>'Daily  CEM - 2'!I9</f>
        <v>0</v>
      </c>
      <c r="AU8" s="33">
        <f>'Daily  CEM - 2'!D9</f>
        <v>0</v>
      </c>
      <c r="AV8" s="34" t="e">
        <f t="shared" si="7"/>
        <v>#DIV/0!</v>
      </c>
      <c r="AW8" s="61">
        <f>'Daily  CEM - 2'!J9</f>
        <v>0</v>
      </c>
      <c r="AX8" s="61">
        <f>'Daily  CEM - 2'!E9</f>
        <v>0</v>
      </c>
      <c r="AY8" s="197" t="e">
        <f t="shared" si="15"/>
        <v>#DIV/0!</v>
      </c>
      <c r="AZ8" s="61">
        <f>'Daily  CEM - 2'!K9</f>
        <v>0</v>
      </c>
      <c r="BA8" s="61">
        <f>'Daily  CEM - 2'!F9</f>
        <v>0</v>
      </c>
      <c r="BB8" s="60" t="e">
        <f t="shared" si="16"/>
        <v>#DIV/0!</v>
      </c>
      <c r="BC8" s="61">
        <f>'Daily  CEM - 2'!L9</f>
        <v>0</v>
      </c>
      <c r="BD8" s="61">
        <f>'Daily  CEM - 2'!G9</f>
        <v>0</v>
      </c>
      <c r="BE8" s="60" t="e">
        <f t="shared" si="17"/>
        <v>#DIV/0!</v>
      </c>
      <c r="BF8" s="16">
        <f t="shared" si="18"/>
        <v>2099.7279999999782</v>
      </c>
      <c r="BG8" s="36">
        <f t="shared" si="19"/>
        <v>1727</v>
      </c>
      <c r="BH8" s="1">
        <v>2367.56</v>
      </c>
      <c r="BI8" s="18">
        <f>BF8+BG8-BH8-'Internal use cement'!F8</f>
        <v>1459.1679999999783</v>
      </c>
      <c r="BJ8" s="16">
        <f t="shared" si="20"/>
        <v>188.29999999999995</v>
      </c>
      <c r="BK8" s="36">
        <f t="shared" si="21"/>
        <v>207</v>
      </c>
      <c r="BL8" s="1">
        <v>216</v>
      </c>
      <c r="BM8" s="18">
        <f>BJ8+BK8-BL8-'Internal use cement'!AB8</f>
        <v>179.29999999999995</v>
      </c>
      <c r="BN8" s="18">
        <f t="shared" si="39"/>
        <v>9.0000000000849845E-2</v>
      </c>
      <c r="BO8" s="63">
        <f t="shared" si="45"/>
        <v>0</v>
      </c>
      <c r="BP8" s="1">
        <v>0</v>
      </c>
      <c r="BQ8" s="66">
        <f>BN8+BO8-BP8-'Internal use cement'!Q8</f>
        <v>9.0000000000849845E-2</v>
      </c>
      <c r="BR8" s="18">
        <f t="shared" si="40"/>
        <v>92.700000000000045</v>
      </c>
      <c r="BS8" s="63">
        <f t="shared" si="23"/>
        <v>0</v>
      </c>
      <c r="BT8" s="1">
        <v>0</v>
      </c>
      <c r="BU8" s="66">
        <f>BR8+BS8-BT8-'Internal use cement'!AG8</f>
        <v>92.700000000000045</v>
      </c>
      <c r="BV8" s="66">
        <f t="shared" si="41"/>
        <v>200.66000000000017</v>
      </c>
      <c r="BW8" s="34">
        <f t="shared" si="24"/>
        <v>344</v>
      </c>
      <c r="BX8" s="1">
        <v>265.57</v>
      </c>
      <c r="BY8" s="66">
        <f>BV8+BW8-BX8-'Internal use cement'!AO8</f>
        <v>279.0900000000002</v>
      </c>
      <c r="BZ8" s="1">
        <v>970</v>
      </c>
      <c r="CA8" s="1">
        <v>1485</v>
      </c>
      <c r="CB8" s="1">
        <v>143</v>
      </c>
      <c r="CC8" s="1">
        <f t="shared" si="42"/>
        <v>2598</v>
      </c>
      <c r="CD8" s="15">
        <f t="shared" si="25"/>
        <v>2010.3479999999793</v>
      </c>
      <c r="CE8" s="269">
        <f t="shared" si="43"/>
        <v>587.65200000002073</v>
      </c>
      <c r="CF8" s="15">
        <f t="shared" si="26"/>
        <v>2849.13</v>
      </c>
      <c r="CG8" s="15">
        <f t="shared" si="27"/>
        <v>2278</v>
      </c>
      <c r="CH8" s="270">
        <f t="shared" si="28"/>
        <v>-13.490016837518397</v>
      </c>
      <c r="CJ8" s="52">
        <f t="shared" si="8"/>
        <v>19</v>
      </c>
      <c r="CK8" s="1">
        <v>6</v>
      </c>
      <c r="CL8" s="1">
        <f t="shared" si="29"/>
        <v>5.379999999999999</v>
      </c>
      <c r="CM8" s="1">
        <f t="shared" si="30"/>
        <v>6.7100000000000009</v>
      </c>
      <c r="CN8" s="15">
        <f t="shared" si="31"/>
        <v>0</v>
      </c>
      <c r="CO8" s="15">
        <f t="shared" si="32"/>
        <v>14.29</v>
      </c>
      <c r="CP8" s="1">
        <f t="shared" si="33"/>
        <v>0.32999999999999829</v>
      </c>
      <c r="CQ8" s="2">
        <v>6</v>
      </c>
      <c r="CR8" s="15">
        <f t="shared" si="34"/>
        <v>598</v>
      </c>
      <c r="CS8" s="15">
        <f>'Daily CEM-1'!H9+'Daily CEM-1'!I9+'Daily CEM-1'!J9+'Daily CEM-1'!K9+'Daily CEM-1'!L9</f>
        <v>24</v>
      </c>
      <c r="CT8" s="15">
        <f>AQ8+AT8+AW8+'Daily  CEM - 2'!K9+'Daily  CEM - 2'!L9</f>
        <v>9.7100000000000009</v>
      </c>
      <c r="CU8" s="52">
        <f t="shared" si="35"/>
        <v>0</v>
      </c>
      <c r="CW8" s="52">
        <f t="shared" si="36"/>
        <v>2241.96</v>
      </c>
      <c r="CX8" s="52">
        <v>6</v>
      </c>
      <c r="CZ8">
        <f t="shared" si="37"/>
        <v>2241.96</v>
      </c>
    </row>
    <row r="9" spans="2:104">
      <c r="B9" s="4">
        <v>7</v>
      </c>
      <c r="C9" s="1">
        <v>18.399999999999999</v>
      </c>
      <c r="D9" s="34">
        <f>'Mines (2)'!D9+'Mines (2)'!I9+'Mines (2)'!W9+'Mines (2)'!AA9+'Mines (2)'!AE9</f>
        <v>2312.04</v>
      </c>
      <c r="E9" s="169">
        <f>'Mines (2)'!E9+'Mines (2)'!J9+'Mines (2)'!X9+'Mines (2)'!AB9+'Mines (2)'!AF9</f>
        <v>2410</v>
      </c>
      <c r="F9" s="34">
        <f t="shared" si="44"/>
        <v>125.65434782608696</v>
      </c>
      <c r="G9" s="1">
        <v>19.93</v>
      </c>
      <c r="H9" s="16">
        <f t="shared" si="38"/>
        <v>922.4900168375184</v>
      </c>
      <c r="I9" s="299">
        <f t="shared" si="9"/>
        <v>938.40001683751825</v>
      </c>
      <c r="J9" s="1">
        <v>867</v>
      </c>
      <c r="K9" s="36">
        <f t="shared" si="0"/>
        <v>2294</v>
      </c>
      <c r="L9" s="36">
        <f>Clinker!EK9*1.55</f>
        <v>2294</v>
      </c>
      <c r="M9" s="36">
        <v>0</v>
      </c>
      <c r="N9" s="1">
        <v>2180</v>
      </c>
      <c r="O9" s="34">
        <f t="shared" si="1"/>
        <v>109.38283993978926</v>
      </c>
      <c r="P9" s="1">
        <v>14.4</v>
      </c>
      <c r="Q9" s="1">
        <v>129.91</v>
      </c>
      <c r="R9" s="15">
        <f>Q9/P9</f>
        <v>9.0215277777777771</v>
      </c>
      <c r="S9" s="1">
        <v>16.45</v>
      </c>
      <c r="T9" s="16">
        <f t="shared" si="11"/>
        <v>53.209999999999809</v>
      </c>
      <c r="U9" s="1">
        <v>225</v>
      </c>
      <c r="V9" s="1">
        <v>225</v>
      </c>
      <c r="W9" s="18">
        <f t="shared" si="2"/>
        <v>53.209999999999809</v>
      </c>
      <c r="X9" s="34">
        <f t="shared" si="3"/>
        <v>13.677811550151976</v>
      </c>
      <c r="Y9" s="1">
        <v>24</v>
      </c>
      <c r="Z9" s="33">
        <f>Clinker!EK9</f>
        <v>1480</v>
      </c>
      <c r="AA9" s="34">
        <f t="shared" si="4"/>
        <v>61.666666666666664</v>
      </c>
      <c r="AB9" s="37">
        <f>'Daily CEM-1'!H10</f>
        <v>18.899999999999999</v>
      </c>
      <c r="AC9" s="33">
        <f>'Daily CEM-1'!C10</f>
        <v>1290</v>
      </c>
      <c r="AD9" s="34">
        <f t="shared" si="5"/>
        <v>68.253968253968253</v>
      </c>
      <c r="AE9" s="37">
        <f>'Daily CEM-1'!I10</f>
        <v>0</v>
      </c>
      <c r="AF9" s="33">
        <f>'Daily CEM-1'!D10</f>
        <v>0</v>
      </c>
      <c r="AG9" s="34" t="e">
        <f t="shared" si="12"/>
        <v>#DIV/0!</v>
      </c>
      <c r="AH9" s="61">
        <f>'Daily CEM-1'!J10</f>
        <v>0</v>
      </c>
      <c r="AI9" s="61">
        <f>'Daily CEM-1'!E10</f>
        <v>0</v>
      </c>
      <c r="AJ9" s="61"/>
      <c r="AK9" s="61">
        <f>'Daily CEM-1'!K10</f>
        <v>0</v>
      </c>
      <c r="AL9" s="61">
        <f>'Daily CEM-1'!F10</f>
        <v>0</v>
      </c>
      <c r="AM9" s="61" t="e">
        <f t="shared" si="13"/>
        <v>#DIV/0!</v>
      </c>
      <c r="AN9" s="60">
        <f>'Daily CEM-1'!L10</f>
        <v>2</v>
      </c>
      <c r="AO9" s="60">
        <f>'Daily CEM-1'!G10</f>
        <v>140</v>
      </c>
      <c r="AP9" s="60">
        <f t="shared" si="14"/>
        <v>70</v>
      </c>
      <c r="AQ9" s="37">
        <f>'Daily  CEM - 2'!H10</f>
        <v>0</v>
      </c>
      <c r="AR9" s="33">
        <f>'Daily  CEM - 2'!C10</f>
        <v>0</v>
      </c>
      <c r="AS9" s="34" t="e">
        <f t="shared" si="6"/>
        <v>#DIV/0!</v>
      </c>
      <c r="AT9" s="37">
        <f>'Daily  CEM - 2'!I10</f>
        <v>0</v>
      </c>
      <c r="AU9" s="33">
        <f>'Daily  CEM - 2'!D10</f>
        <v>0</v>
      </c>
      <c r="AV9" s="34" t="e">
        <f t="shared" si="7"/>
        <v>#DIV/0!</v>
      </c>
      <c r="AW9" s="61">
        <f>'Daily  CEM - 2'!J10</f>
        <v>0</v>
      </c>
      <c r="AX9" s="61">
        <f>'Daily  CEM - 2'!E10</f>
        <v>0</v>
      </c>
      <c r="AY9" s="197" t="e">
        <f t="shared" si="15"/>
        <v>#DIV/0!</v>
      </c>
      <c r="AZ9" s="61">
        <f>'Daily  CEM - 2'!K10</f>
        <v>0</v>
      </c>
      <c r="BA9" s="61">
        <f>'Daily  CEM - 2'!F10</f>
        <v>0</v>
      </c>
      <c r="BB9" s="60" t="e">
        <f t="shared" si="16"/>
        <v>#DIV/0!</v>
      </c>
      <c r="BC9" s="61">
        <f>'Daily  CEM - 2'!L10</f>
        <v>0</v>
      </c>
      <c r="BD9" s="61">
        <f>'Daily  CEM - 2'!G10</f>
        <v>0</v>
      </c>
      <c r="BE9" s="60" t="e">
        <f t="shared" si="17"/>
        <v>#DIV/0!</v>
      </c>
      <c r="BF9" s="16">
        <f t="shared" si="18"/>
        <v>1459.1679999999783</v>
      </c>
      <c r="BG9" s="36">
        <f t="shared" si="19"/>
        <v>1290</v>
      </c>
      <c r="BH9" s="1">
        <v>2327</v>
      </c>
      <c r="BI9" s="18">
        <f>BF9+BG9-BH9-'Internal use cement'!F9</f>
        <v>422.16799999997829</v>
      </c>
      <c r="BJ9" s="16">
        <f t="shared" si="20"/>
        <v>179.29999999999995</v>
      </c>
      <c r="BK9" s="36">
        <f t="shared" si="21"/>
        <v>0</v>
      </c>
      <c r="BL9" s="1">
        <v>0</v>
      </c>
      <c r="BM9" s="18">
        <f>BJ9+BK9-BL9-'Internal use cement'!AB9</f>
        <v>179.29999999999995</v>
      </c>
      <c r="BN9" s="18">
        <f t="shared" si="39"/>
        <v>9.0000000000849845E-2</v>
      </c>
      <c r="BO9" s="63">
        <f t="shared" si="45"/>
        <v>0</v>
      </c>
      <c r="BP9" s="1">
        <v>0</v>
      </c>
      <c r="BQ9" s="66">
        <f>BN9+BO9-BP9-'Internal use cement'!Q9</f>
        <v>9.0000000000849845E-2</v>
      </c>
      <c r="BR9" s="18">
        <f t="shared" si="40"/>
        <v>92.700000000000045</v>
      </c>
      <c r="BS9" s="63">
        <f t="shared" si="23"/>
        <v>0</v>
      </c>
      <c r="BT9" s="1">
        <v>0</v>
      </c>
      <c r="BU9" s="66">
        <f>BR9+BS9-BT9-'Internal use cement'!AG9</f>
        <v>92.700000000000045</v>
      </c>
      <c r="BV9" s="66">
        <f t="shared" si="41"/>
        <v>279.0900000000002</v>
      </c>
      <c r="BW9" s="34">
        <f t="shared" si="24"/>
        <v>140</v>
      </c>
      <c r="BX9" s="1">
        <v>314.89999999999998</v>
      </c>
      <c r="BY9" s="66">
        <f>BV9+BW9-BX9-'Internal use cement'!AO9</f>
        <v>104.19000000000023</v>
      </c>
      <c r="BZ9" s="1">
        <v>619</v>
      </c>
      <c r="CA9" s="1">
        <v>854</v>
      </c>
      <c r="CB9" s="1">
        <v>144</v>
      </c>
      <c r="CC9" s="1">
        <f>SUM(BZ9:CB9)</f>
        <v>1617</v>
      </c>
      <c r="CD9" s="15">
        <f t="shared" si="25"/>
        <v>798.4479999999794</v>
      </c>
      <c r="CE9" s="269">
        <f>CC9-CD9</f>
        <v>818.5520000000206</v>
      </c>
      <c r="CF9" s="15">
        <f t="shared" si="26"/>
        <v>2641.9</v>
      </c>
      <c r="CG9" s="15">
        <f t="shared" si="27"/>
        <v>1430</v>
      </c>
      <c r="CH9" s="270">
        <f t="shared" si="28"/>
        <v>-71.400016837518251</v>
      </c>
      <c r="CJ9" s="52">
        <f t="shared" si="8"/>
        <v>18.899999999999999</v>
      </c>
      <c r="CK9" s="1">
        <v>7</v>
      </c>
      <c r="CL9" s="1">
        <f t="shared" si="29"/>
        <v>4.07</v>
      </c>
      <c r="CM9" s="1">
        <f t="shared" si="30"/>
        <v>7.5500000000000007</v>
      </c>
      <c r="CN9" s="15">
        <f t="shared" si="31"/>
        <v>3.1000000000000014</v>
      </c>
      <c r="CO9" s="15">
        <f t="shared" si="32"/>
        <v>24</v>
      </c>
      <c r="CP9" s="1">
        <f t="shared" si="33"/>
        <v>0</v>
      </c>
      <c r="CQ9" s="2">
        <v>7</v>
      </c>
      <c r="CR9" s="15">
        <f t="shared" si="34"/>
        <v>0</v>
      </c>
      <c r="CS9" s="15">
        <f>'Daily CEM-1'!H10+'Daily CEM-1'!I10+'Daily CEM-1'!J10+'Daily CEM-1'!K10+'Daily CEM-1'!L10</f>
        <v>20.9</v>
      </c>
      <c r="CT9" s="15">
        <f>AQ9+AT9+AW9+'Daily  CEM - 2'!K10+'Daily  CEM - 2'!L10</f>
        <v>0</v>
      </c>
      <c r="CU9" s="52">
        <f t="shared" si="35"/>
        <v>3.1000000000000014</v>
      </c>
      <c r="CW9" s="52">
        <f t="shared" si="36"/>
        <v>2309.91</v>
      </c>
      <c r="CX9" s="52">
        <v>7</v>
      </c>
      <c r="CZ9">
        <f t="shared" si="37"/>
        <v>2309.91</v>
      </c>
    </row>
    <row r="10" spans="2:104">
      <c r="B10" s="4">
        <v>8</v>
      </c>
      <c r="C10" s="1">
        <v>19.899999999999999</v>
      </c>
      <c r="D10" s="34">
        <f>'Mines (2)'!D10+'Mines (2)'!I10+'Mines (2)'!W10+'Mines (2)'!AA10+'Mines (2)'!AE10</f>
        <v>2961.7200000000003</v>
      </c>
      <c r="E10" s="169">
        <f>'Mines (2)'!E10+'Mines (2)'!J10+'Mines (2)'!X10+'Mines (2)'!AB10+'Mines (2)'!AF10</f>
        <v>2283</v>
      </c>
      <c r="F10" s="34">
        <f t="shared" si="44"/>
        <v>148.83015075376886</v>
      </c>
      <c r="G10" s="1">
        <v>17.899999999999999</v>
      </c>
      <c r="H10" s="16">
        <f t="shared" si="38"/>
        <v>938.40001683751825</v>
      </c>
      <c r="I10" s="299">
        <f t="shared" si="9"/>
        <v>919.72001683751841</v>
      </c>
      <c r="J10" s="1">
        <v>724</v>
      </c>
      <c r="K10" s="36">
        <f t="shared" si="0"/>
        <v>2154.5</v>
      </c>
      <c r="L10" s="36">
        <f>Clinker!EK10*1.55</f>
        <v>2154.5</v>
      </c>
      <c r="M10" s="36">
        <v>0</v>
      </c>
      <c r="N10" s="1">
        <v>1986</v>
      </c>
      <c r="O10" s="34">
        <f t="shared" si="1"/>
        <v>110.94972067039107</v>
      </c>
      <c r="P10" s="1">
        <v>16.739999999999998</v>
      </c>
      <c r="Q10" s="1">
        <v>149.82</v>
      </c>
      <c r="R10" s="15">
        <f t="shared" si="10"/>
        <v>8.9498207885304666</v>
      </c>
      <c r="S10" s="1">
        <v>15.5</v>
      </c>
      <c r="T10" s="16">
        <f t="shared" si="11"/>
        <v>53.209999999999809</v>
      </c>
      <c r="U10" s="1">
        <v>210</v>
      </c>
      <c r="V10" s="1">
        <v>212</v>
      </c>
      <c r="W10" s="18">
        <f t="shared" si="2"/>
        <v>51.209999999999809</v>
      </c>
      <c r="X10" s="34">
        <f t="shared" si="3"/>
        <v>13.548387096774194</v>
      </c>
      <c r="Y10" s="1">
        <v>24</v>
      </c>
      <c r="Z10" s="33">
        <f>Clinker!EK10</f>
        <v>1390</v>
      </c>
      <c r="AA10" s="34">
        <f t="shared" si="4"/>
        <v>57.916666666666664</v>
      </c>
      <c r="AB10" s="37">
        <f>'Daily CEM-1'!H11</f>
        <v>20.02</v>
      </c>
      <c r="AC10" s="33">
        <f>'Daily CEM-1'!C11</f>
        <v>1349</v>
      </c>
      <c r="AD10" s="34">
        <f t="shared" si="5"/>
        <v>67.382617382617383</v>
      </c>
      <c r="AE10" s="37">
        <f>'Daily CEM-1'!I11</f>
        <v>0</v>
      </c>
      <c r="AF10" s="33">
        <f>'Daily CEM-1'!D11</f>
        <v>0</v>
      </c>
      <c r="AG10" s="34" t="e">
        <f t="shared" si="12"/>
        <v>#DIV/0!</v>
      </c>
      <c r="AH10" s="61">
        <f>'Daily CEM-1'!J11</f>
        <v>0</v>
      </c>
      <c r="AI10" s="61">
        <f>'Daily CEM-1'!E11</f>
        <v>0</v>
      </c>
      <c r="AJ10" s="61"/>
      <c r="AK10" s="61">
        <f>'Daily CEM-1'!K11</f>
        <v>0</v>
      </c>
      <c r="AL10" s="61">
        <f>'Daily CEM-1'!F11</f>
        <v>0</v>
      </c>
      <c r="AM10" s="61" t="e">
        <f t="shared" si="13"/>
        <v>#DIV/0!</v>
      </c>
      <c r="AN10" s="60">
        <f>'Daily CEM-1'!L11</f>
        <v>3</v>
      </c>
      <c r="AO10" s="60">
        <f>'Daily CEM-1'!G11</f>
        <v>211</v>
      </c>
      <c r="AP10" s="60">
        <f t="shared" si="14"/>
        <v>70.333333333333329</v>
      </c>
      <c r="AQ10" s="37">
        <f>'Daily  CEM - 2'!H11</f>
        <v>0</v>
      </c>
      <c r="AR10" s="33">
        <f>'Daily  CEM - 2'!C11</f>
        <v>0</v>
      </c>
      <c r="AS10" s="34" t="e">
        <f t="shared" si="6"/>
        <v>#DIV/0!</v>
      </c>
      <c r="AT10" s="37">
        <f>'Daily  CEM - 2'!I11</f>
        <v>0</v>
      </c>
      <c r="AU10" s="33">
        <f>'Daily  CEM - 2'!D11</f>
        <v>0</v>
      </c>
      <c r="AV10" s="34" t="e">
        <f t="shared" si="7"/>
        <v>#DIV/0!</v>
      </c>
      <c r="AW10" s="61">
        <f>'Daily  CEM - 2'!J11</f>
        <v>0</v>
      </c>
      <c r="AX10" s="61">
        <f>'Daily  CEM - 2'!E11</f>
        <v>0</v>
      </c>
      <c r="AY10" s="197" t="e">
        <f t="shared" si="15"/>
        <v>#DIV/0!</v>
      </c>
      <c r="AZ10" s="61">
        <f>'Daily  CEM - 2'!K11</f>
        <v>0</v>
      </c>
      <c r="BA10" s="61">
        <f>'Daily  CEM - 2'!F11</f>
        <v>0</v>
      </c>
      <c r="BB10" s="60" t="e">
        <f t="shared" si="16"/>
        <v>#DIV/0!</v>
      </c>
      <c r="BC10" s="61">
        <f>'Daily  CEM - 2'!L11</f>
        <v>0</v>
      </c>
      <c r="BD10" s="61">
        <f>'Daily  CEM - 2'!G11</f>
        <v>0</v>
      </c>
      <c r="BE10" s="60" t="e">
        <f t="shared" si="17"/>
        <v>#DIV/0!</v>
      </c>
      <c r="BF10" s="16">
        <f t="shared" si="18"/>
        <v>422.16799999997829</v>
      </c>
      <c r="BG10" s="36">
        <f t="shared" si="19"/>
        <v>1349</v>
      </c>
      <c r="BH10" s="1">
        <v>1570</v>
      </c>
      <c r="BI10" s="18">
        <f>BF10+BG10-BH10-'Internal use cement'!F10</f>
        <v>201.16799999997829</v>
      </c>
      <c r="BJ10" s="16">
        <f t="shared" si="20"/>
        <v>179.29999999999995</v>
      </c>
      <c r="BK10" s="36">
        <f t="shared" si="21"/>
        <v>0</v>
      </c>
      <c r="BL10" s="1">
        <v>120</v>
      </c>
      <c r="BM10" s="18">
        <f>BJ10+BK10-BL10-'Internal use cement'!AB10</f>
        <v>59.299999999999955</v>
      </c>
      <c r="BN10" s="18">
        <f t="shared" si="39"/>
        <v>9.0000000000849845E-2</v>
      </c>
      <c r="BO10" s="63">
        <f t="shared" si="45"/>
        <v>0</v>
      </c>
      <c r="BP10" s="1">
        <v>0</v>
      </c>
      <c r="BQ10" s="66">
        <f>BN10+BO10-BP10-'Internal use cement'!Q10</f>
        <v>9.0000000000849845E-2</v>
      </c>
      <c r="BR10" s="18">
        <f t="shared" si="40"/>
        <v>92.700000000000045</v>
      </c>
      <c r="BS10" s="63">
        <f t="shared" si="23"/>
        <v>0</v>
      </c>
      <c r="BT10" s="1">
        <v>62</v>
      </c>
      <c r="BU10" s="66">
        <f>BR10+BS10-BT10-'Internal use cement'!AG10</f>
        <v>30.700000000000045</v>
      </c>
      <c r="BV10" s="66">
        <f t="shared" si="41"/>
        <v>104.19000000000023</v>
      </c>
      <c r="BW10" s="34">
        <f t="shared" si="24"/>
        <v>211</v>
      </c>
      <c r="BX10" s="1">
        <v>243.76</v>
      </c>
      <c r="BY10" s="66">
        <f>BV10+BW10-BX10-'Internal use cement'!AO10</f>
        <v>71.430000000000234</v>
      </c>
      <c r="BZ10" s="1">
        <v>322</v>
      </c>
      <c r="CA10" s="1">
        <v>782</v>
      </c>
      <c r="CB10" s="1">
        <v>55</v>
      </c>
      <c r="CC10" s="1">
        <f t="shared" si="42"/>
        <v>1159</v>
      </c>
      <c r="CD10" s="15">
        <f t="shared" si="25"/>
        <v>362.68799999997935</v>
      </c>
      <c r="CE10" s="270">
        <f>CC10-CD10</f>
        <v>796.31200000002059</v>
      </c>
      <c r="CF10" s="15">
        <f t="shared" si="26"/>
        <v>1995.76</v>
      </c>
      <c r="CG10" s="15">
        <f t="shared" si="27"/>
        <v>1560</v>
      </c>
      <c r="CH10" s="270">
        <f t="shared" si="28"/>
        <v>-195.72001683751841</v>
      </c>
      <c r="CJ10" s="52">
        <f t="shared" si="8"/>
        <v>20.02</v>
      </c>
      <c r="CK10" s="1">
        <v>8</v>
      </c>
      <c r="CL10" s="1">
        <f t="shared" si="29"/>
        <v>6.1000000000000014</v>
      </c>
      <c r="CM10" s="1">
        <f t="shared" si="30"/>
        <v>8.5</v>
      </c>
      <c r="CN10" s="15">
        <f t="shared" si="31"/>
        <v>0.98000000000000043</v>
      </c>
      <c r="CO10" s="15">
        <f t="shared" si="32"/>
        <v>24</v>
      </c>
      <c r="CP10" s="1">
        <f t="shared" si="33"/>
        <v>0</v>
      </c>
      <c r="CQ10" s="2">
        <v>8</v>
      </c>
      <c r="CR10" s="15">
        <f t="shared" si="34"/>
        <v>0</v>
      </c>
      <c r="CS10" s="15">
        <f>'Daily CEM-1'!H11+'Daily CEM-1'!I11+'Daily CEM-1'!J11+'Daily CEM-1'!K11+'Daily CEM-1'!L11</f>
        <v>23.02</v>
      </c>
      <c r="CT10" s="15">
        <f>AQ10+AT10+AW10+'Daily  CEM - 2'!K11+'Daily  CEM - 2'!L11</f>
        <v>0</v>
      </c>
      <c r="CU10" s="52">
        <f t="shared" si="35"/>
        <v>0.98000000000000043</v>
      </c>
      <c r="CW10" s="52">
        <f t="shared" si="36"/>
        <v>2135.8200000000002</v>
      </c>
      <c r="CX10" s="52">
        <v>8</v>
      </c>
      <c r="CZ10">
        <f t="shared" si="37"/>
        <v>2135.8200000000002</v>
      </c>
    </row>
    <row r="11" spans="2:104">
      <c r="B11" s="4">
        <v>9</v>
      </c>
      <c r="C11" s="1">
        <v>19.5</v>
      </c>
      <c r="D11" s="34">
        <f>'Mines (2)'!D11+'Mines (2)'!I11+'Mines (2)'!W11+'Mines (2)'!AA11+'Mines (2)'!AE11</f>
        <v>3166.5</v>
      </c>
      <c r="E11" s="169">
        <f>'Mines (2)'!E11+'Mines (2)'!J11+'Mines (2)'!X11+'Mines (2)'!AB11+'Mines (2)'!AF11</f>
        <v>2350</v>
      </c>
      <c r="F11" s="34">
        <f t="shared" si="44"/>
        <v>162.38461538461539</v>
      </c>
      <c r="G11" s="1">
        <v>17.899999999999999</v>
      </c>
      <c r="H11" s="16">
        <f t="shared" si="38"/>
        <v>919.72001683751841</v>
      </c>
      <c r="I11" s="299">
        <f t="shared" si="9"/>
        <v>919.41001683751847</v>
      </c>
      <c r="J11" s="1">
        <v>667</v>
      </c>
      <c r="K11" s="36">
        <f t="shared" si="0"/>
        <v>2216.5</v>
      </c>
      <c r="L11" s="36">
        <f>Clinker!EK11*1.55</f>
        <v>2216.5</v>
      </c>
      <c r="M11" s="36">
        <v>0</v>
      </c>
      <c r="N11" s="1">
        <v>2021</v>
      </c>
      <c r="O11" s="34">
        <f t="shared" si="1"/>
        <v>112.90502793296091</v>
      </c>
      <c r="P11" s="1">
        <v>22.83</v>
      </c>
      <c r="Q11" s="1">
        <v>195.19</v>
      </c>
      <c r="R11" s="15">
        <f t="shared" si="10"/>
        <v>8.5497152869031989</v>
      </c>
      <c r="S11" s="1">
        <v>17</v>
      </c>
      <c r="T11" s="16">
        <f t="shared" si="11"/>
        <v>51.209999999999809</v>
      </c>
      <c r="U11" s="1">
        <v>225</v>
      </c>
      <c r="V11" s="1">
        <v>225</v>
      </c>
      <c r="W11" s="18">
        <f t="shared" si="2"/>
        <v>51.209999999999809</v>
      </c>
      <c r="X11" s="34">
        <f>U11/S11</f>
        <v>13.235294117647058</v>
      </c>
      <c r="Y11" s="1">
        <v>24</v>
      </c>
      <c r="Z11" s="33">
        <f>Clinker!EK11</f>
        <v>1430</v>
      </c>
      <c r="AA11" s="34">
        <f t="shared" si="4"/>
        <v>59.583333333333336</v>
      </c>
      <c r="AB11" s="37">
        <f>'Daily CEM-1'!H12</f>
        <v>20</v>
      </c>
      <c r="AC11" s="33">
        <f>'Daily CEM-1'!C12</f>
        <v>1354</v>
      </c>
      <c r="AD11" s="34">
        <f t="shared" si="5"/>
        <v>67.7</v>
      </c>
      <c r="AE11" s="37">
        <f>'Daily CEM-1'!I12</f>
        <v>2</v>
      </c>
      <c r="AF11" s="33">
        <f>'Daily CEM-1'!D12</f>
        <v>142</v>
      </c>
      <c r="AG11" s="34">
        <f t="shared" si="12"/>
        <v>71</v>
      </c>
      <c r="AH11" s="61">
        <f>'Daily CEM-1'!J12</f>
        <v>0</v>
      </c>
      <c r="AI11" s="61">
        <f>'Daily CEM-1'!E12</f>
        <v>0</v>
      </c>
      <c r="AJ11" s="61"/>
      <c r="AK11" s="61">
        <f>'Daily CEM-1'!K12</f>
        <v>1</v>
      </c>
      <c r="AL11" s="61">
        <f>'Daily CEM-1'!F12</f>
        <v>65</v>
      </c>
      <c r="AM11" s="61">
        <f t="shared" si="13"/>
        <v>65</v>
      </c>
      <c r="AN11" s="60">
        <f>'Daily CEM-1'!L12</f>
        <v>1</v>
      </c>
      <c r="AO11" s="60">
        <f>'Daily CEM-1'!G12</f>
        <v>71</v>
      </c>
      <c r="AP11" s="60">
        <f t="shared" si="14"/>
        <v>71</v>
      </c>
      <c r="AQ11" s="37">
        <f>'Daily  CEM - 2'!H12</f>
        <v>0</v>
      </c>
      <c r="AR11" s="33">
        <f>'Daily  CEM - 2'!C12</f>
        <v>0</v>
      </c>
      <c r="AS11" s="34" t="e">
        <f t="shared" si="6"/>
        <v>#DIV/0!</v>
      </c>
      <c r="AT11" s="37">
        <f>'Daily  CEM - 2'!I12</f>
        <v>0</v>
      </c>
      <c r="AU11" s="33">
        <f>'Daily  CEM - 2'!D12</f>
        <v>0</v>
      </c>
      <c r="AV11" s="34" t="e">
        <f t="shared" si="7"/>
        <v>#DIV/0!</v>
      </c>
      <c r="AW11" s="61">
        <f>'Daily  CEM - 2'!J12</f>
        <v>0</v>
      </c>
      <c r="AX11" s="61">
        <f>'Daily  CEM - 2'!E12</f>
        <v>0</v>
      </c>
      <c r="AY11" s="197" t="e">
        <f t="shared" si="15"/>
        <v>#DIV/0!</v>
      </c>
      <c r="AZ11" s="61">
        <f>'Daily  CEM - 2'!K12</f>
        <v>1.47</v>
      </c>
      <c r="BA11" s="61">
        <f>'Daily  CEM - 2'!F12</f>
        <v>85</v>
      </c>
      <c r="BB11" s="60">
        <f t="shared" si="16"/>
        <v>57.823129251700678</v>
      </c>
      <c r="BC11" s="61">
        <f>'Daily  CEM - 2'!L12</f>
        <v>0</v>
      </c>
      <c r="BD11" s="61">
        <f>'Daily  CEM - 2'!G12</f>
        <v>0</v>
      </c>
      <c r="BE11" s="60" t="e">
        <f t="shared" si="17"/>
        <v>#DIV/0!</v>
      </c>
      <c r="BF11" s="16">
        <f t="shared" si="18"/>
        <v>201.16799999997829</v>
      </c>
      <c r="BG11" s="36">
        <f t="shared" si="19"/>
        <v>1354</v>
      </c>
      <c r="BH11" s="1">
        <v>1508.94</v>
      </c>
      <c r="BI11" s="18">
        <f>BF11+BG11-BH11-'Internal use cement'!F11</f>
        <v>46.227999999978238</v>
      </c>
      <c r="BJ11" s="16">
        <f t="shared" si="20"/>
        <v>59.299999999999955</v>
      </c>
      <c r="BK11" s="36">
        <f t="shared" si="21"/>
        <v>142</v>
      </c>
      <c r="BL11" s="1">
        <v>177</v>
      </c>
      <c r="BM11" s="18">
        <f>BJ11+BK11-BL11-'Internal use cement'!AB11</f>
        <v>24.299999999999955</v>
      </c>
      <c r="BN11" s="18">
        <f t="shared" si="39"/>
        <v>9.0000000000849845E-2</v>
      </c>
      <c r="BO11" s="63">
        <f t="shared" si="45"/>
        <v>0</v>
      </c>
      <c r="BP11" s="318">
        <v>0</v>
      </c>
      <c r="BQ11" s="66">
        <f>BN11+BO11-BP11-'Internal use cement'!Q11</f>
        <v>9.0000000000849845E-2</v>
      </c>
      <c r="BR11" s="18">
        <f t="shared" si="40"/>
        <v>30.700000000000045</v>
      </c>
      <c r="BS11" s="63">
        <f t="shared" si="23"/>
        <v>150</v>
      </c>
      <c r="BT11" s="1">
        <v>60</v>
      </c>
      <c r="BU11" s="66">
        <f>BR11+BS11-BT11-'Internal use cement'!AG11</f>
        <v>120.70000000000005</v>
      </c>
      <c r="BV11" s="66">
        <f t="shared" si="41"/>
        <v>71.430000000000234</v>
      </c>
      <c r="BW11" s="34">
        <f t="shared" si="24"/>
        <v>71</v>
      </c>
      <c r="BX11" s="1">
        <v>89.96</v>
      </c>
      <c r="BY11" s="66">
        <f>BV11+BW11-BX11-'Internal use cement'!AO11</f>
        <v>52.47000000000024</v>
      </c>
      <c r="BZ11" s="1">
        <v>285</v>
      </c>
      <c r="CA11" s="1">
        <v>664</v>
      </c>
      <c r="CB11" s="1">
        <v>26</v>
      </c>
      <c r="CC11" s="1">
        <f t="shared" si="42"/>
        <v>975</v>
      </c>
      <c r="CD11" s="15">
        <f t="shared" si="25"/>
        <v>243.78799999997932</v>
      </c>
      <c r="CE11" s="269">
        <f t="shared" ref="CE11:CE28" si="46">CC11-CD11</f>
        <v>731.21200000002068</v>
      </c>
      <c r="CF11" s="15">
        <f t="shared" si="26"/>
        <v>1835.9</v>
      </c>
      <c r="CG11" s="15">
        <f t="shared" si="27"/>
        <v>1717</v>
      </c>
      <c r="CH11" s="270">
        <f t="shared" si="28"/>
        <v>-252.41001683751847</v>
      </c>
      <c r="CJ11" s="52">
        <f t="shared" si="8"/>
        <v>22</v>
      </c>
      <c r="CK11" s="1">
        <v>9</v>
      </c>
      <c r="CL11" s="1">
        <f t="shared" si="29"/>
        <v>6.1000000000000014</v>
      </c>
      <c r="CM11" s="1">
        <f t="shared" si="30"/>
        <v>7</v>
      </c>
      <c r="CN11" s="15">
        <f t="shared" si="31"/>
        <v>0</v>
      </c>
      <c r="CO11" s="15">
        <f t="shared" si="32"/>
        <v>22.53</v>
      </c>
      <c r="CP11" s="1">
        <f t="shared" si="33"/>
        <v>0</v>
      </c>
      <c r="CQ11" s="2">
        <v>9</v>
      </c>
      <c r="CR11" s="15">
        <f t="shared" si="34"/>
        <v>0</v>
      </c>
      <c r="CS11" s="15">
        <f>'Daily CEM-1'!H12+'Daily CEM-1'!I12+'Daily CEM-1'!J12+'Daily CEM-1'!K12+'Daily CEM-1'!L12</f>
        <v>24</v>
      </c>
      <c r="CT11" s="15">
        <f>AQ11+AT11+AW11+'Daily  CEM - 2'!K12+'Daily  CEM - 2'!L12</f>
        <v>1.47</v>
      </c>
      <c r="CU11" s="52">
        <f t="shared" si="35"/>
        <v>0</v>
      </c>
      <c r="CW11" s="52">
        <f t="shared" si="36"/>
        <v>2216.19</v>
      </c>
      <c r="CX11" s="52">
        <v>9</v>
      </c>
      <c r="CZ11">
        <f t="shared" si="37"/>
        <v>2216.19</v>
      </c>
    </row>
    <row r="12" spans="2:104">
      <c r="B12" s="4">
        <v>10</v>
      </c>
      <c r="C12" s="1">
        <v>20.62</v>
      </c>
      <c r="D12" s="34">
        <f>'Mines (2)'!D12+'Mines (2)'!I12+'Mines (2)'!W12+'Mines (2)'!AA12+'Mines (2)'!AE12</f>
        <v>3104.7</v>
      </c>
      <c r="E12" s="169">
        <f>'Mines (2)'!E12+'Mines (2)'!J12+'Mines (2)'!X12+'Mines (2)'!AB12+'Mines (2)'!AF12</f>
        <v>3004</v>
      </c>
      <c r="F12" s="34">
        <f t="shared" si="44"/>
        <v>150.5674102812803</v>
      </c>
      <c r="G12" s="1">
        <v>22.92</v>
      </c>
      <c r="H12" s="16">
        <f t="shared" si="38"/>
        <v>919.41001683751847</v>
      </c>
      <c r="I12" s="299">
        <f t="shared" si="9"/>
        <v>1428.4600168375187</v>
      </c>
      <c r="J12" s="1">
        <v>1335</v>
      </c>
      <c r="K12" s="36">
        <f t="shared" si="0"/>
        <v>2340.5</v>
      </c>
      <c r="L12" s="36">
        <f>Clinker!EK12*1.55</f>
        <v>2340.5</v>
      </c>
      <c r="M12" s="36">
        <v>0</v>
      </c>
      <c r="N12" s="1">
        <v>2681</v>
      </c>
      <c r="O12" s="34">
        <f t="shared" si="1"/>
        <v>116.97207678883071</v>
      </c>
      <c r="P12" s="1">
        <v>18.68</v>
      </c>
      <c r="Q12" s="1">
        <v>168.55</v>
      </c>
      <c r="R12" s="15">
        <f t="shared" si="10"/>
        <v>9.0230192719486091</v>
      </c>
      <c r="S12" s="1">
        <v>18</v>
      </c>
      <c r="T12" s="16">
        <f t="shared" si="11"/>
        <v>51.209999999999809</v>
      </c>
      <c r="U12" s="1">
        <v>234</v>
      </c>
      <c r="V12" s="1">
        <v>233</v>
      </c>
      <c r="W12" s="18">
        <f t="shared" si="2"/>
        <v>52.209999999999809</v>
      </c>
      <c r="X12" s="34">
        <f t="shared" si="3"/>
        <v>13</v>
      </c>
      <c r="Y12" s="1">
        <v>24</v>
      </c>
      <c r="Z12" s="33">
        <f>Clinker!EK12</f>
        <v>1510</v>
      </c>
      <c r="AA12" s="34">
        <f t="shared" si="4"/>
        <v>62.916666666666664</v>
      </c>
      <c r="AB12" s="37">
        <f>'Daily CEM-1'!H13</f>
        <v>17.37</v>
      </c>
      <c r="AC12" s="33">
        <f>'Daily CEM-1'!C13</f>
        <v>1100</v>
      </c>
      <c r="AD12" s="34">
        <f t="shared" si="5"/>
        <v>63.32757628094415</v>
      </c>
      <c r="AE12" s="37">
        <f>'Daily CEM-1'!I13</f>
        <v>2</v>
      </c>
      <c r="AF12" s="33">
        <f>'Daily CEM-1'!D13</f>
        <v>140</v>
      </c>
      <c r="AG12" s="34">
        <f t="shared" si="12"/>
        <v>70</v>
      </c>
      <c r="AH12" s="61">
        <f>'Daily CEM-1'!J13</f>
        <v>0</v>
      </c>
      <c r="AI12" s="61">
        <f>'Daily CEM-1'!E13</f>
        <v>0</v>
      </c>
      <c r="AJ12" s="61"/>
      <c r="AK12" s="61">
        <f>'Daily CEM-1'!K13</f>
        <v>0</v>
      </c>
      <c r="AL12" s="61">
        <f>'Daily CEM-1'!F13</f>
        <v>0</v>
      </c>
      <c r="AM12" s="61" t="e">
        <f t="shared" si="13"/>
        <v>#DIV/0!</v>
      </c>
      <c r="AN12" s="60">
        <f>'Daily CEM-1'!L13</f>
        <v>3</v>
      </c>
      <c r="AO12" s="60">
        <f>'Daily CEM-1'!G13</f>
        <v>211</v>
      </c>
      <c r="AP12" s="60">
        <f t="shared" si="14"/>
        <v>70.333333333333329</v>
      </c>
      <c r="AQ12" s="37">
        <f>'Daily  CEM - 2'!H13</f>
        <v>13.65</v>
      </c>
      <c r="AR12" s="33">
        <f>'Daily  CEM - 2'!C13</f>
        <v>752</v>
      </c>
      <c r="AS12" s="34">
        <f t="shared" si="6"/>
        <v>55.091575091575088</v>
      </c>
      <c r="AT12" s="37">
        <f>'Daily  CEM - 2'!I13</f>
        <v>3.5</v>
      </c>
      <c r="AU12" s="33">
        <f>'Daily  CEM - 2'!D13</f>
        <v>220</v>
      </c>
      <c r="AV12" s="34">
        <f t="shared" si="7"/>
        <v>62.857142857142854</v>
      </c>
      <c r="AW12" s="61">
        <f>'Daily  CEM - 2'!J13</f>
        <v>0</v>
      </c>
      <c r="AX12" s="61">
        <f>'Daily  CEM - 2'!E13</f>
        <v>0</v>
      </c>
      <c r="AY12" s="197" t="e">
        <f t="shared" si="15"/>
        <v>#DIV/0!</v>
      </c>
      <c r="AZ12" s="61">
        <f>'Daily  CEM - 2'!K13</f>
        <v>2</v>
      </c>
      <c r="BA12" s="61">
        <f>'Daily  CEM - 2'!F13</f>
        <v>114</v>
      </c>
      <c r="BB12" s="60">
        <f t="shared" si="16"/>
        <v>57</v>
      </c>
      <c r="BC12" s="61">
        <f>'Daily  CEM - 2'!L13</f>
        <v>2</v>
      </c>
      <c r="BD12" s="61">
        <f>'Daily  CEM - 2'!G13</f>
        <v>120</v>
      </c>
      <c r="BE12" s="60">
        <f t="shared" si="17"/>
        <v>60</v>
      </c>
      <c r="BF12" s="16">
        <f t="shared" si="18"/>
        <v>46.227999999978238</v>
      </c>
      <c r="BG12" s="36">
        <f t="shared" si="19"/>
        <v>1852</v>
      </c>
      <c r="BH12" s="1">
        <v>1456.75</v>
      </c>
      <c r="BI12" s="18">
        <f>BF12+BG12-BH12-'Internal use cement'!F12</f>
        <v>441.47799999997824</v>
      </c>
      <c r="BJ12" s="16">
        <f t="shared" si="20"/>
        <v>24.299999999999955</v>
      </c>
      <c r="BK12" s="36">
        <f t="shared" si="21"/>
        <v>360</v>
      </c>
      <c r="BL12" s="1">
        <v>127</v>
      </c>
      <c r="BM12" s="18">
        <f>BJ12+BK12-BL12-'Internal use cement'!AB12</f>
        <v>257.29999999999995</v>
      </c>
      <c r="BN12" s="18">
        <f t="shared" si="39"/>
        <v>9.0000000000849845E-2</v>
      </c>
      <c r="BO12" s="63">
        <f t="shared" si="45"/>
        <v>0</v>
      </c>
      <c r="BP12" s="1">
        <v>0</v>
      </c>
      <c r="BQ12" s="66">
        <f>BN12+BO12-BP12-'Internal use cement'!Q12</f>
        <v>9.0000000000849845E-2</v>
      </c>
      <c r="BR12" s="18">
        <f t="shared" si="40"/>
        <v>120.70000000000005</v>
      </c>
      <c r="BS12" s="63">
        <f t="shared" si="23"/>
        <v>114</v>
      </c>
      <c r="BT12" s="1">
        <v>61</v>
      </c>
      <c r="BU12" s="66">
        <f>BR12+BS12-BT12-'Internal use cement'!AG12</f>
        <v>173.70000000000005</v>
      </c>
      <c r="BV12" s="66">
        <f t="shared" si="41"/>
        <v>52.47000000000024</v>
      </c>
      <c r="BW12" s="34">
        <f t="shared" si="24"/>
        <v>331</v>
      </c>
      <c r="BX12" s="1">
        <v>209.64</v>
      </c>
      <c r="BY12" s="66">
        <f>BV12+BW12-BX12-'Internal use cement'!AO12</f>
        <v>173.83000000000027</v>
      </c>
      <c r="BZ12" s="1">
        <v>501</v>
      </c>
      <c r="CA12" s="1">
        <v>884</v>
      </c>
      <c r="CB12" s="1">
        <v>135</v>
      </c>
      <c r="CC12" s="1">
        <f>SUM(BZ12:CB12)</f>
        <v>1520</v>
      </c>
      <c r="CD12" s="15">
        <f t="shared" si="25"/>
        <v>1046.3979999999792</v>
      </c>
      <c r="CE12" s="270">
        <f>CC12-CD12</f>
        <v>473.60200000002078</v>
      </c>
      <c r="CF12" s="15">
        <f t="shared" si="26"/>
        <v>1854.3899999999999</v>
      </c>
      <c r="CG12" s="15">
        <f t="shared" si="27"/>
        <v>2657</v>
      </c>
      <c r="CH12" s="270">
        <f t="shared" si="28"/>
        <v>-93.460016837518651</v>
      </c>
      <c r="CJ12" s="52">
        <f t="shared" si="8"/>
        <v>19.37</v>
      </c>
      <c r="CK12" s="1">
        <v>10</v>
      </c>
      <c r="CL12" s="1">
        <f t="shared" si="29"/>
        <v>1.0799999999999983</v>
      </c>
      <c r="CM12" s="1">
        <f t="shared" si="30"/>
        <v>6</v>
      </c>
      <c r="CN12" s="15">
        <f t="shared" si="31"/>
        <v>1.629999999999999</v>
      </c>
      <c r="CO12" s="15">
        <f t="shared" si="32"/>
        <v>2.8500000000000014</v>
      </c>
      <c r="CP12" s="1">
        <f t="shared" si="33"/>
        <v>0</v>
      </c>
      <c r="CQ12" s="2">
        <v>10</v>
      </c>
      <c r="CR12" s="15">
        <f t="shared" si="34"/>
        <v>972</v>
      </c>
      <c r="CS12" s="15">
        <f>'Daily CEM-1'!H13+'Daily CEM-1'!I13+'Daily CEM-1'!J13+'Daily CEM-1'!K13+'Daily CEM-1'!L13</f>
        <v>22.37</v>
      </c>
      <c r="CT12" s="15">
        <f>AQ12+AT12+AW12+'Daily  CEM - 2'!K13+'Daily  CEM - 2'!L13</f>
        <v>21.15</v>
      </c>
      <c r="CU12" s="52">
        <f t="shared" si="35"/>
        <v>1.629999999999999</v>
      </c>
      <c r="CW12" s="52">
        <f t="shared" si="36"/>
        <v>2849.55</v>
      </c>
      <c r="CX12" s="52">
        <v>10</v>
      </c>
      <c r="CZ12">
        <f t="shared" si="37"/>
        <v>2849.55</v>
      </c>
    </row>
    <row r="13" spans="2:104">
      <c r="B13" s="4">
        <v>11</v>
      </c>
      <c r="C13" s="1">
        <v>18.579999999999998</v>
      </c>
      <c r="D13" s="34">
        <f>'Mines (2)'!D13+'Mines (2)'!I13+'Mines (2)'!W13+'Mines (2)'!AA13+'Mines (2)'!AE13</f>
        <v>2793.7</v>
      </c>
      <c r="E13" s="169">
        <f>'Mines (2)'!E13+'Mines (2)'!J13+'Mines (2)'!X13+'Mines (2)'!AB13+'Mines (2)'!AF13</f>
        <v>2132</v>
      </c>
      <c r="F13" s="34">
        <f t="shared" si="44"/>
        <v>150.3606027987083</v>
      </c>
      <c r="G13" s="1">
        <v>15.8</v>
      </c>
      <c r="H13" s="16">
        <f t="shared" si="38"/>
        <v>1428.4600168375187</v>
      </c>
      <c r="I13" s="299">
        <f t="shared" si="9"/>
        <v>1440.0700168375188</v>
      </c>
      <c r="J13" s="1">
        <v>1318</v>
      </c>
      <c r="K13" s="36">
        <f t="shared" si="0"/>
        <v>1999.5</v>
      </c>
      <c r="L13" s="36">
        <f>Clinker!EK13*1.55</f>
        <v>1999.5</v>
      </c>
      <c r="M13" s="36">
        <v>0</v>
      </c>
      <c r="N13" s="1">
        <v>1832</v>
      </c>
      <c r="O13" s="34">
        <f t="shared" si="1"/>
        <v>115.94936708860759</v>
      </c>
      <c r="P13" s="1">
        <v>19.98</v>
      </c>
      <c r="Q13" s="1">
        <v>179.11</v>
      </c>
      <c r="R13" s="15">
        <f t="shared" si="10"/>
        <v>8.9644644644644647</v>
      </c>
      <c r="S13" s="1">
        <v>15.1</v>
      </c>
      <c r="T13" s="16">
        <f t="shared" si="11"/>
        <v>52.209999999999809</v>
      </c>
      <c r="U13" s="1">
        <v>193.5</v>
      </c>
      <c r="V13" s="1">
        <v>202</v>
      </c>
      <c r="W13" s="18">
        <f t="shared" si="2"/>
        <v>43.709999999999809</v>
      </c>
      <c r="X13" s="34">
        <f t="shared" si="3"/>
        <v>12.814569536423841</v>
      </c>
      <c r="Y13" s="1">
        <v>21</v>
      </c>
      <c r="Z13" s="33">
        <f>Clinker!EK13</f>
        <v>1290</v>
      </c>
      <c r="AA13" s="34">
        <f t="shared" si="4"/>
        <v>61.428571428571431</v>
      </c>
      <c r="AB13" s="37">
        <f>'Daily CEM-1'!H14</f>
        <v>18</v>
      </c>
      <c r="AC13" s="33">
        <f>'Daily CEM-1'!C14</f>
        <v>1130</v>
      </c>
      <c r="AD13" s="34">
        <f t="shared" si="5"/>
        <v>62.777777777777779</v>
      </c>
      <c r="AE13" s="37">
        <f>'Daily CEM-1'!I14</f>
        <v>0</v>
      </c>
      <c r="AF13" s="33">
        <f>'Daily CEM-1'!D14</f>
        <v>0</v>
      </c>
      <c r="AG13" s="34" t="e">
        <f t="shared" si="12"/>
        <v>#DIV/0!</v>
      </c>
      <c r="AH13" s="61">
        <f>'Daily CEM-1'!J14</f>
        <v>0</v>
      </c>
      <c r="AI13" s="61">
        <f>'Daily CEM-1'!E14</f>
        <v>0</v>
      </c>
      <c r="AJ13" s="61"/>
      <c r="AK13" s="61">
        <f>'Daily CEM-1'!K14</f>
        <v>0</v>
      </c>
      <c r="AL13" s="61">
        <f>'Daily CEM-1'!F14</f>
        <v>0</v>
      </c>
      <c r="AM13" s="61" t="e">
        <f t="shared" si="13"/>
        <v>#DIV/0!</v>
      </c>
      <c r="AN13" s="60">
        <f>'Daily CEM-1'!L14</f>
        <v>6</v>
      </c>
      <c r="AO13" s="60">
        <f>'Daily CEM-1'!G14</f>
        <v>400</v>
      </c>
      <c r="AP13" s="60">
        <f t="shared" si="14"/>
        <v>66.666666666666671</v>
      </c>
      <c r="AQ13" s="37">
        <f>'Daily  CEM - 2'!H14</f>
        <v>22.92</v>
      </c>
      <c r="AR13" s="33">
        <f>'Daily  CEM - 2'!C14</f>
        <v>1390</v>
      </c>
      <c r="AS13" s="34">
        <f t="shared" si="6"/>
        <v>60.645724258289697</v>
      </c>
      <c r="AT13" s="37">
        <f>'Daily  CEM - 2'!I14</f>
        <v>0</v>
      </c>
      <c r="AU13" s="33">
        <f>'Daily  CEM - 2'!D14</f>
        <v>0</v>
      </c>
      <c r="AV13" s="34" t="e">
        <f t="shared" si="7"/>
        <v>#DIV/0!</v>
      </c>
      <c r="AW13" s="61">
        <f>'Daily  CEM - 2'!J14</f>
        <v>0</v>
      </c>
      <c r="AX13" s="61">
        <f>'Daily  CEM - 2'!E14</f>
        <v>0</v>
      </c>
      <c r="AY13" s="197" t="e">
        <f t="shared" si="15"/>
        <v>#DIV/0!</v>
      </c>
      <c r="AZ13" s="61">
        <f>'Daily  CEM - 2'!K14</f>
        <v>0</v>
      </c>
      <c r="BA13" s="61">
        <f>'Daily  CEM - 2'!F14</f>
        <v>0</v>
      </c>
      <c r="BB13" s="60" t="e">
        <f t="shared" si="16"/>
        <v>#DIV/0!</v>
      </c>
      <c r="BC13" s="61">
        <f>'Daily  CEM - 2'!L14</f>
        <v>0</v>
      </c>
      <c r="BD13" s="61">
        <f>'Daily  CEM - 2'!G14</f>
        <v>0</v>
      </c>
      <c r="BE13" s="60" t="e">
        <f t="shared" si="17"/>
        <v>#DIV/0!</v>
      </c>
      <c r="BF13" s="16">
        <f t="shared" si="18"/>
        <v>441.47799999997824</v>
      </c>
      <c r="BG13" s="36">
        <f t="shared" si="19"/>
        <v>2520</v>
      </c>
      <c r="BH13" s="1">
        <v>2592.3000000000002</v>
      </c>
      <c r="BI13" s="18">
        <f>BF13+BG13-BH13-'Internal use cement'!F13</f>
        <v>369.17799999997806</v>
      </c>
      <c r="BJ13" s="16">
        <f t="shared" si="20"/>
        <v>257.29999999999995</v>
      </c>
      <c r="BK13" s="36">
        <f t="shared" si="21"/>
        <v>0</v>
      </c>
      <c r="BL13" s="1">
        <v>30</v>
      </c>
      <c r="BM13" s="18">
        <f>BJ13+BK13-BL13-'Internal use cement'!AB13</f>
        <v>227.29999999999995</v>
      </c>
      <c r="BN13" s="18">
        <f t="shared" si="39"/>
        <v>9.0000000000849845E-2</v>
      </c>
      <c r="BO13" s="63">
        <f t="shared" si="45"/>
        <v>0</v>
      </c>
      <c r="BP13" s="1">
        <v>0</v>
      </c>
      <c r="BQ13" s="66">
        <f>BN13+BO13-BP13-'Internal use cement'!Q13</f>
        <v>9.0000000000849845E-2</v>
      </c>
      <c r="BR13" s="18">
        <f t="shared" si="40"/>
        <v>173.70000000000005</v>
      </c>
      <c r="BS13" s="63">
        <f t="shared" si="23"/>
        <v>0</v>
      </c>
      <c r="BT13" s="1">
        <v>30</v>
      </c>
      <c r="BU13" s="66">
        <f>BR13+BS13-BT13-'Internal use cement'!AG13</f>
        <v>143.70000000000005</v>
      </c>
      <c r="BV13" s="66">
        <f t="shared" si="41"/>
        <v>173.83000000000027</v>
      </c>
      <c r="BW13" s="34">
        <f t="shared" si="24"/>
        <v>400</v>
      </c>
      <c r="BX13" s="1">
        <v>443.67</v>
      </c>
      <c r="BY13" s="66">
        <f>BV13+BW13-BX13-'Internal use cement'!AO13</f>
        <v>130.16000000000025</v>
      </c>
      <c r="BZ13" s="1">
        <v>217</v>
      </c>
      <c r="CA13" s="1">
        <v>926</v>
      </c>
      <c r="CB13" s="1">
        <v>124</v>
      </c>
      <c r="CC13" s="1">
        <f>SUM(BZ13:CB13)</f>
        <v>1267</v>
      </c>
      <c r="CD13" s="15">
        <f>BI13+BM13+BQ13+BU13+BY13</f>
        <v>870.42799999997919</v>
      </c>
      <c r="CE13" s="270">
        <f>CC13-CD13</f>
        <v>396.57200000002081</v>
      </c>
      <c r="CF13" s="15">
        <f t="shared" si="26"/>
        <v>3095.9700000000003</v>
      </c>
      <c r="CG13" s="15">
        <f t="shared" si="27"/>
        <v>2920</v>
      </c>
      <c r="CH13" s="270">
        <f t="shared" si="28"/>
        <v>-122.07001683751878</v>
      </c>
      <c r="CJ13" s="52">
        <f t="shared" si="8"/>
        <v>18</v>
      </c>
      <c r="CK13" s="1">
        <v>11</v>
      </c>
      <c r="CL13" s="1">
        <f t="shared" si="29"/>
        <v>8.1999999999999993</v>
      </c>
      <c r="CM13" s="1">
        <f t="shared" si="30"/>
        <v>8.9</v>
      </c>
      <c r="CN13" s="15">
        <f t="shared" si="31"/>
        <v>0</v>
      </c>
      <c r="CO13" s="15">
        <f t="shared" si="32"/>
        <v>1.0799999999999983</v>
      </c>
      <c r="CP13" s="1">
        <f t="shared" si="33"/>
        <v>3</v>
      </c>
      <c r="CQ13" s="2">
        <v>11</v>
      </c>
      <c r="CR13" s="15">
        <f t="shared" si="34"/>
        <v>1390</v>
      </c>
      <c r="CS13" s="15">
        <f>'Daily CEM-1'!H14+'Daily CEM-1'!I14+'Daily CEM-1'!J14+'Daily CEM-1'!K14+'Daily CEM-1'!L14</f>
        <v>24</v>
      </c>
      <c r="CT13" s="15">
        <f>AQ13+AT13+AW13+'Daily  CEM - 2'!K14+'Daily  CEM - 2'!L14</f>
        <v>22.92</v>
      </c>
      <c r="CU13" s="52">
        <f t="shared" si="35"/>
        <v>0</v>
      </c>
      <c r="CW13" s="52">
        <f t="shared" si="36"/>
        <v>2011.1100000000001</v>
      </c>
      <c r="CX13" s="52">
        <v>11</v>
      </c>
      <c r="CZ13">
        <f t="shared" si="37"/>
        <v>2011.1100000000001</v>
      </c>
    </row>
    <row r="14" spans="2:104">
      <c r="B14" s="4">
        <v>12</v>
      </c>
      <c r="C14" s="1">
        <v>17.77</v>
      </c>
      <c r="D14" s="34">
        <f>'Mines (2)'!D14+'Mines (2)'!I14+'Mines (2)'!W14+'Mines (2)'!AA14+'Mines (2)'!AE14</f>
        <v>2452.46</v>
      </c>
      <c r="E14" s="169">
        <f>'Mines (2)'!E14+'Mines (2)'!J14+'Mines (2)'!X14+'Mines (2)'!AB14+'Mines (2)'!AF14</f>
        <v>2628</v>
      </c>
      <c r="F14" s="34">
        <f t="shared" si="44"/>
        <v>138.01125492402926</v>
      </c>
      <c r="G14" s="1">
        <v>19.079999999999998</v>
      </c>
      <c r="H14" s="16">
        <f t="shared" si="38"/>
        <v>1440.0700168375188</v>
      </c>
      <c r="I14" s="299">
        <f t="shared" si="9"/>
        <v>1269.9400168375187</v>
      </c>
      <c r="J14" s="1">
        <v>1197</v>
      </c>
      <c r="K14" s="36">
        <f t="shared" si="0"/>
        <v>2650.5</v>
      </c>
      <c r="L14" s="36">
        <f>Clinker!EK14*1.55</f>
        <v>2650.5</v>
      </c>
      <c r="M14" s="36">
        <v>0</v>
      </c>
      <c r="N14" s="1">
        <v>2318</v>
      </c>
      <c r="O14" s="34">
        <f t="shared" si="1"/>
        <v>121.48846960167715</v>
      </c>
      <c r="P14" s="1">
        <v>18</v>
      </c>
      <c r="Q14" s="1">
        <v>162.37</v>
      </c>
      <c r="R14" s="15">
        <f t="shared" si="10"/>
        <v>9.0205555555555552</v>
      </c>
      <c r="S14" s="1">
        <v>18</v>
      </c>
      <c r="T14" s="16">
        <f t="shared" si="11"/>
        <v>43.709999999999809</v>
      </c>
      <c r="U14" s="1">
        <v>258</v>
      </c>
      <c r="V14" s="1">
        <v>252</v>
      </c>
      <c r="W14" s="18">
        <f t="shared" si="2"/>
        <v>49.709999999999809</v>
      </c>
      <c r="X14" s="34">
        <f t="shared" si="3"/>
        <v>14.333333333333334</v>
      </c>
      <c r="Y14" s="1">
        <v>24</v>
      </c>
      <c r="Z14" s="33">
        <f>Clinker!EK14</f>
        <v>1710</v>
      </c>
      <c r="AA14" s="34">
        <f t="shared" si="4"/>
        <v>71.25</v>
      </c>
      <c r="AB14" s="37">
        <f>'Daily CEM-1'!H15</f>
        <v>15.45</v>
      </c>
      <c r="AC14" s="33">
        <f>'Daily CEM-1'!C15</f>
        <v>1010</v>
      </c>
      <c r="AD14" s="34">
        <f t="shared" si="5"/>
        <v>65.372168284789652</v>
      </c>
      <c r="AE14" s="37">
        <f>'Daily CEM-1'!I15</f>
        <v>0</v>
      </c>
      <c r="AF14" s="33">
        <f>'Daily CEM-1'!D15</f>
        <v>0</v>
      </c>
      <c r="AG14" s="34" t="e">
        <f t="shared" si="12"/>
        <v>#DIV/0!</v>
      </c>
      <c r="AH14" s="61">
        <f>'Daily CEM-1'!J15</f>
        <v>0</v>
      </c>
      <c r="AI14" s="61">
        <f>'Daily CEM-1'!E15</f>
        <v>0</v>
      </c>
      <c r="AJ14" s="61"/>
      <c r="AK14" s="61">
        <f>'Daily CEM-1'!K15</f>
        <v>0</v>
      </c>
      <c r="AL14" s="61">
        <f>'Daily CEM-1'!F15</f>
        <v>0</v>
      </c>
      <c r="AM14" s="61" t="e">
        <f t="shared" si="13"/>
        <v>#DIV/0!</v>
      </c>
      <c r="AN14" s="60">
        <f>'Daily CEM-1'!L15</f>
        <v>4.5</v>
      </c>
      <c r="AO14" s="60">
        <f>'Daily CEM-1'!G15</f>
        <v>300</v>
      </c>
      <c r="AP14" s="60">
        <f t="shared" si="14"/>
        <v>66.666666666666671</v>
      </c>
      <c r="AQ14" s="37">
        <f>'Daily  CEM - 2'!H15</f>
        <v>20.75</v>
      </c>
      <c r="AR14" s="33">
        <f>'Daily  CEM - 2'!C15</f>
        <v>1230</v>
      </c>
      <c r="AS14" s="34">
        <f t="shared" si="6"/>
        <v>59.277108433734938</v>
      </c>
      <c r="AT14" s="37">
        <f>'Daily  CEM - 2'!I15</f>
        <v>0</v>
      </c>
      <c r="AU14" s="33">
        <f>'Daily  CEM - 2'!D15</f>
        <v>0</v>
      </c>
      <c r="AV14" s="34" t="e">
        <f t="shared" si="7"/>
        <v>#DIV/0!</v>
      </c>
      <c r="AW14" s="61">
        <f>'Daily  CEM - 2'!J15</f>
        <v>0</v>
      </c>
      <c r="AX14" s="61">
        <f>'Daily  CEM - 2'!E15</f>
        <v>0</v>
      </c>
      <c r="AY14" s="197" t="e">
        <f t="shared" si="15"/>
        <v>#DIV/0!</v>
      </c>
      <c r="AZ14" s="61">
        <f>'Daily  CEM - 2'!K15</f>
        <v>2</v>
      </c>
      <c r="BA14" s="61">
        <f>'Daily  CEM - 2'!F15</f>
        <v>110</v>
      </c>
      <c r="BB14" s="60">
        <f t="shared" si="16"/>
        <v>55</v>
      </c>
      <c r="BC14" s="61">
        <f>'Daily  CEM - 2'!L15</f>
        <v>0</v>
      </c>
      <c r="BD14" s="61">
        <f>'Daily  CEM - 2'!G15</f>
        <v>0</v>
      </c>
      <c r="BE14" s="60" t="e">
        <f t="shared" si="17"/>
        <v>#DIV/0!</v>
      </c>
      <c r="BF14" s="16">
        <f t="shared" si="18"/>
        <v>369.17799999997806</v>
      </c>
      <c r="BG14" s="36">
        <f t="shared" si="19"/>
        <v>2240</v>
      </c>
      <c r="BH14" s="1">
        <v>2134.5</v>
      </c>
      <c r="BI14" s="18">
        <f>BF14+BG14-BH14-'Internal use cement'!F14</f>
        <v>474.67799999997806</v>
      </c>
      <c r="BJ14" s="16">
        <f t="shared" si="20"/>
        <v>227.29999999999995</v>
      </c>
      <c r="BK14" s="36">
        <f t="shared" si="21"/>
        <v>0</v>
      </c>
      <c r="BL14" s="1">
        <v>90</v>
      </c>
      <c r="BM14" s="18">
        <f>BJ14+BK14-BL14-'Internal use cement'!AB14</f>
        <v>137.29999999999995</v>
      </c>
      <c r="BN14" s="18">
        <f t="shared" si="39"/>
        <v>9.0000000000849845E-2</v>
      </c>
      <c r="BO14" s="63">
        <f t="shared" si="45"/>
        <v>0</v>
      </c>
      <c r="BP14" s="1">
        <v>0</v>
      </c>
      <c r="BQ14" s="66">
        <f>BN14+BO14-BP14-'Internal use cement'!Q14</f>
        <v>9.0000000000849845E-2</v>
      </c>
      <c r="BR14" s="18">
        <f t="shared" si="40"/>
        <v>143.70000000000005</v>
      </c>
      <c r="BS14" s="63">
        <f t="shared" si="23"/>
        <v>110</v>
      </c>
      <c r="BT14" s="1">
        <v>121</v>
      </c>
      <c r="BU14" s="66">
        <f>BR14+BS14-BT14-'Internal use cement'!AG14</f>
        <v>132.60000000000005</v>
      </c>
      <c r="BV14" s="66">
        <f t="shared" si="41"/>
        <v>130.16000000000025</v>
      </c>
      <c r="BW14" s="34">
        <f t="shared" si="24"/>
        <v>300</v>
      </c>
      <c r="BX14" s="1">
        <v>276.54000000000002</v>
      </c>
      <c r="BY14" s="66">
        <f>BV14+BW14-BX14-'Internal use cement'!AO14</f>
        <v>153.62000000000023</v>
      </c>
      <c r="BZ14" s="1">
        <v>220</v>
      </c>
      <c r="CA14" s="1">
        <v>795</v>
      </c>
      <c r="CB14" s="1">
        <v>94</v>
      </c>
      <c r="CC14" s="1">
        <f t="shared" si="42"/>
        <v>1109</v>
      </c>
      <c r="CD14" s="15">
        <f t="shared" si="25"/>
        <v>898.28799999997909</v>
      </c>
      <c r="CE14" s="269">
        <f t="shared" si="46"/>
        <v>210.71200000002091</v>
      </c>
      <c r="CF14" s="15">
        <f t="shared" si="26"/>
        <v>2622.04</v>
      </c>
      <c r="CG14" s="15">
        <f t="shared" si="27"/>
        <v>2650</v>
      </c>
      <c r="CH14" s="270">
        <f t="shared" si="28"/>
        <v>-72.940016837518669</v>
      </c>
      <c r="CJ14" s="52">
        <f t="shared" si="8"/>
        <v>15.45</v>
      </c>
      <c r="CK14" s="1">
        <v>12</v>
      </c>
      <c r="CL14" s="1">
        <f t="shared" si="29"/>
        <v>4.9200000000000017</v>
      </c>
      <c r="CM14" s="1">
        <f t="shared" si="30"/>
        <v>6</v>
      </c>
      <c r="CN14" s="15">
        <f t="shared" si="31"/>
        <v>4.0500000000000007</v>
      </c>
      <c r="CO14" s="15">
        <f t="shared" si="32"/>
        <v>1.25</v>
      </c>
      <c r="CP14" s="1">
        <f t="shared" si="33"/>
        <v>0</v>
      </c>
      <c r="CQ14" s="2">
        <v>12</v>
      </c>
      <c r="CR14" s="15">
        <f t="shared" si="34"/>
        <v>1230</v>
      </c>
      <c r="CS14" s="15">
        <f>'Daily CEM-1'!H15+'Daily CEM-1'!I15+'Daily CEM-1'!J15+'Daily CEM-1'!K15+'Daily CEM-1'!L15</f>
        <v>19.95</v>
      </c>
      <c r="CT14" s="15">
        <f>AQ14+AT14+AW14+'Daily  CEM - 2'!K15+'Daily  CEM - 2'!L15</f>
        <v>22.75</v>
      </c>
      <c r="CU14" s="52">
        <f t="shared" si="35"/>
        <v>4.0500000000000007</v>
      </c>
      <c r="CW14" s="52">
        <f t="shared" si="36"/>
        <v>2480.37</v>
      </c>
      <c r="CX14" s="52">
        <v>12</v>
      </c>
      <c r="CZ14">
        <f t="shared" si="37"/>
        <v>2480.37</v>
      </c>
    </row>
    <row r="15" spans="2:104">
      <c r="B15" s="4">
        <v>13</v>
      </c>
      <c r="C15" s="1">
        <v>16.25</v>
      </c>
      <c r="D15" s="34">
        <f>'Mines (2)'!D15+'Mines (2)'!I15+'Mines (2)'!W15+'Mines (2)'!AA15+'Mines (2)'!AE15</f>
        <v>2535.88</v>
      </c>
      <c r="E15" s="169">
        <f>'Mines (2)'!E15+'Mines (2)'!J15+'Mines (2)'!X15+'Mines (2)'!AB15+'Mines (2)'!AF15</f>
        <v>2071</v>
      </c>
      <c r="F15" s="34">
        <f t="shared" si="44"/>
        <v>156.05415384615387</v>
      </c>
      <c r="G15" s="1">
        <v>14.92</v>
      </c>
      <c r="H15" s="16">
        <f t="shared" si="38"/>
        <v>1269.9400168375187</v>
      </c>
      <c r="I15" s="299">
        <f t="shared" si="9"/>
        <v>1204.0200168375188</v>
      </c>
      <c r="J15" s="1">
        <v>1003</v>
      </c>
      <c r="K15" s="36">
        <f>L15</f>
        <v>2021.2</v>
      </c>
      <c r="L15" s="36">
        <f>Clinker!EK15*1.55</f>
        <v>2021.2</v>
      </c>
      <c r="M15" s="36">
        <v>0</v>
      </c>
      <c r="N15" s="1">
        <v>1820</v>
      </c>
      <c r="O15" s="34">
        <f t="shared" si="1"/>
        <v>121.98391420911528</v>
      </c>
      <c r="P15" s="1">
        <v>15</v>
      </c>
      <c r="Q15" s="1">
        <v>135.28</v>
      </c>
      <c r="R15" s="15">
        <f t="shared" si="10"/>
        <v>9.0186666666666664</v>
      </c>
      <c r="S15" s="1">
        <v>16</v>
      </c>
      <c r="T15" s="16">
        <f t="shared" si="11"/>
        <v>49.709999999999809</v>
      </c>
      <c r="U15" s="1">
        <v>218</v>
      </c>
      <c r="V15" s="1">
        <v>218</v>
      </c>
      <c r="W15" s="18">
        <f t="shared" si="2"/>
        <v>49.709999999999809</v>
      </c>
      <c r="X15" s="34">
        <f t="shared" si="3"/>
        <v>13.625</v>
      </c>
      <c r="Y15" s="1">
        <v>23.48</v>
      </c>
      <c r="Z15" s="33">
        <f>Clinker!EK15</f>
        <v>1304</v>
      </c>
      <c r="AA15" s="34">
        <f t="shared" si="4"/>
        <v>55.536626916524703</v>
      </c>
      <c r="AB15" s="37">
        <f>'Daily CEM-1'!H16</f>
        <v>20</v>
      </c>
      <c r="AC15" s="33">
        <f>'Daily CEM-1'!C16</f>
        <v>1284</v>
      </c>
      <c r="AD15" s="34">
        <f t="shared" si="5"/>
        <v>64.2</v>
      </c>
      <c r="AE15" s="37">
        <f>'Daily CEM-1'!I16</f>
        <v>2</v>
      </c>
      <c r="AF15" s="33">
        <f>'Daily CEM-1'!D16</f>
        <v>140</v>
      </c>
      <c r="AG15" s="34">
        <f t="shared" si="12"/>
        <v>70</v>
      </c>
      <c r="AH15" s="61">
        <f>'Daily CEM-1'!J16</f>
        <v>0</v>
      </c>
      <c r="AI15" s="61">
        <f>'Daily CEM-1'!E16</f>
        <v>0</v>
      </c>
      <c r="AJ15" s="61"/>
      <c r="AK15" s="61">
        <f>'Daily CEM-1'!K16</f>
        <v>0</v>
      </c>
      <c r="AL15" s="61">
        <f>'Daily CEM-1'!F16</f>
        <v>0</v>
      </c>
      <c r="AM15" s="61" t="e">
        <f t="shared" si="13"/>
        <v>#DIV/0!</v>
      </c>
      <c r="AN15" s="60">
        <f>'Daily CEM-1'!L16</f>
        <v>2</v>
      </c>
      <c r="AO15" s="60">
        <f>'Daily CEM-1'!G16</f>
        <v>136</v>
      </c>
      <c r="AP15" s="60">
        <f t="shared" si="14"/>
        <v>68</v>
      </c>
      <c r="AQ15" s="37">
        <f>'Daily  CEM - 2'!H16</f>
        <v>21</v>
      </c>
      <c r="AR15" s="33">
        <f>'Daily  CEM - 2'!C16</f>
        <v>1176</v>
      </c>
      <c r="AS15" s="34">
        <f t="shared" si="6"/>
        <v>56</v>
      </c>
      <c r="AT15" s="37">
        <f>'Daily  CEM - 2'!I16</f>
        <v>0</v>
      </c>
      <c r="AU15" s="33">
        <f>'Daily  CEM - 2'!D16</f>
        <v>0</v>
      </c>
      <c r="AV15" s="34" t="e">
        <f t="shared" si="7"/>
        <v>#DIV/0!</v>
      </c>
      <c r="AW15" s="61">
        <f>'Daily  CEM - 2'!J16</f>
        <v>0</v>
      </c>
      <c r="AX15" s="61">
        <f>'Daily  CEM - 2'!E16</f>
        <v>0</v>
      </c>
      <c r="AY15" s="197" t="e">
        <f t="shared" si="15"/>
        <v>#DIV/0!</v>
      </c>
      <c r="AZ15" s="61">
        <f>'Daily  CEM - 2'!K16</f>
        <v>1</v>
      </c>
      <c r="BA15" s="61">
        <f>'Daily  CEM - 2'!F16</f>
        <v>56</v>
      </c>
      <c r="BB15" s="60">
        <f t="shared" si="16"/>
        <v>56</v>
      </c>
      <c r="BC15" s="61">
        <f>'Daily  CEM - 2'!L16</f>
        <v>0</v>
      </c>
      <c r="BD15" s="61">
        <f>'Daily  CEM - 2'!G16</f>
        <v>0</v>
      </c>
      <c r="BE15" s="60" t="e">
        <f t="shared" si="17"/>
        <v>#DIV/0!</v>
      </c>
      <c r="BF15" s="16">
        <f t="shared" si="18"/>
        <v>474.67799999997806</v>
      </c>
      <c r="BG15" s="36">
        <f t="shared" si="19"/>
        <v>2460</v>
      </c>
      <c r="BH15" s="1">
        <v>2485.4</v>
      </c>
      <c r="BI15" s="18">
        <f>BF15+BG15-BH15-'Internal use cement'!F15</f>
        <v>449.27799999997796</v>
      </c>
      <c r="BJ15" s="16">
        <f t="shared" si="20"/>
        <v>137.29999999999995</v>
      </c>
      <c r="BK15" s="36">
        <f t="shared" si="21"/>
        <v>140</v>
      </c>
      <c r="BL15" s="1">
        <v>200</v>
      </c>
      <c r="BM15" s="18">
        <f>BJ15+BK15-BL15-'Internal use cement'!AB15</f>
        <v>77.299999999999955</v>
      </c>
      <c r="BN15" s="18">
        <f t="shared" si="39"/>
        <v>9.0000000000849845E-2</v>
      </c>
      <c r="BO15" s="63">
        <f t="shared" si="45"/>
        <v>0</v>
      </c>
      <c r="BP15" s="1">
        <v>0</v>
      </c>
      <c r="BQ15" s="66">
        <f>BN15+BO15-BP15-'Internal use cement'!Q15</f>
        <v>9.0000000000849845E-2</v>
      </c>
      <c r="BR15" s="18">
        <f t="shared" si="40"/>
        <v>132.60000000000005</v>
      </c>
      <c r="BS15" s="63">
        <f t="shared" si="23"/>
        <v>56</v>
      </c>
      <c r="BT15" s="1">
        <v>91</v>
      </c>
      <c r="BU15" s="66">
        <f>BR15+BS15-BT15-'Internal use cement'!AG15</f>
        <v>97.600000000000051</v>
      </c>
      <c r="BV15" s="66">
        <f t="shared" si="41"/>
        <v>153.62000000000023</v>
      </c>
      <c r="BW15" s="34">
        <f t="shared" si="24"/>
        <v>136</v>
      </c>
      <c r="BX15" s="1">
        <v>179.86</v>
      </c>
      <c r="BY15" s="66">
        <f>BV15+BW15-BX15-'Internal use cement'!AO15</f>
        <v>109.76000000000022</v>
      </c>
      <c r="BZ15" s="1">
        <v>253</v>
      </c>
      <c r="CA15" s="1">
        <v>541</v>
      </c>
      <c r="CB15" s="1">
        <v>110</v>
      </c>
      <c r="CC15" s="1">
        <f t="shared" si="42"/>
        <v>904</v>
      </c>
      <c r="CD15" s="15">
        <f t="shared" si="25"/>
        <v>734.02799999997899</v>
      </c>
      <c r="CE15" s="269">
        <f t="shared" si="46"/>
        <v>169.97200000002101</v>
      </c>
      <c r="CF15" s="15">
        <f t="shared" si="26"/>
        <v>2956.26</v>
      </c>
      <c r="CG15" s="15">
        <f t="shared" si="27"/>
        <v>2792</v>
      </c>
      <c r="CH15" s="270">
        <f t="shared" si="28"/>
        <v>-201.02001683751882</v>
      </c>
      <c r="CJ15" s="52">
        <f t="shared" si="8"/>
        <v>22</v>
      </c>
      <c r="CK15" s="1">
        <v>13</v>
      </c>
      <c r="CL15" s="1">
        <f t="shared" si="29"/>
        <v>9.08</v>
      </c>
      <c r="CM15" s="1">
        <f t="shared" si="30"/>
        <v>8</v>
      </c>
      <c r="CN15" s="15">
        <f t="shared" si="31"/>
        <v>0</v>
      </c>
      <c r="CO15" s="15">
        <f t="shared" si="32"/>
        <v>2</v>
      </c>
      <c r="CP15" s="1">
        <f t="shared" si="33"/>
        <v>0.51999999999999957</v>
      </c>
      <c r="CQ15" s="2">
        <v>13</v>
      </c>
      <c r="CR15" s="15">
        <f t="shared" si="34"/>
        <v>1176</v>
      </c>
      <c r="CS15" s="15">
        <f>'Daily CEM-1'!H16+'Daily CEM-1'!I16+'Daily CEM-1'!J16+'Daily CEM-1'!K16+'Daily CEM-1'!L16</f>
        <v>24</v>
      </c>
      <c r="CT15" s="15">
        <f>AQ15+AT15+AW15+'Daily  CEM - 2'!K16+'Daily  CEM - 2'!L16</f>
        <v>22</v>
      </c>
      <c r="CU15" s="52">
        <f t="shared" si="35"/>
        <v>0</v>
      </c>
      <c r="CW15" s="52">
        <f t="shared" si="36"/>
        <v>1955.28</v>
      </c>
      <c r="CX15" s="52">
        <v>13</v>
      </c>
      <c r="CZ15">
        <f t="shared" si="37"/>
        <v>1955.28</v>
      </c>
    </row>
    <row r="16" spans="2:104">
      <c r="B16" s="4">
        <v>14</v>
      </c>
      <c r="C16" s="1">
        <v>19.420000000000002</v>
      </c>
      <c r="D16" s="34">
        <f>'Mines (2)'!D16+'Mines (2)'!I16+'Mines (2)'!W16+'Mines (2)'!AA16+'Mines (2)'!AE16</f>
        <v>3809.98</v>
      </c>
      <c r="E16" s="169">
        <f>'Mines (2)'!E16+'Mines (2)'!J16+'Mines (2)'!X16+'Mines (2)'!AB16+'Mines (2)'!AF16</f>
        <v>2135</v>
      </c>
      <c r="F16" s="65">
        <f t="shared" si="44"/>
        <v>196.18846549948506</v>
      </c>
      <c r="G16" s="1">
        <v>16.48</v>
      </c>
      <c r="H16" s="16">
        <f t="shared" si="38"/>
        <v>1204.0200168375188</v>
      </c>
      <c r="I16" s="299">
        <f t="shared" si="9"/>
        <v>1203.6000168375185</v>
      </c>
      <c r="J16" s="1">
        <v>910</v>
      </c>
      <c r="K16" s="36">
        <f t="shared" si="0"/>
        <v>2022.75</v>
      </c>
      <c r="L16" s="36">
        <f>Clinker!EK16*1.55</f>
        <v>2022.75</v>
      </c>
      <c r="M16" s="36">
        <v>0</v>
      </c>
      <c r="N16" s="1">
        <v>1862</v>
      </c>
      <c r="O16" s="34">
        <f t="shared" si="1"/>
        <v>112.98543689320388</v>
      </c>
      <c r="P16" s="1">
        <v>20.97</v>
      </c>
      <c r="Q16" s="1">
        <v>160.33000000000001</v>
      </c>
      <c r="R16" s="15">
        <f t="shared" si="10"/>
        <v>7.6456843109203634</v>
      </c>
      <c r="S16" s="1">
        <v>16</v>
      </c>
      <c r="T16" s="16">
        <f t="shared" si="11"/>
        <v>49.709999999999809</v>
      </c>
      <c r="U16" s="1">
        <v>205</v>
      </c>
      <c r="V16" s="1">
        <v>202</v>
      </c>
      <c r="W16" s="18">
        <f t="shared" si="2"/>
        <v>52.709999999999809</v>
      </c>
      <c r="X16" s="34">
        <f t="shared" si="3"/>
        <v>12.8125</v>
      </c>
      <c r="Y16" s="1">
        <v>24</v>
      </c>
      <c r="Z16" s="33">
        <f>Clinker!EK16</f>
        <v>1305</v>
      </c>
      <c r="AA16" s="34">
        <f t="shared" si="4"/>
        <v>54.375</v>
      </c>
      <c r="AB16" s="37">
        <f>'Daily CEM-1'!H17</f>
        <v>18.329999999999998</v>
      </c>
      <c r="AC16" s="33">
        <f>'Daily CEM-1'!C17</f>
        <v>1178</v>
      </c>
      <c r="AD16" s="34">
        <f t="shared" si="5"/>
        <v>64.266230223677042</v>
      </c>
      <c r="AE16" s="37">
        <f>'Daily CEM-1'!I17</f>
        <v>1</v>
      </c>
      <c r="AF16" s="33">
        <f>'Daily CEM-1'!D17</f>
        <v>68</v>
      </c>
      <c r="AG16" s="34">
        <f t="shared" si="12"/>
        <v>68</v>
      </c>
      <c r="AH16" s="61">
        <f>'Daily CEM-1'!J17</f>
        <v>0</v>
      </c>
      <c r="AI16" s="61">
        <f>'Daily CEM-1'!E17</f>
        <v>0</v>
      </c>
      <c r="AJ16" s="61"/>
      <c r="AK16" s="61">
        <f>'Daily CEM-1'!K17</f>
        <v>0</v>
      </c>
      <c r="AL16" s="61">
        <f>'Daily CEM-1'!F17</f>
        <v>0</v>
      </c>
      <c r="AM16" s="61" t="e">
        <f t="shared" si="13"/>
        <v>#DIV/0!</v>
      </c>
      <c r="AN16" s="60">
        <f>'Daily CEM-1'!L17</f>
        <v>2</v>
      </c>
      <c r="AO16" s="60">
        <f>'Daily CEM-1'!G17</f>
        <v>139</v>
      </c>
      <c r="AP16" s="60">
        <f t="shared" si="14"/>
        <v>69.5</v>
      </c>
      <c r="AQ16" s="37">
        <f>'Daily  CEM - 2'!H17</f>
        <v>20.82</v>
      </c>
      <c r="AR16" s="33">
        <f>'Daily  CEM - 2'!C17</f>
        <v>1270</v>
      </c>
      <c r="AS16" s="34">
        <f t="shared" si="6"/>
        <v>60.99903938520653</v>
      </c>
      <c r="AT16" s="37">
        <f>'Daily  CEM - 2'!I17</f>
        <v>0</v>
      </c>
      <c r="AU16" s="33">
        <f>'Daily  CEM - 2'!D17</f>
        <v>0</v>
      </c>
      <c r="AV16" s="34" t="e">
        <f t="shared" si="7"/>
        <v>#DIV/0!</v>
      </c>
      <c r="AW16" s="61">
        <f>'Daily  CEM - 2'!J17</f>
        <v>0</v>
      </c>
      <c r="AX16" s="61">
        <f>'Daily  CEM - 2'!E17</f>
        <v>0</v>
      </c>
      <c r="AY16" s="197" t="e">
        <f t="shared" si="15"/>
        <v>#DIV/0!</v>
      </c>
      <c r="AZ16" s="61">
        <f>'Daily  CEM - 2'!K17</f>
        <v>0</v>
      </c>
      <c r="BA16" s="61">
        <f>'Daily  CEM - 2'!F17</f>
        <v>0</v>
      </c>
      <c r="BB16" s="60" t="e">
        <f t="shared" si="16"/>
        <v>#DIV/0!</v>
      </c>
      <c r="BC16" s="61">
        <f>'Daily  CEM - 2'!L17</f>
        <v>0</v>
      </c>
      <c r="BD16" s="61">
        <f>'Daily  CEM - 2'!G17</f>
        <v>0</v>
      </c>
      <c r="BE16" s="60" t="e">
        <f t="shared" si="17"/>
        <v>#DIV/0!</v>
      </c>
      <c r="BF16" s="16">
        <f t="shared" si="18"/>
        <v>449.27799999997796</v>
      </c>
      <c r="BG16" s="36">
        <f t="shared" si="19"/>
        <v>2448</v>
      </c>
      <c r="BH16" s="1">
        <v>2426.25</v>
      </c>
      <c r="BI16" s="18">
        <f>BF16+BG16-BH16-'Internal use cement'!F16</f>
        <v>471.02799999997796</v>
      </c>
      <c r="BJ16" s="16">
        <f>BM15</f>
        <v>77.299999999999955</v>
      </c>
      <c r="BK16" s="36">
        <f t="shared" si="21"/>
        <v>68</v>
      </c>
      <c r="BL16" s="1">
        <v>32</v>
      </c>
      <c r="BM16" s="18">
        <f>BJ16+BK16-BL16-'Internal use cement'!AB16</f>
        <v>113.29999999999995</v>
      </c>
      <c r="BN16" s="18">
        <f t="shared" si="39"/>
        <v>9.0000000000849845E-2</v>
      </c>
      <c r="BO16" s="63">
        <f t="shared" si="45"/>
        <v>0</v>
      </c>
      <c r="BP16" s="1">
        <v>0</v>
      </c>
      <c r="BQ16" s="66">
        <f>BN16+BO16-BP16-'Internal use cement'!Q16</f>
        <v>9.0000000000849845E-2</v>
      </c>
      <c r="BR16" s="18">
        <f t="shared" si="40"/>
        <v>97.600000000000051</v>
      </c>
      <c r="BS16" s="63">
        <f t="shared" si="23"/>
        <v>0</v>
      </c>
      <c r="BT16" s="1">
        <v>0</v>
      </c>
      <c r="BU16" s="66">
        <f>BR16+BS16-BT16-'Internal use cement'!AG16</f>
        <v>97.600000000000051</v>
      </c>
      <c r="BV16" s="66">
        <f t="shared" si="41"/>
        <v>109.76000000000022</v>
      </c>
      <c r="BW16" s="34">
        <f t="shared" si="24"/>
        <v>139</v>
      </c>
      <c r="BX16" s="1">
        <v>179.74</v>
      </c>
      <c r="BY16" s="66">
        <f>BV16+BW16-BX16-'Internal use cement'!AO16</f>
        <v>69.020000000000209</v>
      </c>
      <c r="BZ16" s="1">
        <v>504</v>
      </c>
      <c r="CA16" s="1">
        <v>523</v>
      </c>
      <c r="CB16" s="1">
        <v>99</v>
      </c>
      <c r="CC16" s="1">
        <f t="shared" si="42"/>
        <v>1126</v>
      </c>
      <c r="CD16" s="15">
        <f t="shared" si="25"/>
        <v>751.03799999997898</v>
      </c>
      <c r="CE16" s="269">
        <f t="shared" si="46"/>
        <v>374.96200000002102</v>
      </c>
      <c r="CF16" s="15">
        <f t="shared" si="26"/>
        <v>2637.99</v>
      </c>
      <c r="CG16" s="15">
        <f t="shared" si="27"/>
        <v>2655</v>
      </c>
      <c r="CH16" s="270">
        <f t="shared" si="28"/>
        <v>-293.60001683751852</v>
      </c>
      <c r="CJ16" s="52">
        <f t="shared" si="8"/>
        <v>19.329999999999998</v>
      </c>
      <c r="CK16" s="1">
        <v>14</v>
      </c>
      <c r="CL16" s="1">
        <f t="shared" si="29"/>
        <v>7.52</v>
      </c>
      <c r="CM16" s="1">
        <f t="shared" si="30"/>
        <v>8</v>
      </c>
      <c r="CN16" s="15">
        <f t="shared" si="31"/>
        <v>2.6700000000000017</v>
      </c>
      <c r="CO16" s="15">
        <f t="shared" si="32"/>
        <v>3.1799999999999997</v>
      </c>
      <c r="CP16" s="1">
        <f t="shared" si="33"/>
        <v>0</v>
      </c>
      <c r="CQ16" s="2">
        <v>14</v>
      </c>
      <c r="CR16" s="15">
        <f t="shared" si="34"/>
        <v>1270</v>
      </c>
      <c r="CS16" s="15">
        <f>'Daily CEM-1'!H17+'Daily CEM-1'!I17+'Daily CEM-1'!J17+'Daily CEM-1'!K17+'Daily CEM-1'!L17</f>
        <v>21.33</v>
      </c>
      <c r="CT16" s="15">
        <f>AQ16+AT16+AW16+'Daily  CEM - 2'!K17+'Daily  CEM - 2'!L17</f>
        <v>20.82</v>
      </c>
      <c r="CU16" s="52">
        <f t="shared" si="35"/>
        <v>2.6700000000000017</v>
      </c>
      <c r="CW16" s="52">
        <f t="shared" si="36"/>
        <v>2022.33</v>
      </c>
      <c r="CX16" s="52">
        <v>14</v>
      </c>
      <c r="CZ16">
        <f t="shared" si="37"/>
        <v>2022.33</v>
      </c>
    </row>
    <row r="17" spans="2:106">
      <c r="B17" s="4">
        <v>15</v>
      </c>
      <c r="C17" s="1">
        <v>20.75</v>
      </c>
      <c r="D17" s="34">
        <f>'Mines (2)'!D17+'Mines (2)'!I17+'Mines (2)'!W17+'Mines (2)'!AA17+'Mines (2)'!AE17</f>
        <v>3691.98</v>
      </c>
      <c r="E17" s="169">
        <f>'Mines (2)'!E17+'Mines (2)'!J17+'Mines (2)'!X17+'Mines (2)'!AB17+'Mines (2)'!AF17</f>
        <v>2455</v>
      </c>
      <c r="F17" s="65">
        <f t="shared" si="44"/>
        <v>177.92674698795182</v>
      </c>
      <c r="G17" s="1">
        <v>21</v>
      </c>
      <c r="H17" s="16">
        <f t="shared" si="38"/>
        <v>1203.6000168375185</v>
      </c>
      <c r="I17" s="299">
        <f t="shared" si="9"/>
        <v>1422.3900168375185</v>
      </c>
      <c r="J17" s="1">
        <v>1278</v>
      </c>
      <c r="K17" s="36">
        <f>L17</f>
        <v>2092.5</v>
      </c>
      <c r="L17" s="36">
        <f>Clinker!EK17*1.55</f>
        <v>2092.5</v>
      </c>
      <c r="M17" s="36">
        <v>0</v>
      </c>
      <c r="N17" s="1">
        <v>2247</v>
      </c>
      <c r="O17" s="34">
        <f t="shared" si="1"/>
        <v>107</v>
      </c>
      <c r="P17" s="1">
        <v>8.4</v>
      </c>
      <c r="Q17" s="1">
        <v>64.290000000000006</v>
      </c>
      <c r="R17" s="15">
        <f t="shared" si="10"/>
        <v>7.6535714285714294</v>
      </c>
      <c r="S17" s="1">
        <v>16.5</v>
      </c>
      <c r="T17" s="16">
        <f t="shared" si="11"/>
        <v>52.709999999999809</v>
      </c>
      <c r="U17" s="1">
        <v>210</v>
      </c>
      <c r="V17" s="1">
        <v>211</v>
      </c>
      <c r="W17" s="18">
        <f t="shared" si="2"/>
        <v>51.709999999999809</v>
      </c>
      <c r="X17" s="34">
        <f t="shared" si="3"/>
        <v>12.727272727272727</v>
      </c>
      <c r="Y17" s="1">
        <v>24</v>
      </c>
      <c r="Z17" s="33">
        <f>Clinker!EK17</f>
        <v>1350</v>
      </c>
      <c r="AA17" s="34">
        <f t="shared" si="4"/>
        <v>56.25</v>
      </c>
      <c r="AB17" s="37">
        <f>'Daily CEM-1'!H18</f>
        <v>16</v>
      </c>
      <c r="AC17" s="33">
        <f>'Daily CEM-1'!C18</f>
        <v>1055</v>
      </c>
      <c r="AD17" s="34">
        <f t="shared" si="5"/>
        <v>65.9375</v>
      </c>
      <c r="AE17" s="37">
        <f>'Daily CEM-1'!I18</f>
        <v>0</v>
      </c>
      <c r="AF17" s="33">
        <f>'Daily CEM-1'!D18</f>
        <v>0</v>
      </c>
      <c r="AG17" s="34" t="e">
        <f t="shared" si="12"/>
        <v>#DIV/0!</v>
      </c>
      <c r="AH17" s="61">
        <f>'Daily CEM-1'!J18</f>
        <v>0</v>
      </c>
      <c r="AI17" s="61">
        <f>'Daily CEM-1'!E18</f>
        <v>0</v>
      </c>
      <c r="AJ17" s="61"/>
      <c r="AK17" s="61">
        <f>'Daily CEM-1'!K18</f>
        <v>0</v>
      </c>
      <c r="AL17" s="61">
        <f>'Daily CEM-1'!F18</f>
        <v>0</v>
      </c>
      <c r="AM17" s="61" t="e">
        <f t="shared" si="13"/>
        <v>#DIV/0!</v>
      </c>
      <c r="AN17" s="60">
        <f>'Daily CEM-1'!L18</f>
        <v>2</v>
      </c>
      <c r="AO17" s="60">
        <f>'Daily CEM-1'!G18</f>
        <v>136</v>
      </c>
      <c r="AP17" s="60">
        <f t="shared" si="14"/>
        <v>68</v>
      </c>
      <c r="AQ17" s="37">
        <f>'Daily  CEM - 2'!H18</f>
        <v>18.23</v>
      </c>
      <c r="AR17" s="33">
        <f>'Daily  CEM - 2'!C18</f>
        <v>1098</v>
      </c>
      <c r="AS17" s="34">
        <f t="shared" si="6"/>
        <v>60.230389467910037</v>
      </c>
      <c r="AT17" s="37">
        <f>'Daily  CEM - 2'!I18</f>
        <v>1</v>
      </c>
      <c r="AU17" s="33">
        <f>'Daily  CEM - 2'!D18</f>
        <v>60</v>
      </c>
      <c r="AV17" s="34">
        <f t="shared" si="7"/>
        <v>60</v>
      </c>
      <c r="AW17" s="61">
        <f>'Daily  CEM - 2'!J18</f>
        <v>0</v>
      </c>
      <c r="AX17" s="61">
        <f>'Daily  CEM - 2'!E18</f>
        <v>0</v>
      </c>
      <c r="AY17" s="197" t="e">
        <f t="shared" si="15"/>
        <v>#DIV/0!</v>
      </c>
      <c r="AZ17" s="61">
        <f>'Daily  CEM - 2'!K18</f>
        <v>2</v>
      </c>
      <c r="BA17" s="61">
        <f>'Daily  CEM - 2'!F18</f>
        <v>112</v>
      </c>
      <c r="BB17" s="60">
        <f t="shared" si="16"/>
        <v>56</v>
      </c>
      <c r="BC17" s="61">
        <f>'Daily  CEM - 2'!L18</f>
        <v>0</v>
      </c>
      <c r="BD17" s="61">
        <f>'Daily  CEM - 2'!G18</f>
        <v>0</v>
      </c>
      <c r="BE17" s="60" t="e">
        <f t="shared" si="17"/>
        <v>#DIV/0!</v>
      </c>
      <c r="BF17" s="16">
        <f t="shared" si="18"/>
        <v>471.02799999997796</v>
      </c>
      <c r="BG17" s="36">
        <f t="shared" si="19"/>
        <v>2153</v>
      </c>
      <c r="BH17" s="1">
        <v>2083.9</v>
      </c>
      <c r="BI17" s="18">
        <f>BF17+BG17-BH17-'Internal use cement'!F17</f>
        <v>540.12799999997787</v>
      </c>
      <c r="BJ17" s="16">
        <f t="shared" si="20"/>
        <v>113.29999999999995</v>
      </c>
      <c r="BK17" s="36">
        <f t="shared" si="21"/>
        <v>60</v>
      </c>
      <c r="BL17" s="1">
        <v>90</v>
      </c>
      <c r="BM17" s="18">
        <f>BJ17+BK17-BL17-'Internal use cement'!AB17</f>
        <v>83.299999999999955</v>
      </c>
      <c r="BN17" s="18">
        <f t="shared" si="39"/>
        <v>9.0000000000849845E-2</v>
      </c>
      <c r="BO17" s="63">
        <f t="shared" si="45"/>
        <v>0</v>
      </c>
      <c r="BP17" s="1">
        <v>0</v>
      </c>
      <c r="BQ17" s="66">
        <f>BN17+BO17-BP17-'Internal use cement'!Q17</f>
        <v>9.0000000000849845E-2</v>
      </c>
      <c r="BR17" s="18">
        <f t="shared" si="40"/>
        <v>97.600000000000051</v>
      </c>
      <c r="BS17" s="63">
        <f t="shared" si="23"/>
        <v>112</v>
      </c>
      <c r="BT17" s="1">
        <v>60</v>
      </c>
      <c r="BU17" s="66">
        <f>BR17+BS17-BT17-'Internal use cement'!AG17</f>
        <v>149.60000000000005</v>
      </c>
      <c r="BV17" s="66">
        <f t="shared" si="41"/>
        <v>69.020000000000209</v>
      </c>
      <c r="BW17" s="34">
        <f t="shared" si="24"/>
        <v>136</v>
      </c>
      <c r="BX17" s="1">
        <v>117.34</v>
      </c>
      <c r="BY17" s="66">
        <f>BV17+BW17-BX17-'Internal use cement'!AO17</f>
        <v>87.680000000000206</v>
      </c>
      <c r="BZ17" s="1">
        <v>391</v>
      </c>
      <c r="CA17" s="1">
        <v>724</v>
      </c>
      <c r="CB17" s="1">
        <v>28</v>
      </c>
      <c r="CC17" s="1">
        <f t="shared" si="42"/>
        <v>1143</v>
      </c>
      <c r="CD17" s="15">
        <f t="shared" si="25"/>
        <v>860.79799999997886</v>
      </c>
      <c r="CE17" s="269">
        <f t="shared" si="46"/>
        <v>282.20200000002114</v>
      </c>
      <c r="CF17" s="15">
        <f t="shared" si="26"/>
        <v>2351.2400000000002</v>
      </c>
      <c r="CG17" s="15">
        <f t="shared" si="27"/>
        <v>2461</v>
      </c>
      <c r="CH17" s="270">
        <f t="shared" si="28"/>
        <v>-144.39001683751849</v>
      </c>
      <c r="CJ17" s="52">
        <f t="shared" si="8"/>
        <v>16</v>
      </c>
      <c r="CK17" s="1">
        <v>15</v>
      </c>
      <c r="CL17" s="1">
        <f t="shared" si="29"/>
        <v>3</v>
      </c>
      <c r="CM17" s="1">
        <f t="shared" si="30"/>
        <v>7.5</v>
      </c>
      <c r="CN17" s="15">
        <f t="shared" si="31"/>
        <v>6</v>
      </c>
      <c r="CO17" s="15">
        <f t="shared" si="32"/>
        <v>2.7699999999999996</v>
      </c>
      <c r="CP17" s="1">
        <f t="shared" si="33"/>
        <v>0</v>
      </c>
      <c r="CQ17" s="2">
        <v>15</v>
      </c>
      <c r="CR17" s="15">
        <f t="shared" si="34"/>
        <v>1158</v>
      </c>
      <c r="CS17" s="15">
        <f>'Daily CEM-1'!H18+'Daily CEM-1'!I18+'Daily CEM-1'!J18+'Daily CEM-1'!K18+'Daily CEM-1'!L18</f>
        <v>18</v>
      </c>
      <c r="CT17" s="15">
        <f>AQ17+AT17+AW17+'Daily  CEM - 2'!K18+'Daily  CEM - 2'!L18</f>
        <v>21.23</v>
      </c>
      <c r="CU17" s="52">
        <f t="shared" si="35"/>
        <v>6</v>
      </c>
      <c r="CW17" s="52">
        <f t="shared" si="36"/>
        <v>2311.29</v>
      </c>
      <c r="CX17" s="52">
        <v>15</v>
      </c>
      <c r="CZ17">
        <f t="shared" si="37"/>
        <v>2311.29</v>
      </c>
    </row>
    <row r="18" spans="2:106" s="319" customFormat="1">
      <c r="B18" s="346">
        <v>16</v>
      </c>
      <c r="C18" s="1">
        <v>19.43</v>
      </c>
      <c r="D18" s="359">
        <f>'Mines (2)'!D18+'Mines (2)'!I18+'Mines (2)'!W18+'Mines (2)'!AA18+'Mines (2)'!AE18</f>
        <v>2201.7600000000002</v>
      </c>
      <c r="E18" s="368">
        <f>'Mines (2)'!E18+'Mines (2)'!J18+'Mines (2)'!X18+'Mines (2)'!AB18+'Mines (2)'!AF18</f>
        <v>2547</v>
      </c>
      <c r="F18" s="359">
        <f t="shared" si="44"/>
        <v>113.31755018013382</v>
      </c>
      <c r="G18" s="1">
        <v>21.37</v>
      </c>
      <c r="H18" s="16">
        <f t="shared" si="38"/>
        <v>1422.3900168375185</v>
      </c>
      <c r="I18" s="299">
        <f t="shared" si="9"/>
        <v>1677.5500168375183</v>
      </c>
      <c r="J18" s="1">
        <v>1620</v>
      </c>
      <c r="K18" s="369">
        <f t="shared" si="0"/>
        <v>2154.5</v>
      </c>
      <c r="L18" s="369">
        <f>Clinker!EK18*1.55</f>
        <v>2154.5</v>
      </c>
      <c r="M18" s="36">
        <v>0</v>
      </c>
      <c r="N18" s="1">
        <v>2409.66</v>
      </c>
      <c r="O18" s="359">
        <f t="shared" si="1"/>
        <v>112.75900795507719</v>
      </c>
      <c r="P18" s="1">
        <v>0</v>
      </c>
      <c r="Q18" s="1">
        <v>0</v>
      </c>
      <c r="R18" s="362" t="e">
        <f t="shared" si="10"/>
        <v>#DIV/0!</v>
      </c>
      <c r="S18" s="1">
        <v>17.5</v>
      </c>
      <c r="T18" s="358">
        <f t="shared" si="11"/>
        <v>51.709999999999809</v>
      </c>
      <c r="U18" s="1">
        <v>220</v>
      </c>
      <c r="V18" s="1">
        <v>220</v>
      </c>
      <c r="W18" s="351">
        <f t="shared" si="2"/>
        <v>51.709999999999809</v>
      </c>
      <c r="X18" s="359">
        <f t="shared" si="3"/>
        <v>12.571428571428571</v>
      </c>
      <c r="Y18" s="1">
        <v>23.5</v>
      </c>
      <c r="Z18" s="350">
        <f>Clinker!EK18</f>
        <v>1390</v>
      </c>
      <c r="AA18" s="359">
        <f t="shared" si="4"/>
        <v>59.148936170212764</v>
      </c>
      <c r="AB18" s="370">
        <f>'Daily CEM-1'!H19</f>
        <v>22</v>
      </c>
      <c r="AC18" s="350">
        <f>'Daily CEM-1'!C19</f>
        <v>1432</v>
      </c>
      <c r="AD18" s="359">
        <f t="shared" si="5"/>
        <v>65.090909090909093</v>
      </c>
      <c r="AE18" s="370">
        <f>'Daily CEM-1'!I19</f>
        <v>2</v>
      </c>
      <c r="AF18" s="350">
        <f>'Daily CEM-1'!D19</f>
        <v>140</v>
      </c>
      <c r="AG18" s="359">
        <f t="shared" si="12"/>
        <v>70</v>
      </c>
      <c r="AH18" s="371">
        <f>'Daily CEM-1'!J19</f>
        <v>0</v>
      </c>
      <c r="AI18" s="371">
        <f>'Daily CEM-1'!E19</f>
        <v>0</v>
      </c>
      <c r="AJ18" s="371"/>
      <c r="AK18" s="371">
        <f>'Daily CEM-1'!K19</f>
        <v>0</v>
      </c>
      <c r="AL18" s="371">
        <f>'Daily CEM-1'!F19</f>
        <v>0</v>
      </c>
      <c r="AM18" s="371" t="e">
        <f t="shared" si="13"/>
        <v>#DIV/0!</v>
      </c>
      <c r="AN18" s="60">
        <f>'Daily CEM-1'!L19</f>
        <v>0</v>
      </c>
      <c r="AO18" s="60">
        <f>'Daily CEM-1'!G19</f>
        <v>0</v>
      </c>
      <c r="AP18" s="60" t="e">
        <f t="shared" si="14"/>
        <v>#DIV/0!</v>
      </c>
      <c r="AQ18" s="370">
        <f>'Daily  CEM - 2'!H19</f>
        <v>17.48</v>
      </c>
      <c r="AR18" s="350">
        <f>'Daily  CEM - 2'!C19</f>
        <v>1012</v>
      </c>
      <c r="AS18" s="359">
        <f t="shared" si="6"/>
        <v>57.89473684210526</v>
      </c>
      <c r="AT18" s="370">
        <f>'Daily  CEM - 2'!I19</f>
        <v>0</v>
      </c>
      <c r="AU18" s="350">
        <f>'Daily  CEM - 2'!D19</f>
        <v>0</v>
      </c>
      <c r="AV18" s="359" t="e">
        <f t="shared" si="7"/>
        <v>#DIV/0!</v>
      </c>
      <c r="AW18" s="371">
        <f>'Daily  CEM - 2'!J19</f>
        <v>0</v>
      </c>
      <c r="AX18" s="371">
        <f>'Daily  CEM - 2'!E19</f>
        <v>0</v>
      </c>
      <c r="AY18" s="372" t="e">
        <f t="shared" si="15"/>
        <v>#DIV/0!</v>
      </c>
      <c r="AZ18" s="371">
        <f>'Daily  CEM - 2'!K19</f>
        <v>2.2999999999999998</v>
      </c>
      <c r="BA18" s="371">
        <f>'Daily  CEM - 2'!F19</f>
        <v>130</v>
      </c>
      <c r="BB18" s="373">
        <f t="shared" si="16"/>
        <v>56.521739130434788</v>
      </c>
      <c r="BC18" s="61">
        <f>'Daily  CEM - 2'!L19</f>
        <v>3</v>
      </c>
      <c r="BD18" s="61">
        <f>'Daily  CEM - 2'!G19</f>
        <v>186</v>
      </c>
      <c r="BE18" s="373">
        <f t="shared" si="17"/>
        <v>62</v>
      </c>
      <c r="BF18" s="358">
        <f t="shared" si="18"/>
        <v>540.12799999997787</v>
      </c>
      <c r="BG18" s="369">
        <f t="shared" si="19"/>
        <v>2444</v>
      </c>
      <c r="BH18" s="1">
        <v>1866</v>
      </c>
      <c r="BI18" s="18">
        <f>BF18+BG18-BH18-'Internal use cement'!F18</f>
        <v>1118.1279999999779</v>
      </c>
      <c r="BJ18" s="358">
        <f t="shared" si="20"/>
        <v>83.299999999999955</v>
      </c>
      <c r="BK18" s="369">
        <f t="shared" si="21"/>
        <v>140</v>
      </c>
      <c r="BL18" s="1">
        <v>120</v>
      </c>
      <c r="BM18" s="351">
        <f>BJ18+BK18-BL18-'Internal use cement'!AB18</f>
        <v>103.29999999999995</v>
      </c>
      <c r="BN18" s="351">
        <f t="shared" si="39"/>
        <v>9.0000000000849845E-2</v>
      </c>
      <c r="BO18" s="374">
        <f t="shared" si="45"/>
        <v>0</v>
      </c>
      <c r="BP18" s="1">
        <v>0</v>
      </c>
      <c r="BQ18" s="375">
        <f>BN18+BO18-BP18-'Internal use cement'!Q18</f>
        <v>9.0000000000849845E-2</v>
      </c>
      <c r="BR18" s="351">
        <f t="shared" si="40"/>
        <v>149.60000000000005</v>
      </c>
      <c r="BS18" s="374">
        <f t="shared" si="23"/>
        <v>130</v>
      </c>
      <c r="BT18" s="1">
        <v>90</v>
      </c>
      <c r="BU18" s="375">
        <f>BR18+BS18-BT18-'Internal use cement'!AG18</f>
        <v>189.35000000000002</v>
      </c>
      <c r="BV18" s="66">
        <f t="shared" si="41"/>
        <v>87.680000000000206</v>
      </c>
      <c r="BW18" s="34">
        <f t="shared" si="24"/>
        <v>186</v>
      </c>
      <c r="BX18" s="1">
        <v>94.56</v>
      </c>
      <c r="BY18" s="66">
        <f>BV18+BW18-BX18-'Internal use cement'!AO18</f>
        <v>179.12000000000018</v>
      </c>
      <c r="BZ18" s="1">
        <v>403</v>
      </c>
      <c r="CA18" s="1">
        <v>1304</v>
      </c>
      <c r="CB18" s="1">
        <v>69</v>
      </c>
      <c r="CC18" s="320">
        <f t="shared" si="42"/>
        <v>1776</v>
      </c>
      <c r="CD18" s="15">
        <f t="shared" si="25"/>
        <v>1589.9879999999787</v>
      </c>
      <c r="CE18" s="269">
        <f t="shared" si="46"/>
        <v>186.01200000002132</v>
      </c>
      <c r="CF18" s="15">
        <f t="shared" si="26"/>
        <v>2170.56</v>
      </c>
      <c r="CG18" s="15">
        <f t="shared" si="27"/>
        <v>2900</v>
      </c>
      <c r="CH18" s="270">
        <f t="shared" si="28"/>
        <v>-57.550016837518342</v>
      </c>
      <c r="CJ18" s="367">
        <f t="shared" si="8"/>
        <v>24</v>
      </c>
      <c r="CK18" s="320">
        <v>16</v>
      </c>
      <c r="CL18" s="320">
        <f t="shared" si="29"/>
        <v>2.629999999999999</v>
      </c>
      <c r="CM18" s="320">
        <f t="shared" si="30"/>
        <v>6.5</v>
      </c>
      <c r="CN18" s="362">
        <f t="shared" si="31"/>
        <v>0</v>
      </c>
      <c r="CO18" s="362">
        <f t="shared" si="32"/>
        <v>1.2199999999999989</v>
      </c>
      <c r="CP18" s="320">
        <f t="shared" si="33"/>
        <v>0.5</v>
      </c>
      <c r="CQ18" s="376">
        <v>16</v>
      </c>
      <c r="CR18" s="362">
        <f t="shared" si="34"/>
        <v>1012</v>
      </c>
      <c r="CS18" s="15">
        <f>'Daily CEM-1'!H19+'Daily CEM-1'!I19+'Daily CEM-1'!J19+'Daily CEM-1'!K19+'Daily CEM-1'!L19</f>
        <v>24</v>
      </c>
      <c r="CT18" s="15">
        <f>AQ18+AT18+AW18+'Daily  CEM - 2'!K19+'Daily  CEM - 2'!L19</f>
        <v>22.78</v>
      </c>
      <c r="CU18" s="367">
        <f t="shared" si="35"/>
        <v>0</v>
      </c>
      <c r="CW18" s="52">
        <f t="shared" si="36"/>
        <v>2409.66</v>
      </c>
      <c r="CX18" s="52">
        <v>16</v>
      </c>
      <c r="CZ18">
        <f t="shared" si="37"/>
        <v>2409.66</v>
      </c>
    </row>
    <row r="19" spans="2:106">
      <c r="B19" s="4">
        <v>17</v>
      </c>
      <c r="C19" s="1">
        <v>14.8</v>
      </c>
      <c r="D19" s="34">
        <f>'Mines (2)'!D19+'Mines (2)'!I19+'Mines (2)'!W19+'Mines (2)'!AA19+'Mines (2)'!AE19</f>
        <v>1964.7</v>
      </c>
      <c r="E19" s="169">
        <f>'Mines (2)'!E19+'Mines (2)'!J19+'Mines (2)'!X19+'Mines (2)'!AB19+'Mines (2)'!AF19</f>
        <v>1727</v>
      </c>
      <c r="F19" s="34">
        <f t="shared" si="44"/>
        <v>132.75</v>
      </c>
      <c r="G19" s="1">
        <v>15.07</v>
      </c>
      <c r="H19" s="16">
        <f t="shared" si="38"/>
        <v>1677.5500168375183</v>
      </c>
      <c r="I19" s="299">
        <f t="shared" si="9"/>
        <v>1088.410016837518</v>
      </c>
      <c r="J19" s="1">
        <v>833</v>
      </c>
      <c r="K19" s="36">
        <f>L19</f>
        <v>2208.75</v>
      </c>
      <c r="L19" s="36">
        <f>Clinker!EK19*1.55</f>
        <v>2208.75</v>
      </c>
      <c r="M19" s="36">
        <v>0</v>
      </c>
      <c r="N19" s="1">
        <v>1619.61</v>
      </c>
      <c r="O19" s="34">
        <f t="shared" si="1"/>
        <v>107.47246184472461</v>
      </c>
      <c r="P19" s="1">
        <v>0</v>
      </c>
      <c r="Q19" s="1">
        <v>0</v>
      </c>
      <c r="R19" s="15" t="e">
        <f t="shared" si="10"/>
        <v>#DIV/0!</v>
      </c>
      <c r="S19" s="1">
        <v>17</v>
      </c>
      <c r="T19" s="16">
        <f t="shared" si="11"/>
        <v>51.709999999999809</v>
      </c>
      <c r="U19" s="1">
        <v>220</v>
      </c>
      <c r="V19" s="1">
        <v>222</v>
      </c>
      <c r="W19" s="18">
        <f t="shared" si="2"/>
        <v>49.709999999999809</v>
      </c>
      <c r="X19" s="34">
        <f t="shared" si="3"/>
        <v>12.941176470588236</v>
      </c>
      <c r="Y19" s="1">
        <v>24</v>
      </c>
      <c r="Z19" s="33">
        <f>Clinker!EK19</f>
        <v>1425</v>
      </c>
      <c r="AA19" s="34">
        <f t="shared" si="4"/>
        <v>59.375</v>
      </c>
      <c r="AB19" s="37">
        <f>'Daily CEM-1'!H20</f>
        <v>17.649999999999999</v>
      </c>
      <c r="AC19" s="33">
        <f>'Daily CEM-1'!C20</f>
        <v>1140</v>
      </c>
      <c r="AD19" s="34">
        <f t="shared" si="5"/>
        <v>64.589235127478759</v>
      </c>
      <c r="AE19" s="37">
        <f>'Daily CEM-1'!I20</f>
        <v>0</v>
      </c>
      <c r="AF19" s="33">
        <f>'Daily CEM-1'!D20</f>
        <v>0</v>
      </c>
      <c r="AG19" s="34" t="e">
        <f t="shared" si="12"/>
        <v>#DIV/0!</v>
      </c>
      <c r="AH19" s="61">
        <f>'Daily CEM-1'!J20</f>
        <v>0</v>
      </c>
      <c r="AI19" s="61">
        <f>'Daily CEM-1'!E20</f>
        <v>0</v>
      </c>
      <c r="AJ19" s="61"/>
      <c r="AK19" s="61">
        <f>'Daily CEM-1'!K20</f>
        <v>0</v>
      </c>
      <c r="AL19" s="61">
        <f>'Daily CEM-1'!F20</f>
        <v>0</v>
      </c>
      <c r="AM19" s="61" t="e">
        <f t="shared" si="13"/>
        <v>#DIV/0!</v>
      </c>
      <c r="AN19" s="60">
        <f>'Daily CEM-1'!L20</f>
        <v>6</v>
      </c>
      <c r="AO19" s="60">
        <f>'Daily CEM-1'!G20</f>
        <v>420</v>
      </c>
      <c r="AP19" s="60">
        <f t="shared" si="14"/>
        <v>70</v>
      </c>
      <c r="AQ19" s="37">
        <f>'Daily  CEM - 2'!H20</f>
        <v>15.95</v>
      </c>
      <c r="AR19" s="33">
        <f>'Daily  CEM - 2'!C20</f>
        <v>883</v>
      </c>
      <c r="AS19" s="34">
        <f t="shared" si="6"/>
        <v>55.360501567398124</v>
      </c>
      <c r="AT19" s="37">
        <f>'Daily  CEM - 2'!I20</f>
        <v>6</v>
      </c>
      <c r="AU19" s="33">
        <f>'Daily  CEM - 2'!D20</f>
        <v>372</v>
      </c>
      <c r="AV19" s="34">
        <f t="shared" si="7"/>
        <v>62</v>
      </c>
      <c r="AW19" s="61">
        <f>'Daily  CEM - 2'!J20</f>
        <v>0</v>
      </c>
      <c r="AX19" s="61">
        <f>'Daily  CEM - 2'!E20</f>
        <v>0</v>
      </c>
      <c r="AY19" s="197" t="e">
        <f t="shared" si="15"/>
        <v>#DIV/0!</v>
      </c>
      <c r="AZ19" s="61">
        <f>'Daily  CEM - 2'!K20</f>
        <v>0</v>
      </c>
      <c r="BA19" s="61">
        <f>'Daily  CEM - 2'!F20</f>
        <v>0</v>
      </c>
      <c r="BB19" s="60" t="e">
        <f t="shared" si="16"/>
        <v>#DIV/0!</v>
      </c>
      <c r="BC19" s="61">
        <f>'Daily  CEM - 2'!L20</f>
        <v>0</v>
      </c>
      <c r="BD19" s="61">
        <f>'Daily  CEM - 2'!G20</f>
        <v>0</v>
      </c>
      <c r="BE19" s="60" t="e">
        <f t="shared" si="17"/>
        <v>#DIV/0!</v>
      </c>
      <c r="BF19" s="16">
        <f t="shared" si="18"/>
        <v>1118.1279999999779</v>
      </c>
      <c r="BG19" s="36">
        <f t="shared" si="19"/>
        <v>2023</v>
      </c>
      <c r="BH19" s="1">
        <v>1952.76</v>
      </c>
      <c r="BI19" s="18">
        <f>BF19+BG19-BH19-'Internal use cement'!F19</f>
        <v>1188.3679999999779</v>
      </c>
      <c r="BJ19" s="16">
        <f t="shared" si="20"/>
        <v>103.29999999999995</v>
      </c>
      <c r="BK19" s="36">
        <f t="shared" si="21"/>
        <v>372</v>
      </c>
      <c r="BL19" s="1">
        <v>199</v>
      </c>
      <c r="BM19" s="18">
        <f>BJ19+BK19-BL19-'Internal use cement'!AB19</f>
        <v>276.29999999999995</v>
      </c>
      <c r="BN19" s="18">
        <f t="shared" si="39"/>
        <v>9.0000000000849845E-2</v>
      </c>
      <c r="BO19" s="63">
        <f t="shared" si="45"/>
        <v>0</v>
      </c>
      <c r="BP19" s="1">
        <v>0</v>
      </c>
      <c r="BQ19" s="66">
        <f>BN19+BO19-BP19-'Internal use cement'!Q19</f>
        <v>9.0000000000849845E-2</v>
      </c>
      <c r="BR19" s="18">
        <f t="shared" si="40"/>
        <v>189.35000000000002</v>
      </c>
      <c r="BS19" s="63">
        <f t="shared" si="23"/>
        <v>0</v>
      </c>
      <c r="BT19" s="1">
        <v>120</v>
      </c>
      <c r="BU19" s="66">
        <f>BR19+BS19-BT19-'Internal use cement'!AG19</f>
        <v>69.350000000000023</v>
      </c>
      <c r="BV19" s="66">
        <f t="shared" si="41"/>
        <v>179.12000000000018</v>
      </c>
      <c r="BW19" s="34">
        <f t="shared" si="24"/>
        <v>420</v>
      </c>
      <c r="BX19" s="1">
        <v>271.04000000000002</v>
      </c>
      <c r="BY19" s="66">
        <f>BV19+BW19-BX19-'Internal use cement'!AO19</f>
        <v>328.0800000000001</v>
      </c>
      <c r="BZ19" s="1">
        <v>100</v>
      </c>
      <c r="CA19" s="1">
        <v>1712</v>
      </c>
      <c r="CB19" s="1">
        <v>119</v>
      </c>
      <c r="CC19" s="1">
        <f t="shared" si="42"/>
        <v>1931</v>
      </c>
      <c r="CD19" s="15">
        <f>BI19+BM19+BQ19+BU19+BY19</f>
        <v>1862.187999999979</v>
      </c>
      <c r="CE19" s="270">
        <f>CC19-CD19</f>
        <v>68.812000000021044</v>
      </c>
      <c r="CF19" s="15">
        <f t="shared" si="26"/>
        <v>2542.8000000000002</v>
      </c>
      <c r="CG19" s="15">
        <f t="shared" si="27"/>
        <v>2815</v>
      </c>
      <c r="CH19" s="270">
        <f>J19-I19</f>
        <v>-255.41001683751801</v>
      </c>
      <c r="CJ19" s="52">
        <f t="shared" si="8"/>
        <v>17.649999999999999</v>
      </c>
      <c r="CK19" s="1">
        <v>17</v>
      </c>
      <c r="CL19" s="1">
        <f t="shared" si="29"/>
        <v>8.93</v>
      </c>
      <c r="CM19" s="1">
        <f t="shared" si="30"/>
        <v>7</v>
      </c>
      <c r="CN19" s="15">
        <f t="shared" si="31"/>
        <v>0.35000000000000142</v>
      </c>
      <c r="CO19" s="15">
        <f t="shared" si="32"/>
        <v>2.0500000000000007</v>
      </c>
      <c r="CP19" s="1">
        <f t="shared" si="33"/>
        <v>0</v>
      </c>
      <c r="CQ19" s="2">
        <v>17</v>
      </c>
      <c r="CR19" s="15">
        <f t="shared" si="34"/>
        <v>1255</v>
      </c>
      <c r="CS19" s="15">
        <f>'Daily CEM-1'!H20+'Daily CEM-1'!I20+'Daily CEM-1'!J20+'Daily CEM-1'!K20+'Daily CEM-1'!L20</f>
        <v>23.65</v>
      </c>
      <c r="CT19" s="15">
        <f>AQ19+AT19+AW19+'Daily  CEM - 2'!K20+'Daily  CEM - 2'!L20</f>
        <v>21.95</v>
      </c>
      <c r="CU19" s="52">
        <f t="shared" si="35"/>
        <v>0.35000000000000142</v>
      </c>
      <c r="CW19" s="52">
        <f t="shared" si="36"/>
        <v>1619.61</v>
      </c>
      <c r="CX19" s="52">
        <v>17</v>
      </c>
      <c r="CZ19">
        <f t="shared" si="37"/>
        <v>1619.61</v>
      </c>
    </row>
    <row r="20" spans="2:106">
      <c r="B20" s="4">
        <v>18</v>
      </c>
      <c r="C20" s="1">
        <v>17.82</v>
      </c>
      <c r="D20" s="34">
        <f>'Mines (2)'!D20+'Mines (2)'!I20+'Mines (2)'!W20+'Mines (2)'!AA20+'Mines (2)'!AE20</f>
        <v>2656.34</v>
      </c>
      <c r="E20" s="169">
        <f>'Mines (2)'!E20+'Mines (2)'!J20+'Mines (2)'!X20+'Mines (2)'!AB20+'Mines (2)'!AF20</f>
        <v>2148</v>
      </c>
      <c r="F20" s="34">
        <f t="shared" si="44"/>
        <v>149.06509539842872</v>
      </c>
      <c r="G20" s="1">
        <v>19.100000000000001</v>
      </c>
      <c r="H20" s="16">
        <f t="shared" si="38"/>
        <v>1088.410016837518</v>
      </c>
      <c r="I20" s="299">
        <f t="shared" si="9"/>
        <v>1076.6500168375178</v>
      </c>
      <c r="J20" s="1">
        <v>1224</v>
      </c>
      <c r="K20" s="36">
        <f t="shared" si="0"/>
        <v>2092.5</v>
      </c>
      <c r="L20" s="36">
        <f>Clinker!EK20*1.55</f>
        <v>2092.5</v>
      </c>
      <c r="M20" s="36">
        <v>0</v>
      </c>
      <c r="N20" s="1">
        <v>2080.7399999999998</v>
      </c>
      <c r="O20" s="34">
        <f t="shared" si="1"/>
        <v>108.93926701570679</v>
      </c>
      <c r="P20" s="1">
        <v>0</v>
      </c>
      <c r="Q20" s="1">
        <v>0</v>
      </c>
      <c r="R20" s="15" t="e">
        <f t="shared" si="10"/>
        <v>#DIV/0!</v>
      </c>
      <c r="S20" s="1">
        <v>16.5</v>
      </c>
      <c r="T20" s="16">
        <f t="shared" si="11"/>
        <v>49.709999999999809</v>
      </c>
      <c r="U20" s="1">
        <v>214</v>
      </c>
      <c r="V20" s="1">
        <v>209</v>
      </c>
      <c r="W20" s="18">
        <f t="shared" si="2"/>
        <v>54.709999999999809</v>
      </c>
      <c r="X20" s="34">
        <f t="shared" si="3"/>
        <v>12.969696969696969</v>
      </c>
      <c r="Y20" s="1">
        <v>24</v>
      </c>
      <c r="Z20" s="33">
        <f>Clinker!EK20</f>
        <v>1350</v>
      </c>
      <c r="AA20" s="34">
        <f t="shared" si="4"/>
        <v>56.25</v>
      </c>
      <c r="AB20" s="37">
        <f>'Daily CEM-1'!H21</f>
        <v>24</v>
      </c>
      <c r="AC20" s="33">
        <f>'Daily CEM-1'!C21</f>
        <v>1580</v>
      </c>
      <c r="AD20" s="34">
        <f t="shared" si="5"/>
        <v>65.833333333333329</v>
      </c>
      <c r="AE20" s="37">
        <f>'Daily CEM-1'!I21</f>
        <v>0</v>
      </c>
      <c r="AF20" s="33">
        <f>'Daily CEM-1'!D21</f>
        <v>0</v>
      </c>
      <c r="AG20" s="34" t="e">
        <f t="shared" si="12"/>
        <v>#DIV/0!</v>
      </c>
      <c r="AH20" s="61">
        <f>'Daily CEM-1'!J21</f>
        <v>0</v>
      </c>
      <c r="AI20" s="61">
        <f>'Daily CEM-1'!E21</f>
        <v>0</v>
      </c>
      <c r="AJ20" s="61"/>
      <c r="AK20" s="61">
        <f>'Daily CEM-1'!K21</f>
        <v>0</v>
      </c>
      <c r="AL20" s="61">
        <f>'Daily CEM-1'!F21</f>
        <v>0</v>
      </c>
      <c r="AM20" s="61" t="e">
        <f t="shared" si="13"/>
        <v>#DIV/0!</v>
      </c>
      <c r="AN20" s="60">
        <f>'Daily CEM-1'!L21</f>
        <v>0</v>
      </c>
      <c r="AO20" s="60">
        <f>'Daily CEM-1'!G21</f>
        <v>0</v>
      </c>
      <c r="AP20" s="60" t="e">
        <f t="shared" si="14"/>
        <v>#DIV/0!</v>
      </c>
      <c r="AQ20" s="37">
        <f>'Daily  CEM - 2'!H21</f>
        <v>11.5</v>
      </c>
      <c r="AR20" s="33">
        <f>'Daily  CEM - 2'!C21</f>
        <v>636</v>
      </c>
      <c r="AS20" s="34">
        <f t="shared" si="6"/>
        <v>55.304347826086953</v>
      </c>
      <c r="AT20" s="37">
        <f>'Daily  CEM - 2'!I21</f>
        <v>3</v>
      </c>
      <c r="AU20" s="33">
        <f>'Daily  CEM - 2'!D21</f>
        <v>186</v>
      </c>
      <c r="AV20" s="34">
        <f t="shared" si="7"/>
        <v>62</v>
      </c>
      <c r="AW20" s="61">
        <f>'Daily  CEM - 2'!J21</f>
        <v>0</v>
      </c>
      <c r="AX20" s="61">
        <f>'Daily  CEM - 2'!E21</f>
        <v>0</v>
      </c>
      <c r="AY20" s="197" t="e">
        <f t="shared" si="15"/>
        <v>#DIV/0!</v>
      </c>
      <c r="AZ20" s="61">
        <f>'Daily  CEM - 2'!K21</f>
        <v>3</v>
      </c>
      <c r="BA20" s="61">
        <f>'Daily  CEM - 2'!F21</f>
        <v>168</v>
      </c>
      <c r="BB20" s="60">
        <f t="shared" si="16"/>
        <v>56</v>
      </c>
      <c r="BC20" s="61">
        <f>'Daily  CEM - 2'!L21</f>
        <v>4</v>
      </c>
      <c r="BD20" s="61">
        <f>'Daily  CEM - 2'!G21</f>
        <v>240</v>
      </c>
      <c r="BE20" s="60">
        <f t="shared" si="17"/>
        <v>60</v>
      </c>
      <c r="BF20" s="16">
        <f t="shared" si="18"/>
        <v>1188.3679999999779</v>
      </c>
      <c r="BG20" s="36">
        <f t="shared" si="19"/>
        <v>2216</v>
      </c>
      <c r="BH20" s="1">
        <v>2360.75</v>
      </c>
      <c r="BI20" s="18">
        <f>BF20+BG20-BH20-'Internal use cement'!F20</f>
        <v>1043.6179999999777</v>
      </c>
      <c r="BJ20" s="16">
        <f t="shared" si="20"/>
        <v>276.29999999999995</v>
      </c>
      <c r="BK20" s="36">
        <f t="shared" si="21"/>
        <v>186</v>
      </c>
      <c r="BL20" s="1">
        <v>240</v>
      </c>
      <c r="BM20" s="18">
        <f>BJ20+BK20-BL20-'Internal use cement'!AB20</f>
        <v>222.29999999999995</v>
      </c>
      <c r="BN20" s="18">
        <f t="shared" si="39"/>
        <v>9.0000000000849845E-2</v>
      </c>
      <c r="BO20" s="63">
        <f t="shared" si="45"/>
        <v>0</v>
      </c>
      <c r="BP20" s="1">
        <v>0</v>
      </c>
      <c r="BQ20" s="66">
        <f>BN20+BO20-BP20-'Internal use cement'!Q20</f>
        <v>9.0000000000849845E-2</v>
      </c>
      <c r="BR20" s="18">
        <f t="shared" si="40"/>
        <v>69.350000000000023</v>
      </c>
      <c r="BS20" s="63">
        <f>BA20+AL20</f>
        <v>168</v>
      </c>
      <c r="BT20" s="1">
        <v>123</v>
      </c>
      <c r="BU20" s="66">
        <f>BR20+BS20-BT20-'Internal use cement'!AG20</f>
        <v>114.35000000000002</v>
      </c>
      <c r="BV20" s="66">
        <f t="shared" si="41"/>
        <v>328.0800000000001</v>
      </c>
      <c r="BW20" s="34">
        <f t="shared" si="24"/>
        <v>240</v>
      </c>
      <c r="BX20" s="1">
        <v>338.48</v>
      </c>
      <c r="BY20" s="66">
        <f>BV20+BW20-BX20-'Internal use cement'!AO20</f>
        <v>229.60000000000014</v>
      </c>
      <c r="BZ20" s="1">
        <v>1626</v>
      </c>
      <c r="CA20" s="1">
        <v>262</v>
      </c>
      <c r="CB20" s="1">
        <v>110</v>
      </c>
      <c r="CC20" s="1">
        <f t="shared" si="42"/>
        <v>1998</v>
      </c>
      <c r="CD20" s="15">
        <f t="shared" si="25"/>
        <v>1609.9579999999785</v>
      </c>
      <c r="CE20" s="269">
        <f t="shared" si="46"/>
        <v>388.04200000002152</v>
      </c>
      <c r="CF20" s="15">
        <f t="shared" si="26"/>
        <v>3062.23</v>
      </c>
      <c r="CG20" s="15">
        <f t="shared" si="27"/>
        <v>2810</v>
      </c>
      <c r="CH20" s="270">
        <f t="shared" si="28"/>
        <v>147.3499831624822</v>
      </c>
      <c r="CJ20" s="52">
        <f t="shared" si="8"/>
        <v>24</v>
      </c>
      <c r="CK20" s="1">
        <v>18</v>
      </c>
      <c r="CL20" s="1">
        <f t="shared" si="29"/>
        <v>4.8999999999999986</v>
      </c>
      <c r="CM20" s="1">
        <f t="shared" si="30"/>
        <v>7.5</v>
      </c>
      <c r="CN20" s="15">
        <f t="shared" si="31"/>
        <v>0</v>
      </c>
      <c r="CO20" s="15">
        <f t="shared" si="32"/>
        <v>2.5</v>
      </c>
      <c r="CP20" s="1">
        <f t="shared" si="33"/>
        <v>0</v>
      </c>
      <c r="CQ20" s="2">
        <v>18</v>
      </c>
      <c r="CR20" s="15">
        <f t="shared" si="34"/>
        <v>822</v>
      </c>
      <c r="CS20" s="15">
        <f>'Daily CEM-1'!H21+'Daily CEM-1'!I21+'Daily CEM-1'!J21+'Daily CEM-1'!K21+'Daily CEM-1'!L21</f>
        <v>24</v>
      </c>
      <c r="CT20" s="15">
        <f>AQ20+AT20+AW20+'Daily  CEM - 2'!K21+'Daily  CEM - 2'!L21</f>
        <v>21.5</v>
      </c>
      <c r="CU20" s="52">
        <f t="shared" si="35"/>
        <v>0</v>
      </c>
      <c r="CW20" s="52">
        <f t="shared" si="36"/>
        <v>2080.7399999999998</v>
      </c>
      <c r="CX20" s="52">
        <v>18</v>
      </c>
      <c r="CZ20">
        <f t="shared" si="37"/>
        <v>2080.7399999999998</v>
      </c>
    </row>
    <row r="21" spans="2:106" s="319" customFormat="1">
      <c r="B21" s="346">
        <v>19</v>
      </c>
      <c r="C21" s="1">
        <v>20.45</v>
      </c>
      <c r="D21" s="359">
        <f>'Mines (2)'!D21+'Mines (2)'!I21+'Mines (2)'!W21+'Mines (2)'!AA21+'Mines (2)'!AE21</f>
        <v>3482.96</v>
      </c>
      <c r="E21" s="368">
        <f>'Mines (2)'!E21+'Mines (2)'!J21+'Mines (2)'!X21+'Mines (2)'!AB21+'Mines (2)'!AF21</f>
        <v>1954</v>
      </c>
      <c r="F21" s="359">
        <f t="shared" si="44"/>
        <v>170.31589242053789</v>
      </c>
      <c r="G21" s="1">
        <v>17.37</v>
      </c>
      <c r="H21" s="16">
        <f t="shared" si="38"/>
        <v>1076.6500168375178</v>
      </c>
      <c r="I21" s="299">
        <f t="shared" si="9"/>
        <v>900.70001683751798</v>
      </c>
      <c r="J21" s="1">
        <v>977</v>
      </c>
      <c r="K21" s="369">
        <f t="shared" ref="K21:K33" si="47">L21</f>
        <v>2069.25</v>
      </c>
      <c r="L21" s="369">
        <f>Clinker!EK21*1.55</f>
        <v>2069.25</v>
      </c>
      <c r="M21" s="36">
        <v>0</v>
      </c>
      <c r="N21" s="1">
        <v>1893.3</v>
      </c>
      <c r="O21" s="359">
        <f t="shared" si="1"/>
        <v>108.99827288428324</v>
      </c>
      <c r="P21" s="1">
        <v>0</v>
      </c>
      <c r="Q21" s="1">
        <v>0</v>
      </c>
      <c r="R21" s="362" t="e">
        <f t="shared" si="10"/>
        <v>#DIV/0!</v>
      </c>
      <c r="S21" s="1">
        <v>16.38</v>
      </c>
      <c r="T21" s="358">
        <f t="shared" si="11"/>
        <v>54.709999999999809</v>
      </c>
      <c r="U21" s="1">
        <v>213</v>
      </c>
      <c r="V21" s="1">
        <v>206</v>
      </c>
      <c r="W21" s="351">
        <f t="shared" si="2"/>
        <v>61.709999999999809</v>
      </c>
      <c r="X21" s="359">
        <f t="shared" si="3"/>
        <v>13.003663003663004</v>
      </c>
      <c r="Y21" s="1">
        <v>24</v>
      </c>
      <c r="Z21" s="350">
        <f>Clinker!EK21</f>
        <v>1335</v>
      </c>
      <c r="AA21" s="359">
        <f t="shared" si="4"/>
        <v>55.625</v>
      </c>
      <c r="AB21" s="370">
        <f>'Daily CEM-1'!H22</f>
        <v>21</v>
      </c>
      <c r="AC21" s="350">
        <f>'Daily CEM-1'!C22</f>
        <v>1353</v>
      </c>
      <c r="AD21" s="359">
        <f t="shared" si="5"/>
        <v>64.428571428571431</v>
      </c>
      <c r="AE21" s="370">
        <f>'Daily CEM-1'!I22</f>
        <v>0</v>
      </c>
      <c r="AF21" s="350">
        <f>'Daily CEM-1'!D22</f>
        <v>0</v>
      </c>
      <c r="AG21" s="359" t="e">
        <f t="shared" si="12"/>
        <v>#DIV/0!</v>
      </c>
      <c r="AH21" s="371">
        <f>'Daily CEM-1'!J22</f>
        <v>0</v>
      </c>
      <c r="AI21" s="371">
        <f>'Daily CEM-1'!E22</f>
        <v>0</v>
      </c>
      <c r="AJ21" s="371"/>
      <c r="AK21" s="371">
        <f>'Daily CEM-1'!K22</f>
        <v>0</v>
      </c>
      <c r="AL21" s="371">
        <f>'Daily CEM-1'!F22</f>
        <v>0</v>
      </c>
      <c r="AM21" s="371" t="e">
        <f t="shared" si="13"/>
        <v>#DIV/0!</v>
      </c>
      <c r="AN21" s="60">
        <f>'Daily CEM-1'!L22</f>
        <v>3</v>
      </c>
      <c r="AO21" s="60">
        <f>'Daily CEM-1'!G22</f>
        <v>207</v>
      </c>
      <c r="AP21" s="60">
        <f t="shared" si="14"/>
        <v>69</v>
      </c>
      <c r="AQ21" s="370">
        <f>'Daily  CEM - 2'!H22</f>
        <v>17</v>
      </c>
      <c r="AR21" s="350">
        <f>'Daily  CEM - 2'!C22</f>
        <v>1000</v>
      </c>
      <c r="AS21" s="359">
        <f t="shared" si="6"/>
        <v>58.823529411764703</v>
      </c>
      <c r="AT21" s="370">
        <f>'Daily  CEM - 2'!I22</f>
        <v>0</v>
      </c>
      <c r="AU21" s="350">
        <f>'Daily  CEM - 2'!D22</f>
        <v>0</v>
      </c>
      <c r="AV21" s="359" t="e">
        <f t="shared" si="7"/>
        <v>#DIV/0!</v>
      </c>
      <c r="AW21" s="371">
        <f>'Daily  CEM - 2'!J22</f>
        <v>0</v>
      </c>
      <c r="AX21" s="371">
        <f>'Daily  CEM - 2'!E22</f>
        <v>0</v>
      </c>
      <c r="AY21" s="372" t="e">
        <f t="shared" si="15"/>
        <v>#DIV/0!</v>
      </c>
      <c r="AZ21" s="371">
        <f>'Daily  CEM - 2'!K22</f>
        <v>0</v>
      </c>
      <c r="BA21" s="371">
        <f>'Daily  CEM - 2'!F22</f>
        <v>0</v>
      </c>
      <c r="BB21" s="373" t="e">
        <f t="shared" si="16"/>
        <v>#DIV/0!</v>
      </c>
      <c r="BC21" s="61">
        <f>'Daily  CEM - 2'!L22</f>
        <v>7</v>
      </c>
      <c r="BD21" s="61">
        <f>'Daily  CEM - 2'!G22</f>
        <v>420</v>
      </c>
      <c r="BE21" s="373">
        <f t="shared" si="17"/>
        <v>60</v>
      </c>
      <c r="BF21" s="358">
        <f t="shared" si="18"/>
        <v>1043.6179999999777</v>
      </c>
      <c r="BG21" s="369">
        <f t="shared" si="19"/>
        <v>2353</v>
      </c>
      <c r="BH21" s="1">
        <v>2466.5</v>
      </c>
      <c r="BI21" s="18">
        <f>BF21+BG21-BH21-'Internal use cement'!F21</f>
        <v>930.11799999997766</v>
      </c>
      <c r="BJ21" s="358">
        <f t="shared" si="20"/>
        <v>222.29999999999995</v>
      </c>
      <c r="BK21" s="369">
        <f t="shared" si="21"/>
        <v>0</v>
      </c>
      <c r="BL21" s="1">
        <v>30</v>
      </c>
      <c r="BM21" s="351">
        <f>BJ21+BK21-BL21-'Internal use cement'!AB21</f>
        <v>192.29999999999995</v>
      </c>
      <c r="BN21" s="351">
        <f t="shared" si="39"/>
        <v>9.0000000000849845E-2</v>
      </c>
      <c r="BO21" s="374">
        <f t="shared" si="45"/>
        <v>0</v>
      </c>
      <c r="BP21" s="1">
        <v>0</v>
      </c>
      <c r="BQ21" s="375">
        <f>BN21+BO21-BP21-'Internal use cement'!Q21</f>
        <v>9.0000000000849845E-2</v>
      </c>
      <c r="BR21" s="351">
        <f t="shared" si="40"/>
        <v>114.35000000000002</v>
      </c>
      <c r="BS21" s="374">
        <f t="shared" si="23"/>
        <v>0</v>
      </c>
      <c r="BT21" s="1">
        <v>0</v>
      </c>
      <c r="BU21" s="375">
        <f>BR21+BS21-BT21-'Internal use cement'!AG21</f>
        <v>114.35000000000002</v>
      </c>
      <c r="BV21" s="66">
        <f t="shared" si="41"/>
        <v>229.60000000000014</v>
      </c>
      <c r="BW21" s="34">
        <f t="shared" si="24"/>
        <v>627</v>
      </c>
      <c r="BX21" s="1">
        <v>548.72</v>
      </c>
      <c r="BY21" s="66">
        <f>BV21+BW21-BX21-'Internal use cement'!AO21</f>
        <v>307.88000000000011</v>
      </c>
      <c r="BZ21" s="1">
        <v>1515</v>
      </c>
      <c r="CA21" s="1">
        <v>295</v>
      </c>
      <c r="CB21" s="1">
        <v>135</v>
      </c>
      <c r="CC21" s="320">
        <f t="shared" si="42"/>
        <v>1945</v>
      </c>
      <c r="CD21" s="15">
        <f t="shared" si="25"/>
        <v>1544.7379999999785</v>
      </c>
      <c r="CE21" s="269">
        <f t="shared" si="46"/>
        <v>400.26200000002154</v>
      </c>
      <c r="CF21" s="15">
        <f t="shared" si="26"/>
        <v>3045.2200000000003</v>
      </c>
      <c r="CG21" s="15">
        <f t="shared" si="27"/>
        <v>2980</v>
      </c>
      <c r="CH21" s="270">
        <f t="shared" si="28"/>
        <v>76.299983162482022</v>
      </c>
      <c r="CJ21" s="367">
        <f t="shared" si="8"/>
        <v>21</v>
      </c>
      <c r="CK21" s="320">
        <v>19</v>
      </c>
      <c r="CL21" s="320">
        <f t="shared" si="29"/>
        <v>6.629999999999999</v>
      </c>
      <c r="CM21" s="320">
        <f t="shared" si="30"/>
        <v>7.620000000000001</v>
      </c>
      <c r="CN21" s="362">
        <f t="shared" si="31"/>
        <v>0</v>
      </c>
      <c r="CO21" s="362">
        <f t="shared" si="32"/>
        <v>0</v>
      </c>
      <c r="CP21" s="320">
        <f t="shared" si="33"/>
        <v>0</v>
      </c>
      <c r="CQ21" s="376">
        <v>19</v>
      </c>
      <c r="CR21" s="362">
        <f t="shared" si="34"/>
        <v>1000</v>
      </c>
      <c r="CS21" s="15">
        <f>'Daily CEM-1'!H22+'Daily CEM-1'!I22+'Daily CEM-1'!J22+'Daily CEM-1'!K22+'Daily CEM-1'!L22</f>
        <v>24</v>
      </c>
      <c r="CT21" s="15">
        <f>AQ21+AT21+AW21+'Daily  CEM - 2'!K22+'Daily  CEM - 2'!L22</f>
        <v>24</v>
      </c>
      <c r="CU21" s="367">
        <f t="shared" si="35"/>
        <v>0</v>
      </c>
      <c r="CW21" s="52">
        <f t="shared" si="36"/>
        <v>1893.3</v>
      </c>
      <c r="CX21" s="52">
        <v>19</v>
      </c>
      <c r="CZ21">
        <f t="shared" si="37"/>
        <v>1893.3</v>
      </c>
    </row>
    <row r="22" spans="2:106" s="319" customFormat="1">
      <c r="B22" s="346">
        <v>20</v>
      </c>
      <c r="C22" s="1">
        <v>10.67</v>
      </c>
      <c r="D22" s="359">
        <f>'Mines (2)'!D22+'Mines (2)'!I22+'Mines (2)'!W22+'Mines (2)'!AA22+'Mines (2)'!AE22</f>
        <v>2081.44</v>
      </c>
      <c r="E22" s="368">
        <f>'Mines (2)'!E22+'Mines (2)'!J22+'Mines (2)'!X22+'Mines (2)'!AB22+'Mines (2)'!AF22</f>
        <v>1664</v>
      </c>
      <c r="F22" s="359">
        <f t="shared" si="44"/>
        <v>195.07403936269915</v>
      </c>
      <c r="G22" s="1">
        <v>14.77</v>
      </c>
      <c r="H22" s="16">
        <f t="shared" si="38"/>
        <v>900.70001683751798</v>
      </c>
      <c r="I22" s="299">
        <f t="shared" si="9"/>
        <v>544.34001683751831</v>
      </c>
      <c r="J22" s="1">
        <v>650</v>
      </c>
      <c r="K22" s="369">
        <f t="shared" si="47"/>
        <v>1968.5</v>
      </c>
      <c r="L22" s="369">
        <f>Clinker!EK22*1.55</f>
        <v>1968.5</v>
      </c>
      <c r="M22" s="36">
        <v>0</v>
      </c>
      <c r="N22" s="1">
        <v>1612.14</v>
      </c>
      <c r="O22" s="359">
        <f t="shared" si="1"/>
        <v>109.14962762356129</v>
      </c>
      <c r="P22" s="1">
        <v>0</v>
      </c>
      <c r="Q22" s="1">
        <v>0</v>
      </c>
      <c r="R22" s="362" t="e">
        <f t="shared" si="10"/>
        <v>#DIV/0!</v>
      </c>
      <c r="S22" s="1">
        <v>15</v>
      </c>
      <c r="T22" s="358">
        <f t="shared" si="11"/>
        <v>61.709999999999809</v>
      </c>
      <c r="U22" s="1">
        <v>205</v>
      </c>
      <c r="V22" s="1">
        <v>208</v>
      </c>
      <c r="W22" s="351">
        <f t="shared" si="2"/>
        <v>58.709999999999809</v>
      </c>
      <c r="X22" s="359">
        <f t="shared" si="3"/>
        <v>13.666666666666666</v>
      </c>
      <c r="Y22" s="1">
        <v>22.44</v>
      </c>
      <c r="Z22" s="350">
        <f>Clinker!EK22</f>
        <v>1270</v>
      </c>
      <c r="AA22" s="359">
        <f t="shared" si="4"/>
        <v>56.595365418894829</v>
      </c>
      <c r="AB22" s="370">
        <f>'Daily CEM-1'!H23</f>
        <v>19</v>
      </c>
      <c r="AC22" s="350">
        <f>'Daily CEM-1'!C23</f>
        <v>1258</v>
      </c>
      <c r="AD22" s="359">
        <f t="shared" si="5"/>
        <v>66.21052631578948</v>
      </c>
      <c r="AE22" s="370">
        <f>'Daily CEM-1'!I23</f>
        <v>2</v>
      </c>
      <c r="AF22" s="350">
        <f>'Daily CEM-1'!D23</f>
        <v>136</v>
      </c>
      <c r="AG22" s="359">
        <f t="shared" si="12"/>
        <v>68</v>
      </c>
      <c r="AH22" s="371">
        <f>'Daily CEM-1'!J23</f>
        <v>0</v>
      </c>
      <c r="AI22" s="371">
        <f>'Daily CEM-1'!E23</f>
        <v>0</v>
      </c>
      <c r="AJ22" s="371"/>
      <c r="AK22" s="371">
        <f>'Daily CEM-1'!K23</f>
        <v>0</v>
      </c>
      <c r="AL22" s="371">
        <f>'Daily CEM-1'!F23</f>
        <v>0</v>
      </c>
      <c r="AM22" s="371" t="e">
        <f t="shared" si="13"/>
        <v>#DIV/0!</v>
      </c>
      <c r="AN22" s="60">
        <f>'Daily CEM-1'!L23</f>
        <v>3</v>
      </c>
      <c r="AO22" s="60">
        <f>'Daily CEM-1'!G23</f>
        <v>204</v>
      </c>
      <c r="AP22" s="60">
        <f t="shared" si="14"/>
        <v>68</v>
      </c>
      <c r="AQ22" s="370">
        <f>'Daily  CEM - 2'!H23</f>
        <v>24</v>
      </c>
      <c r="AR22" s="350">
        <f>'Daily  CEM - 2'!C23</f>
        <v>1408</v>
      </c>
      <c r="AS22" s="359">
        <f t="shared" si="6"/>
        <v>58.666666666666664</v>
      </c>
      <c r="AT22" s="370">
        <f>'Daily  CEM - 2'!I23</f>
        <v>0</v>
      </c>
      <c r="AU22" s="350">
        <f>'Daily  CEM - 2'!D23</f>
        <v>0</v>
      </c>
      <c r="AV22" s="359" t="e">
        <f t="shared" si="7"/>
        <v>#DIV/0!</v>
      </c>
      <c r="AW22" s="371">
        <f>'Daily  CEM - 2'!J23</f>
        <v>0</v>
      </c>
      <c r="AX22" s="371">
        <f>'Daily  CEM - 2'!E23</f>
        <v>0</v>
      </c>
      <c r="AY22" s="372" t="e">
        <f t="shared" si="15"/>
        <v>#DIV/0!</v>
      </c>
      <c r="AZ22" s="371">
        <f>'Daily  CEM - 2'!K23</f>
        <v>0</v>
      </c>
      <c r="BA22" s="371">
        <f>'Daily  CEM - 2'!F23</f>
        <v>0</v>
      </c>
      <c r="BB22" s="373" t="e">
        <f t="shared" si="16"/>
        <v>#DIV/0!</v>
      </c>
      <c r="BC22" s="61">
        <f>'Daily  CEM - 2'!L23</f>
        <v>0</v>
      </c>
      <c r="BD22" s="61">
        <f>'Daily  CEM - 2'!G23</f>
        <v>0</v>
      </c>
      <c r="BE22" s="373" t="e">
        <f t="shared" si="17"/>
        <v>#DIV/0!</v>
      </c>
      <c r="BF22" s="358">
        <f t="shared" si="18"/>
        <v>930.11799999997766</v>
      </c>
      <c r="BG22" s="369">
        <f t="shared" si="19"/>
        <v>2666</v>
      </c>
      <c r="BH22" s="1">
        <v>2153.25</v>
      </c>
      <c r="BI22" s="18">
        <f>BF22+BG22-BH22-'Internal use cement'!F22</f>
        <v>1442.8679999999777</v>
      </c>
      <c r="BJ22" s="358">
        <f t="shared" si="20"/>
        <v>192.29999999999995</v>
      </c>
      <c r="BK22" s="369">
        <f t="shared" si="21"/>
        <v>136</v>
      </c>
      <c r="BL22" s="1">
        <v>182</v>
      </c>
      <c r="BM22" s="351">
        <f>BJ22+BK22-BL22-'Internal use cement'!AB22</f>
        <v>146.29999999999995</v>
      </c>
      <c r="BN22" s="351">
        <f t="shared" si="39"/>
        <v>9.0000000000849845E-2</v>
      </c>
      <c r="BO22" s="374">
        <f t="shared" si="45"/>
        <v>0</v>
      </c>
      <c r="BP22" s="1">
        <v>0</v>
      </c>
      <c r="BQ22" s="375">
        <f>BN22+BO22-BP22-'Internal use cement'!Q22</f>
        <v>9.0000000000849845E-2</v>
      </c>
      <c r="BR22" s="351">
        <f t="shared" si="40"/>
        <v>114.35000000000002</v>
      </c>
      <c r="BS22" s="374">
        <f t="shared" si="23"/>
        <v>0</v>
      </c>
      <c r="BT22" s="1">
        <v>0</v>
      </c>
      <c r="BU22" s="375">
        <f>BR22+BS22-BT22-'Internal use cement'!AG22</f>
        <v>114.35000000000002</v>
      </c>
      <c r="BV22" s="66">
        <f t="shared" si="41"/>
        <v>307.88000000000011</v>
      </c>
      <c r="BW22" s="34">
        <f t="shared" si="24"/>
        <v>204</v>
      </c>
      <c r="BX22" s="1">
        <v>399.64</v>
      </c>
      <c r="BY22" s="66">
        <f>BV22+BW22-BX22-'Internal use cement'!AO22</f>
        <v>112.24000000000012</v>
      </c>
      <c r="BZ22" s="1">
        <v>1805</v>
      </c>
      <c r="CA22" s="1">
        <v>521</v>
      </c>
      <c r="CB22" s="1">
        <v>121</v>
      </c>
      <c r="CC22" s="320">
        <f t="shared" si="42"/>
        <v>2447</v>
      </c>
      <c r="CD22" s="15">
        <f t="shared" si="25"/>
        <v>1815.8479999999786</v>
      </c>
      <c r="CE22" s="269">
        <f t="shared" si="46"/>
        <v>631.15200000002142</v>
      </c>
      <c r="CF22" s="15">
        <f t="shared" si="26"/>
        <v>2734.89</v>
      </c>
      <c r="CG22" s="15">
        <f t="shared" si="27"/>
        <v>3006</v>
      </c>
      <c r="CH22" s="270">
        <f t="shared" si="28"/>
        <v>105.65998316248169</v>
      </c>
      <c r="CJ22" s="367">
        <f t="shared" si="8"/>
        <v>21</v>
      </c>
      <c r="CK22" s="320">
        <v>20</v>
      </c>
      <c r="CL22" s="320">
        <f t="shared" si="29"/>
        <v>9.23</v>
      </c>
      <c r="CM22" s="320">
        <f t="shared" si="30"/>
        <v>9</v>
      </c>
      <c r="CN22" s="362">
        <f t="shared" si="31"/>
        <v>0</v>
      </c>
      <c r="CO22" s="362">
        <f t="shared" si="32"/>
        <v>0</v>
      </c>
      <c r="CP22" s="320">
        <f t="shared" si="33"/>
        <v>1.5599999999999987</v>
      </c>
      <c r="CQ22" s="376">
        <v>20</v>
      </c>
      <c r="CR22" s="362">
        <f t="shared" si="34"/>
        <v>1408</v>
      </c>
      <c r="CS22" s="15">
        <f>'Daily CEM-1'!H23+'Daily CEM-1'!I23+'Daily CEM-1'!J23+'Daily CEM-1'!K23+'Daily CEM-1'!L23</f>
        <v>24</v>
      </c>
      <c r="CT22" s="15">
        <f>AQ22+AT22+AW22+'Daily  CEM - 2'!K23+'Daily  CEM - 2'!L23</f>
        <v>24</v>
      </c>
      <c r="CU22" s="367">
        <f t="shared" si="35"/>
        <v>0</v>
      </c>
      <c r="CW22" s="52">
        <f t="shared" si="36"/>
        <v>1612.14</v>
      </c>
      <c r="CX22" s="52">
        <v>20</v>
      </c>
      <c r="CZ22">
        <f t="shared" si="37"/>
        <v>1612.14</v>
      </c>
    </row>
    <row r="23" spans="2:106" s="319" customFormat="1">
      <c r="B23" s="346">
        <v>21</v>
      </c>
      <c r="C23" s="1">
        <v>21.4</v>
      </c>
      <c r="D23" s="359">
        <f>'Mines (2)'!D23+'Mines (2)'!I23+'Mines (2)'!W23+'Mines (2)'!AA23+'Mines (2)'!AE23</f>
        <v>3370.48</v>
      </c>
      <c r="E23" s="368">
        <f>'Mines (2)'!E23+'Mines (2)'!J23+'Mines (2)'!X23+'Mines (2)'!AB23+'Mines (2)'!AF23</f>
        <v>1906</v>
      </c>
      <c r="F23" s="359">
        <f t="shared" si="44"/>
        <v>157.49906542056075</v>
      </c>
      <c r="G23" s="1">
        <v>16.53</v>
      </c>
      <c r="H23" s="16">
        <f t="shared" si="38"/>
        <v>544.34001683751831</v>
      </c>
      <c r="I23" s="299">
        <f t="shared" si="9"/>
        <v>556.30001683751834</v>
      </c>
      <c r="J23" s="1">
        <v>804</v>
      </c>
      <c r="K23" s="369">
        <f t="shared" si="47"/>
        <v>1798</v>
      </c>
      <c r="L23" s="369">
        <f>Clinker!EK23*1.55</f>
        <v>1798</v>
      </c>
      <c r="M23" s="36">
        <v>0</v>
      </c>
      <c r="N23" s="1">
        <v>1809.96</v>
      </c>
      <c r="O23" s="359">
        <f t="shared" si="1"/>
        <v>109.49546279491832</v>
      </c>
      <c r="P23" s="1">
        <v>0</v>
      </c>
      <c r="Q23" s="1">
        <v>0</v>
      </c>
      <c r="R23" s="362" t="e">
        <f t="shared" si="10"/>
        <v>#DIV/0!</v>
      </c>
      <c r="S23" s="1">
        <v>15</v>
      </c>
      <c r="T23" s="358">
        <f t="shared" si="11"/>
        <v>58.709999999999809</v>
      </c>
      <c r="U23" s="1">
        <v>190</v>
      </c>
      <c r="V23" s="1">
        <v>190</v>
      </c>
      <c r="W23" s="351">
        <f t="shared" si="2"/>
        <v>58.709999999999809</v>
      </c>
      <c r="X23" s="359">
        <f t="shared" si="3"/>
        <v>12.666666666666666</v>
      </c>
      <c r="Y23" s="1">
        <v>21.07</v>
      </c>
      <c r="Z23" s="350">
        <f>Clinker!EK23</f>
        <v>1160</v>
      </c>
      <c r="AA23" s="359">
        <f t="shared" si="4"/>
        <v>55.054579971523495</v>
      </c>
      <c r="AB23" s="370">
        <f>'Daily CEM-1'!H24</f>
        <v>12.8</v>
      </c>
      <c r="AC23" s="350">
        <f>'Daily CEM-1'!C24</f>
        <v>840</v>
      </c>
      <c r="AD23" s="359">
        <f t="shared" si="5"/>
        <v>65.625</v>
      </c>
      <c r="AE23" s="370">
        <f>'Daily CEM-1'!I24</f>
        <v>2.2000000000000002</v>
      </c>
      <c r="AF23" s="350">
        <f>'Daily CEM-1'!D24</f>
        <v>150</v>
      </c>
      <c r="AG23" s="359">
        <f t="shared" si="12"/>
        <v>68.181818181818173</v>
      </c>
      <c r="AH23" s="371">
        <f>'Daily CEM-1'!J24</f>
        <v>0</v>
      </c>
      <c r="AI23" s="371">
        <f>'Daily CEM-1'!E24</f>
        <v>0</v>
      </c>
      <c r="AJ23" s="371"/>
      <c r="AK23" s="371">
        <f>'Daily CEM-1'!K24</f>
        <v>2</v>
      </c>
      <c r="AL23" s="371">
        <f>'Daily CEM-1'!F24</f>
        <v>120</v>
      </c>
      <c r="AM23" s="371">
        <f t="shared" si="13"/>
        <v>60</v>
      </c>
      <c r="AN23" s="60">
        <f>'Daily CEM-1'!L24</f>
        <v>7</v>
      </c>
      <c r="AO23" s="60">
        <f>'Daily CEM-1'!G24</f>
        <v>480</v>
      </c>
      <c r="AP23" s="60">
        <f t="shared" si="14"/>
        <v>68.571428571428569</v>
      </c>
      <c r="AQ23" s="370">
        <f>'Daily  CEM - 2'!H24</f>
        <v>24</v>
      </c>
      <c r="AR23" s="350">
        <f>'Daily  CEM - 2'!C24</f>
        <v>1420</v>
      </c>
      <c r="AS23" s="359">
        <f t="shared" si="6"/>
        <v>59.166666666666664</v>
      </c>
      <c r="AT23" s="370">
        <f>'Daily  CEM - 2'!I24</f>
        <v>0</v>
      </c>
      <c r="AU23" s="350">
        <f>'Daily  CEM - 2'!D24</f>
        <v>0</v>
      </c>
      <c r="AV23" s="359" t="e">
        <f t="shared" si="7"/>
        <v>#DIV/0!</v>
      </c>
      <c r="AW23" s="371">
        <f>'Daily  CEM - 2'!J24</f>
        <v>0</v>
      </c>
      <c r="AX23" s="371">
        <f>'Daily  CEM - 2'!E24</f>
        <v>0</v>
      </c>
      <c r="AY23" s="372" t="e">
        <f t="shared" si="15"/>
        <v>#DIV/0!</v>
      </c>
      <c r="AZ23" s="371">
        <f>'Daily  CEM - 2'!K24</f>
        <v>0</v>
      </c>
      <c r="BA23" s="371">
        <f>'Daily  CEM - 2'!F24</f>
        <v>0</v>
      </c>
      <c r="BB23" s="373" t="e">
        <f t="shared" si="16"/>
        <v>#DIV/0!</v>
      </c>
      <c r="BC23" s="61">
        <f>'Daily  CEM - 2'!L24</f>
        <v>0</v>
      </c>
      <c r="BD23" s="61">
        <f>'Daily  CEM - 2'!G24</f>
        <v>0</v>
      </c>
      <c r="BE23" s="373" t="e">
        <f t="shared" si="17"/>
        <v>#DIV/0!</v>
      </c>
      <c r="BF23" s="358">
        <f t="shared" si="18"/>
        <v>1442.8679999999777</v>
      </c>
      <c r="BG23" s="369">
        <f t="shared" si="19"/>
        <v>2260</v>
      </c>
      <c r="BH23" s="1">
        <v>2847.23</v>
      </c>
      <c r="BI23" s="18">
        <f>BF23+BG23-BH23-'Internal use cement'!F23</f>
        <v>855.63799999997764</v>
      </c>
      <c r="BJ23" s="358">
        <f t="shared" si="20"/>
        <v>146.29999999999995</v>
      </c>
      <c r="BK23" s="369">
        <f t="shared" si="21"/>
        <v>150</v>
      </c>
      <c r="BL23" s="1">
        <v>128</v>
      </c>
      <c r="BM23" s="351">
        <f>BJ23+BK23-BL23-'Internal use cement'!AB23</f>
        <v>168.29999999999995</v>
      </c>
      <c r="BN23" s="351">
        <f t="shared" si="39"/>
        <v>9.0000000000849845E-2</v>
      </c>
      <c r="BO23" s="374">
        <f t="shared" si="45"/>
        <v>0</v>
      </c>
      <c r="BP23" s="1">
        <v>0</v>
      </c>
      <c r="BQ23" s="375">
        <f>BN23+BO23-BP23-'Internal use cement'!Q23</f>
        <v>9.0000000000849845E-2</v>
      </c>
      <c r="BR23" s="351">
        <f t="shared" si="40"/>
        <v>114.35000000000002</v>
      </c>
      <c r="BS23" s="374">
        <f t="shared" si="23"/>
        <v>120</v>
      </c>
      <c r="BT23" s="1">
        <v>90</v>
      </c>
      <c r="BU23" s="375">
        <f>BR23+BS23-BT23-'Internal use cement'!AG23</f>
        <v>144.35000000000002</v>
      </c>
      <c r="BV23" s="66">
        <f t="shared" si="41"/>
        <v>112.24000000000012</v>
      </c>
      <c r="BW23" s="34">
        <f t="shared" si="24"/>
        <v>480</v>
      </c>
      <c r="BX23" s="1">
        <v>456.48</v>
      </c>
      <c r="BY23" s="66">
        <f>BV23+BW23-BX23-'Internal use cement'!AO23</f>
        <v>135.7600000000001</v>
      </c>
      <c r="BZ23" s="1">
        <v>1431</v>
      </c>
      <c r="CA23" s="1">
        <v>616</v>
      </c>
      <c r="CB23" s="1">
        <v>150</v>
      </c>
      <c r="CC23" s="320">
        <f t="shared" si="42"/>
        <v>2197</v>
      </c>
      <c r="CD23" s="15">
        <f t="shared" si="25"/>
        <v>1304.1379999999785</v>
      </c>
      <c r="CE23" s="269">
        <f t="shared" si="46"/>
        <v>892.86200000002145</v>
      </c>
      <c r="CF23" s="15">
        <f t="shared" si="26"/>
        <v>3521.71</v>
      </c>
      <c r="CG23" s="15">
        <f t="shared" si="27"/>
        <v>3010</v>
      </c>
      <c r="CH23" s="270">
        <f t="shared" si="28"/>
        <v>247.69998316248166</v>
      </c>
      <c r="CJ23" s="367">
        <f t="shared" si="8"/>
        <v>15</v>
      </c>
      <c r="CK23" s="320">
        <v>21</v>
      </c>
      <c r="CL23" s="320">
        <f t="shared" si="29"/>
        <v>7.4699999999999989</v>
      </c>
      <c r="CM23" s="320">
        <f t="shared" si="30"/>
        <v>9</v>
      </c>
      <c r="CN23" s="362">
        <f t="shared" si="31"/>
        <v>0</v>
      </c>
      <c r="CO23" s="362">
        <f t="shared" si="32"/>
        <v>0</v>
      </c>
      <c r="CP23" s="320">
        <f t="shared" si="33"/>
        <v>2.9299999999999997</v>
      </c>
      <c r="CQ23" s="376">
        <v>21</v>
      </c>
      <c r="CR23" s="362">
        <f t="shared" si="34"/>
        <v>1420</v>
      </c>
      <c r="CS23" s="15">
        <f>'Daily CEM-1'!H24+'Daily CEM-1'!I24+'Daily CEM-1'!J24+'Daily CEM-1'!K24+'Daily CEM-1'!L24</f>
        <v>24</v>
      </c>
      <c r="CT23" s="15">
        <f>AQ23+AT23+AW23+'Daily  CEM - 2'!K24+'Daily  CEM - 2'!L24</f>
        <v>24</v>
      </c>
      <c r="CU23" s="367">
        <f t="shared" si="35"/>
        <v>0</v>
      </c>
      <c r="CW23" s="52">
        <f t="shared" si="36"/>
        <v>1809.96</v>
      </c>
      <c r="CX23" s="52">
        <v>21</v>
      </c>
      <c r="CZ23">
        <f t="shared" si="37"/>
        <v>1809.96</v>
      </c>
    </row>
    <row r="24" spans="2:106" s="319" customFormat="1">
      <c r="B24" s="346">
        <v>22</v>
      </c>
      <c r="C24" s="1">
        <v>21.65</v>
      </c>
      <c r="D24" s="359">
        <f>'Mines (2)'!D24+'Mines (2)'!I24+'Mines (2)'!W24+'Mines (2)'!AA24+'Mines (2)'!AE24</f>
        <v>2538.2800000000002</v>
      </c>
      <c r="E24" s="368">
        <f>'Mines (2)'!E24+'Mines (2)'!J24+'Mines (2)'!X24+'Mines (2)'!AB24+'Mines (2)'!AF24</f>
        <v>1587</v>
      </c>
      <c r="F24" s="359">
        <f t="shared" si="44"/>
        <v>117.24157043879909</v>
      </c>
      <c r="G24" s="1">
        <v>13.55</v>
      </c>
      <c r="H24" s="16">
        <f t="shared" si="38"/>
        <v>556.30001683751834</v>
      </c>
      <c r="I24" s="299">
        <f t="shared" si="9"/>
        <v>508.18001683751845</v>
      </c>
      <c r="J24" s="1">
        <v>795</v>
      </c>
      <c r="K24" s="369">
        <f t="shared" si="47"/>
        <v>1557.75</v>
      </c>
      <c r="L24" s="369">
        <f>Clinker!EK24*1.55</f>
        <v>1557.75</v>
      </c>
      <c r="M24" s="36">
        <v>0</v>
      </c>
      <c r="N24" s="1">
        <v>1509.63</v>
      </c>
      <c r="O24" s="359">
        <f t="shared" si="1"/>
        <v>111.41180811808118</v>
      </c>
      <c r="P24" s="1">
        <v>0</v>
      </c>
      <c r="Q24" s="1">
        <v>0</v>
      </c>
      <c r="R24" s="362" t="e">
        <f t="shared" si="10"/>
        <v>#DIV/0!</v>
      </c>
      <c r="S24" s="1">
        <v>11.08</v>
      </c>
      <c r="T24" s="358">
        <f t="shared" si="11"/>
        <v>58.709999999999809</v>
      </c>
      <c r="U24" s="1">
        <v>152.1</v>
      </c>
      <c r="V24" s="1">
        <v>161</v>
      </c>
      <c r="W24" s="351">
        <f t="shared" si="2"/>
        <v>49.809999999999803</v>
      </c>
      <c r="X24" s="359">
        <f t="shared" si="3"/>
        <v>13.727436823104693</v>
      </c>
      <c r="Y24" s="1">
        <v>19.05</v>
      </c>
      <c r="Z24" s="350">
        <f>Clinker!EK24</f>
        <v>1005</v>
      </c>
      <c r="AA24" s="359">
        <f t="shared" si="4"/>
        <v>52.755905511811022</v>
      </c>
      <c r="AB24" s="370">
        <f>'Daily CEM-1'!H25</f>
        <v>17</v>
      </c>
      <c r="AC24" s="350">
        <f>'Daily CEM-1'!C25</f>
        <v>1102</v>
      </c>
      <c r="AD24" s="359">
        <f t="shared" si="5"/>
        <v>64.82352941176471</v>
      </c>
      <c r="AE24" s="370">
        <f>'Daily CEM-1'!I25</f>
        <v>3</v>
      </c>
      <c r="AF24" s="350">
        <f>'Daily CEM-1'!D25</f>
        <v>201</v>
      </c>
      <c r="AG24" s="359">
        <f t="shared" si="12"/>
        <v>67</v>
      </c>
      <c r="AH24" s="371">
        <f>'Daily CEM-1'!J25</f>
        <v>0</v>
      </c>
      <c r="AI24" s="371">
        <f>'Daily CEM-1'!E25</f>
        <v>0</v>
      </c>
      <c r="AJ24" s="371" t="e">
        <f>AI24/AH24</f>
        <v>#DIV/0!</v>
      </c>
      <c r="AK24" s="371">
        <f>'Daily CEM-1'!K25</f>
        <v>0</v>
      </c>
      <c r="AL24" s="371">
        <f>'Daily CEM-1'!F25</f>
        <v>0</v>
      </c>
      <c r="AM24" s="371" t="e">
        <f t="shared" si="13"/>
        <v>#DIV/0!</v>
      </c>
      <c r="AN24" s="60">
        <f>'Daily CEM-1'!L25</f>
        <v>4</v>
      </c>
      <c r="AO24" s="60">
        <f>'Daily CEM-1'!G25</f>
        <v>272</v>
      </c>
      <c r="AP24" s="60">
        <f t="shared" si="14"/>
        <v>68</v>
      </c>
      <c r="AQ24" s="370">
        <f>'Daily  CEM - 2'!H25</f>
        <v>24</v>
      </c>
      <c r="AR24" s="350">
        <f>'Daily  CEM - 2'!C25</f>
        <v>1420</v>
      </c>
      <c r="AS24" s="359">
        <f t="shared" si="6"/>
        <v>59.166666666666664</v>
      </c>
      <c r="AT24" s="370">
        <f>'Daily  CEM - 2'!I25</f>
        <v>0</v>
      </c>
      <c r="AU24" s="350">
        <f>'Daily  CEM - 2'!D25</f>
        <v>0</v>
      </c>
      <c r="AV24" s="359" t="e">
        <f t="shared" si="7"/>
        <v>#DIV/0!</v>
      </c>
      <c r="AW24" s="371">
        <f>'Daily  CEM - 2'!J25</f>
        <v>0</v>
      </c>
      <c r="AX24" s="371">
        <f>'Daily  CEM - 2'!E25</f>
        <v>0</v>
      </c>
      <c r="AY24" s="372" t="e">
        <f t="shared" si="15"/>
        <v>#DIV/0!</v>
      </c>
      <c r="AZ24" s="371">
        <f>'Daily  CEM - 2'!K25</f>
        <v>0</v>
      </c>
      <c r="BA24" s="371">
        <f>'Daily  CEM - 2'!F25</f>
        <v>0</v>
      </c>
      <c r="BB24" s="373" t="e">
        <f t="shared" si="16"/>
        <v>#DIV/0!</v>
      </c>
      <c r="BC24" s="61">
        <f>'Daily  CEM - 2'!L25</f>
        <v>0</v>
      </c>
      <c r="BD24" s="61">
        <f>'Daily  CEM - 2'!G25</f>
        <v>0</v>
      </c>
      <c r="BE24" s="373" t="e">
        <f t="shared" si="17"/>
        <v>#DIV/0!</v>
      </c>
      <c r="BF24" s="358">
        <f t="shared" si="18"/>
        <v>855.63799999997764</v>
      </c>
      <c r="BG24" s="369">
        <f t="shared" si="19"/>
        <v>2522</v>
      </c>
      <c r="BH24" s="1">
        <v>2078</v>
      </c>
      <c r="BI24" s="18">
        <f>BF24+BG24-BH24-'Internal use cement'!F24</f>
        <v>1299.6379999999776</v>
      </c>
      <c r="BJ24" s="358">
        <f t="shared" si="20"/>
        <v>168.29999999999995</v>
      </c>
      <c r="BK24" s="369">
        <f t="shared" si="21"/>
        <v>201</v>
      </c>
      <c r="BL24" s="1">
        <v>184</v>
      </c>
      <c r="BM24" s="351">
        <f>BJ24+BK24-BL24-'Internal use cement'!AB24</f>
        <v>185.29999999999995</v>
      </c>
      <c r="BN24" s="351">
        <f t="shared" si="39"/>
        <v>9.0000000000849845E-2</v>
      </c>
      <c r="BO24" s="374">
        <f t="shared" si="45"/>
        <v>0</v>
      </c>
      <c r="BP24" s="1">
        <v>0</v>
      </c>
      <c r="BQ24" s="375">
        <f>BN24+BO24-BP24-'Internal use cement'!Q24</f>
        <v>9.0000000000849845E-2</v>
      </c>
      <c r="BR24" s="351">
        <f t="shared" si="40"/>
        <v>144.35000000000002</v>
      </c>
      <c r="BS24" s="374">
        <f t="shared" si="23"/>
        <v>0</v>
      </c>
      <c r="BT24" s="1">
        <v>60</v>
      </c>
      <c r="BU24" s="375">
        <f>BR24+BS24-BT24-'Internal use cement'!AG24</f>
        <v>84.350000000000023</v>
      </c>
      <c r="BV24" s="66">
        <f t="shared" si="41"/>
        <v>135.7600000000001</v>
      </c>
      <c r="BW24" s="34">
        <f t="shared" si="24"/>
        <v>272</v>
      </c>
      <c r="BX24" s="1">
        <v>210.74</v>
      </c>
      <c r="BY24" s="66">
        <f>BV24+BW24-BX24-'Internal use cement'!AO24</f>
        <v>197.0200000000001</v>
      </c>
      <c r="BZ24" s="1">
        <v>2086</v>
      </c>
      <c r="CA24" s="1">
        <v>473</v>
      </c>
      <c r="CB24" s="1">
        <v>64</v>
      </c>
      <c r="CC24" s="320">
        <f t="shared" si="42"/>
        <v>2623</v>
      </c>
      <c r="CD24" s="15">
        <f t="shared" si="25"/>
        <v>1766.3979999999783</v>
      </c>
      <c r="CE24" s="269">
        <f t="shared" si="46"/>
        <v>856.60200000002169</v>
      </c>
      <c r="CF24" s="15">
        <f t="shared" si="26"/>
        <v>2532.7399999999998</v>
      </c>
      <c r="CG24" s="15">
        <f t="shared" si="27"/>
        <v>2995</v>
      </c>
      <c r="CH24" s="270">
        <f t="shared" si="28"/>
        <v>286.81998316248155</v>
      </c>
      <c r="CJ24" s="367">
        <f t="shared" si="8"/>
        <v>20</v>
      </c>
      <c r="CK24" s="320">
        <v>22</v>
      </c>
      <c r="CL24" s="320">
        <f t="shared" si="29"/>
        <v>10.45</v>
      </c>
      <c r="CM24" s="320">
        <f t="shared" si="30"/>
        <v>12.92</v>
      </c>
      <c r="CN24" s="362">
        <f t="shared" si="31"/>
        <v>0</v>
      </c>
      <c r="CO24" s="362">
        <f t="shared" si="32"/>
        <v>0</v>
      </c>
      <c r="CP24" s="320">
        <f t="shared" si="33"/>
        <v>4.9499999999999993</v>
      </c>
      <c r="CQ24" s="376">
        <v>22</v>
      </c>
      <c r="CR24" s="362">
        <f t="shared" si="34"/>
        <v>1420</v>
      </c>
      <c r="CS24" s="15">
        <f>'Daily CEM-1'!H25+'Daily CEM-1'!I25+'Daily CEM-1'!J25+'Daily CEM-1'!K25+'Daily CEM-1'!L25</f>
        <v>24</v>
      </c>
      <c r="CT24" s="15">
        <f>AQ24+AT24+AW24+'Daily  CEM - 2'!K25+'Daily  CEM - 2'!L25</f>
        <v>24</v>
      </c>
      <c r="CU24" s="367">
        <f t="shared" si="35"/>
        <v>0</v>
      </c>
      <c r="CW24" s="52">
        <f t="shared" si="36"/>
        <v>1509.63</v>
      </c>
      <c r="CX24" s="52">
        <v>22</v>
      </c>
      <c r="CZ24">
        <f t="shared" si="37"/>
        <v>1509.63</v>
      </c>
    </row>
    <row r="25" spans="2:106" s="319" customFormat="1">
      <c r="B25" s="346">
        <v>23</v>
      </c>
      <c r="C25" s="1">
        <v>20.12</v>
      </c>
      <c r="D25" s="359">
        <f>'Mines (2)'!D25+'Mines (2)'!I25+'Mines (2)'!W25+'Mines (2)'!AA25+'Mines (2)'!AE25</f>
        <v>2873.36</v>
      </c>
      <c r="E25" s="368">
        <f>'Mines (2)'!E25+'Mines (2)'!J25+'Mines (2)'!X25+'Mines (2)'!AB25+'Mines (2)'!AF25</f>
        <v>0</v>
      </c>
      <c r="F25" s="359">
        <f t="shared" si="44"/>
        <v>142.81113320079524</v>
      </c>
      <c r="G25" s="1">
        <v>0</v>
      </c>
      <c r="H25" s="16">
        <f t="shared" si="38"/>
        <v>508.18001683751845</v>
      </c>
      <c r="I25" s="299">
        <f t="shared" si="9"/>
        <v>391.93001683751845</v>
      </c>
      <c r="J25" s="1">
        <v>754</v>
      </c>
      <c r="K25" s="369">
        <f t="shared" si="47"/>
        <v>116.25</v>
      </c>
      <c r="L25" s="369">
        <f>Clinker!EK25*1.55</f>
        <v>116.25</v>
      </c>
      <c r="M25" s="36">
        <v>0</v>
      </c>
      <c r="N25" s="1">
        <v>0</v>
      </c>
      <c r="O25" s="359" t="e">
        <f t="shared" si="1"/>
        <v>#DIV/0!</v>
      </c>
      <c r="P25" s="1">
        <v>0</v>
      </c>
      <c r="Q25" s="1">
        <v>0</v>
      </c>
      <c r="R25" s="362" t="e">
        <f t="shared" si="10"/>
        <v>#DIV/0!</v>
      </c>
      <c r="S25" s="1">
        <v>1</v>
      </c>
      <c r="T25" s="358">
        <f t="shared" si="11"/>
        <v>49.809999999999803</v>
      </c>
      <c r="U25" s="1">
        <v>12.6</v>
      </c>
      <c r="V25" s="1">
        <v>17</v>
      </c>
      <c r="W25" s="351">
        <f t="shared" si="2"/>
        <v>45.409999999999805</v>
      </c>
      <c r="X25" s="359">
        <f t="shared" si="3"/>
        <v>12.6</v>
      </c>
      <c r="Y25" s="1">
        <v>1.68</v>
      </c>
      <c r="Z25" s="350">
        <f>Clinker!EK25</f>
        <v>75</v>
      </c>
      <c r="AA25" s="359">
        <f t="shared" si="4"/>
        <v>44.642857142857146</v>
      </c>
      <c r="AB25" s="370">
        <f>'Daily CEM-1'!H26</f>
        <v>19</v>
      </c>
      <c r="AC25" s="350">
        <f>'Daily CEM-1'!C26</f>
        <v>1183</v>
      </c>
      <c r="AD25" s="359">
        <f t="shared" si="5"/>
        <v>62.263157894736842</v>
      </c>
      <c r="AE25" s="370">
        <f>'Daily CEM-1'!I26</f>
        <v>5</v>
      </c>
      <c r="AF25" s="350">
        <f>'Daily CEM-1'!D26</f>
        <v>337</v>
      </c>
      <c r="AG25" s="359">
        <f t="shared" si="12"/>
        <v>67.400000000000006</v>
      </c>
      <c r="AH25" s="371">
        <f>'Daily CEM-1'!J26</f>
        <v>0</v>
      </c>
      <c r="AI25" s="371">
        <f>'Daily CEM-1'!E26</f>
        <v>0</v>
      </c>
      <c r="AJ25" s="371" t="e">
        <f t="shared" ref="AJ25:AJ33" si="48">AI25/AH25</f>
        <v>#DIV/0!</v>
      </c>
      <c r="AK25" s="371">
        <f>'Daily CEM-1'!K26</f>
        <v>0</v>
      </c>
      <c r="AL25" s="371">
        <f>'Daily CEM-1'!F26</f>
        <v>0</v>
      </c>
      <c r="AM25" s="371" t="e">
        <f t="shared" si="13"/>
        <v>#DIV/0!</v>
      </c>
      <c r="AN25" s="60">
        <f>'Daily CEM-1'!L26</f>
        <v>0</v>
      </c>
      <c r="AO25" s="60">
        <f>'Daily CEM-1'!G26</f>
        <v>0</v>
      </c>
      <c r="AP25" s="60" t="e">
        <f t="shared" si="14"/>
        <v>#DIV/0!</v>
      </c>
      <c r="AQ25" s="370">
        <f>'Daily  CEM - 2'!H26</f>
        <v>17</v>
      </c>
      <c r="AR25" s="350">
        <f>'Daily  CEM - 2'!C26</f>
        <v>880</v>
      </c>
      <c r="AS25" s="359">
        <f t="shared" si="6"/>
        <v>51.764705882352942</v>
      </c>
      <c r="AT25" s="370">
        <f>'Daily  CEM - 2'!I26</f>
        <v>2</v>
      </c>
      <c r="AU25" s="350">
        <f>'Daily  CEM - 2'!D26</f>
        <v>120</v>
      </c>
      <c r="AV25" s="359">
        <f t="shared" si="7"/>
        <v>60</v>
      </c>
      <c r="AW25" s="371">
        <f>'Daily  CEM - 2'!J26</f>
        <v>0</v>
      </c>
      <c r="AX25" s="371">
        <f>'Daily  CEM - 2'!E26</f>
        <v>0</v>
      </c>
      <c r="AY25" s="372" t="e">
        <f t="shared" si="15"/>
        <v>#DIV/0!</v>
      </c>
      <c r="AZ25" s="371">
        <f>'Daily  CEM - 2'!K26</f>
        <v>2</v>
      </c>
      <c r="BA25" s="371">
        <f>'Daily  CEM - 2'!F26</f>
        <v>116</v>
      </c>
      <c r="BB25" s="373">
        <f t="shared" si="16"/>
        <v>58</v>
      </c>
      <c r="BC25" s="61">
        <f>'Daily  CEM - 2'!L26</f>
        <v>3</v>
      </c>
      <c r="BD25" s="61">
        <f>'Daily  CEM - 2'!G26</f>
        <v>180</v>
      </c>
      <c r="BE25" s="373">
        <f t="shared" si="17"/>
        <v>60</v>
      </c>
      <c r="BF25" s="358">
        <f t="shared" si="18"/>
        <v>1299.6379999999776</v>
      </c>
      <c r="BG25" s="369">
        <f t="shared" si="19"/>
        <v>2063</v>
      </c>
      <c r="BH25" s="1">
        <v>2463.75</v>
      </c>
      <c r="BI25" s="18">
        <f>BF25+BG25-BH25-'Internal use cement'!F25</f>
        <v>898.88799999997764</v>
      </c>
      <c r="BJ25" s="358">
        <f t="shared" si="20"/>
        <v>185.29999999999995</v>
      </c>
      <c r="BK25" s="369">
        <f t="shared" si="21"/>
        <v>457</v>
      </c>
      <c r="BL25" s="1">
        <v>487</v>
      </c>
      <c r="BM25" s="351">
        <f>BJ25+BK25-BL25-'Internal use cement'!AB25</f>
        <v>155.19999999999996</v>
      </c>
      <c r="BN25" s="351">
        <f t="shared" si="39"/>
        <v>9.0000000000849845E-2</v>
      </c>
      <c r="BO25" s="374">
        <f t="shared" si="45"/>
        <v>0</v>
      </c>
      <c r="BP25" s="1">
        <v>0</v>
      </c>
      <c r="BQ25" s="375">
        <f>BN25+BO25-BP25-'Internal use cement'!Q25</f>
        <v>9.0000000000849845E-2</v>
      </c>
      <c r="BR25" s="351">
        <f t="shared" si="40"/>
        <v>84.350000000000023</v>
      </c>
      <c r="BS25" s="374">
        <f t="shared" si="23"/>
        <v>116</v>
      </c>
      <c r="BT25" s="1">
        <v>90</v>
      </c>
      <c r="BU25" s="375">
        <f>BR25+BS25-BT25-'Internal use cement'!AG25</f>
        <v>110.35000000000002</v>
      </c>
      <c r="BV25" s="66">
        <f t="shared" si="41"/>
        <v>197.0200000000001</v>
      </c>
      <c r="BW25" s="34">
        <f t="shared" si="24"/>
        <v>180</v>
      </c>
      <c r="BX25" s="1">
        <v>179.8</v>
      </c>
      <c r="BY25" s="66">
        <f>BV25+BW25-BX25-'Internal use cement'!AO25</f>
        <v>197.22000000000008</v>
      </c>
      <c r="BZ25" s="1">
        <v>1610</v>
      </c>
      <c r="CA25" s="1">
        <v>566</v>
      </c>
      <c r="CB25" s="1">
        <v>153</v>
      </c>
      <c r="CC25" s="320">
        <f t="shared" si="42"/>
        <v>2329</v>
      </c>
      <c r="CD25" s="15">
        <f t="shared" si="25"/>
        <v>1361.7479999999784</v>
      </c>
      <c r="CE25" s="269">
        <f t="shared" si="46"/>
        <v>967.25200000002155</v>
      </c>
      <c r="CF25" s="15">
        <f t="shared" si="26"/>
        <v>3220.55</v>
      </c>
      <c r="CG25" s="15">
        <f t="shared" si="27"/>
        <v>2816</v>
      </c>
      <c r="CH25" s="270">
        <f t="shared" si="28"/>
        <v>362.06998316248155</v>
      </c>
      <c r="CJ25" s="367">
        <f t="shared" si="8"/>
        <v>24</v>
      </c>
      <c r="CK25" s="320">
        <v>23</v>
      </c>
      <c r="CL25" s="320">
        <f t="shared" ref="CL25:CL33" si="49">24-G25</f>
        <v>24</v>
      </c>
      <c r="CM25" s="320">
        <f t="shared" si="30"/>
        <v>23</v>
      </c>
      <c r="CN25" s="362">
        <f t="shared" si="31"/>
        <v>0</v>
      </c>
      <c r="CO25" s="362">
        <f t="shared" si="32"/>
        <v>0</v>
      </c>
      <c r="CP25" s="320">
        <f t="shared" si="33"/>
        <v>22.32</v>
      </c>
      <c r="CQ25" s="376">
        <v>23</v>
      </c>
      <c r="CR25" s="362">
        <f t="shared" si="34"/>
        <v>1000</v>
      </c>
      <c r="CS25" s="15">
        <f>'Daily CEM-1'!H26+'Daily CEM-1'!I26+'Daily CEM-1'!J26+'Daily CEM-1'!K26+'Daily CEM-1'!L26</f>
        <v>24</v>
      </c>
      <c r="CT25" s="15">
        <f>AQ25+AT25+AW25+'Daily  CEM - 2'!K26+'Daily  CEM - 2'!L26</f>
        <v>24</v>
      </c>
      <c r="CU25" s="367">
        <f t="shared" si="35"/>
        <v>0</v>
      </c>
      <c r="CW25" s="52">
        <f t="shared" si="36"/>
        <v>0</v>
      </c>
      <c r="CX25" s="52">
        <v>23</v>
      </c>
      <c r="CY25"/>
    </row>
    <row r="26" spans="2:106" s="319" customFormat="1">
      <c r="B26" s="346">
        <v>24</v>
      </c>
      <c r="C26" s="1">
        <v>17.25</v>
      </c>
      <c r="D26" s="359">
        <f>'Mines (2)'!D26+'Mines (2)'!I26+'Mines (2)'!W26+'Mines (2)'!AA26+'Mines (2)'!AE26</f>
        <v>2243.84</v>
      </c>
      <c r="E26" s="368">
        <f>'Mines (2)'!E26+'Mines (2)'!J26+'Mines (2)'!X26+'Mines (2)'!AB26+'Mines (2)'!AF26</f>
        <v>1614</v>
      </c>
      <c r="F26" s="359">
        <f>D26/C26</f>
        <v>130.07768115942031</v>
      </c>
      <c r="G26" s="1">
        <v>14.1</v>
      </c>
      <c r="H26" s="16">
        <f t="shared" si="38"/>
        <v>391.93001683751845</v>
      </c>
      <c r="I26" s="299">
        <f t="shared" si="9"/>
        <v>749.35001683751852</v>
      </c>
      <c r="J26" s="1">
        <v>1060</v>
      </c>
      <c r="K26" s="369">
        <f t="shared" si="47"/>
        <v>1162.5</v>
      </c>
      <c r="L26" s="369">
        <f>Clinker!EK26*1.55</f>
        <v>1162.5</v>
      </c>
      <c r="M26" s="36">
        <v>0</v>
      </c>
      <c r="N26" s="1">
        <v>1519.92</v>
      </c>
      <c r="O26" s="359">
        <f t="shared" si="1"/>
        <v>107.79574468085107</v>
      </c>
      <c r="P26" s="1">
        <v>0</v>
      </c>
      <c r="Q26" s="1">
        <v>0</v>
      </c>
      <c r="R26" s="362" t="e">
        <f t="shared" si="10"/>
        <v>#DIV/0!</v>
      </c>
      <c r="S26" s="1">
        <v>11.91</v>
      </c>
      <c r="T26" s="358">
        <f t="shared" si="11"/>
        <v>45.409999999999805</v>
      </c>
      <c r="U26" s="1">
        <v>157.5</v>
      </c>
      <c r="V26" s="1">
        <v>165</v>
      </c>
      <c r="W26" s="351">
        <f t="shared" si="2"/>
        <v>37.909999999999798</v>
      </c>
      <c r="X26" s="359">
        <f t="shared" si="3"/>
        <v>13.224181360201511</v>
      </c>
      <c r="Y26" s="1">
        <v>16.05</v>
      </c>
      <c r="Z26" s="350">
        <f>Clinker!EK26</f>
        <v>750</v>
      </c>
      <c r="AA26" s="359">
        <f>Z26/Y26</f>
        <v>46.728971962616818</v>
      </c>
      <c r="AB26" s="370">
        <f>'Daily CEM-1'!H27</f>
        <v>24</v>
      </c>
      <c r="AC26" s="350">
        <f>'Daily CEM-1'!C27</f>
        <v>1540</v>
      </c>
      <c r="AD26" s="359">
        <f>AC26/AB26</f>
        <v>64.166666666666671</v>
      </c>
      <c r="AE26" s="370">
        <f>'Daily CEM-1'!I27</f>
        <v>0</v>
      </c>
      <c r="AF26" s="350">
        <f>'Daily CEM-1'!D27</f>
        <v>0</v>
      </c>
      <c r="AG26" s="359" t="e">
        <f>AF26/AE26</f>
        <v>#DIV/0!</v>
      </c>
      <c r="AH26" s="371">
        <f>'Daily CEM-1'!J27</f>
        <v>0</v>
      </c>
      <c r="AI26" s="371">
        <f>'Daily CEM-1'!E27</f>
        <v>0</v>
      </c>
      <c r="AJ26" s="371" t="e">
        <f t="shared" si="48"/>
        <v>#DIV/0!</v>
      </c>
      <c r="AK26" s="371">
        <f>'Daily CEM-1'!K27</f>
        <v>0</v>
      </c>
      <c r="AL26" s="371">
        <f>'Daily CEM-1'!F27</f>
        <v>0</v>
      </c>
      <c r="AM26" s="371" t="e">
        <f t="shared" si="13"/>
        <v>#DIV/0!</v>
      </c>
      <c r="AN26" s="60">
        <f>'Daily CEM-1'!L27</f>
        <v>0</v>
      </c>
      <c r="AO26" s="60">
        <f>'Daily CEM-1'!G27</f>
        <v>0</v>
      </c>
      <c r="AP26" s="60" t="e">
        <f t="shared" si="14"/>
        <v>#DIV/0!</v>
      </c>
      <c r="AQ26" s="370">
        <f>'Daily  CEM - 2'!H27</f>
        <v>12</v>
      </c>
      <c r="AR26" s="350">
        <f>'Daily  CEM - 2'!C27</f>
        <v>615</v>
      </c>
      <c r="AS26" s="359">
        <f>AR26/AQ26</f>
        <v>51.25</v>
      </c>
      <c r="AT26" s="370">
        <f>'Daily  CEM - 2'!I27</f>
        <v>4</v>
      </c>
      <c r="AU26" s="350">
        <f>'Daily  CEM - 2'!D27</f>
        <v>240</v>
      </c>
      <c r="AV26" s="359">
        <f>AU26/AT26</f>
        <v>60</v>
      </c>
      <c r="AW26" s="371">
        <f>'Daily  CEM - 2'!J27</f>
        <v>0</v>
      </c>
      <c r="AX26" s="371">
        <f>'Daily  CEM - 2'!E27</f>
        <v>0</v>
      </c>
      <c r="AY26" s="372" t="e">
        <f t="shared" si="15"/>
        <v>#DIV/0!</v>
      </c>
      <c r="AZ26" s="371">
        <f>'Daily  CEM - 2'!K27</f>
        <v>3</v>
      </c>
      <c r="BA26" s="371">
        <f>'Daily  CEM - 2'!F27</f>
        <v>165</v>
      </c>
      <c r="BB26" s="371">
        <f t="shared" ref="BB26:BB33" si="50">BA26/AZ26</f>
        <v>55</v>
      </c>
      <c r="BC26" s="61">
        <f>'Daily  CEM - 2'!L27</f>
        <v>5</v>
      </c>
      <c r="BD26" s="61">
        <f>'Daily  CEM - 2'!G27</f>
        <v>300</v>
      </c>
      <c r="BE26" s="371">
        <f t="shared" si="17"/>
        <v>60</v>
      </c>
      <c r="BF26" s="358">
        <f t="shared" si="18"/>
        <v>898.88799999997764</v>
      </c>
      <c r="BG26" s="369">
        <f t="shared" si="19"/>
        <v>2155</v>
      </c>
      <c r="BH26" s="1">
        <v>2221</v>
      </c>
      <c r="BI26" s="18">
        <f>BF26+BG26-BH26-'Internal use cement'!F26</f>
        <v>832.88799999997764</v>
      </c>
      <c r="BJ26" s="358">
        <f t="shared" si="20"/>
        <v>155.19999999999996</v>
      </c>
      <c r="BK26" s="369">
        <f t="shared" si="21"/>
        <v>240</v>
      </c>
      <c r="BL26" s="1">
        <v>180</v>
      </c>
      <c r="BM26" s="351">
        <f>BJ26+BK26-BL26-'Internal use cement'!AB26</f>
        <v>215.19999999999993</v>
      </c>
      <c r="BN26" s="375">
        <f>BQ25</f>
        <v>9.0000000000849845E-2</v>
      </c>
      <c r="BO26" s="374">
        <f t="shared" si="45"/>
        <v>0</v>
      </c>
      <c r="BP26" s="1">
        <v>0</v>
      </c>
      <c r="BQ26" s="375">
        <f>BN26+BO26-BP26-'Internal use cement'!Q26</f>
        <v>9.0000000000849845E-2</v>
      </c>
      <c r="BR26" s="351">
        <f t="shared" si="40"/>
        <v>110.35000000000002</v>
      </c>
      <c r="BS26" s="374">
        <f t="shared" si="23"/>
        <v>165</v>
      </c>
      <c r="BT26" s="1">
        <v>105</v>
      </c>
      <c r="BU26" s="375">
        <f>BR26+BS26-BT26-'Internal use cement'!AG26</f>
        <v>170.35000000000002</v>
      </c>
      <c r="BV26" s="66">
        <f t="shared" si="41"/>
        <v>197.22000000000008</v>
      </c>
      <c r="BW26" s="34">
        <f t="shared" si="24"/>
        <v>300</v>
      </c>
      <c r="BX26" s="1">
        <v>307.88</v>
      </c>
      <c r="BY26" s="66">
        <f>BV26+BW26-BX26-'Internal use cement'!AO26</f>
        <v>189.34000000000009</v>
      </c>
      <c r="BZ26" s="1">
        <v>1886</v>
      </c>
      <c r="CA26" s="1">
        <v>453</v>
      </c>
      <c r="CB26" s="1">
        <v>50</v>
      </c>
      <c r="CC26" s="320">
        <f t="shared" si="42"/>
        <v>2389</v>
      </c>
      <c r="CD26" s="15">
        <f t="shared" si="25"/>
        <v>1407.8679999999786</v>
      </c>
      <c r="CE26" s="270">
        <f>CC26-CD26</f>
        <v>981.13200000002143</v>
      </c>
      <c r="CF26" s="15">
        <f t="shared" si="26"/>
        <v>2813.88</v>
      </c>
      <c r="CG26" s="15">
        <f t="shared" si="27"/>
        <v>2860</v>
      </c>
      <c r="CH26" s="270">
        <f t="shared" si="28"/>
        <v>310.64998316248148</v>
      </c>
      <c r="CI26"/>
      <c r="CJ26" s="367">
        <f t="shared" si="8"/>
        <v>24</v>
      </c>
      <c r="CK26" s="320">
        <v>24</v>
      </c>
      <c r="CL26" s="320">
        <f t="shared" si="49"/>
        <v>9.9</v>
      </c>
      <c r="CM26" s="320">
        <f t="shared" si="30"/>
        <v>12.09</v>
      </c>
      <c r="CN26" s="362">
        <f t="shared" si="31"/>
        <v>0</v>
      </c>
      <c r="CO26" s="362">
        <f t="shared" si="32"/>
        <v>0</v>
      </c>
      <c r="CP26" s="320">
        <f t="shared" si="33"/>
        <v>7.9499999999999993</v>
      </c>
      <c r="CQ26" s="376">
        <v>24</v>
      </c>
      <c r="CR26" s="362">
        <f t="shared" si="34"/>
        <v>855</v>
      </c>
      <c r="CS26" s="15">
        <f>'Daily CEM-1'!H27+'Daily CEM-1'!I27+'Daily CEM-1'!J27+'Daily CEM-1'!K27+'Daily CEM-1'!L27</f>
        <v>24</v>
      </c>
      <c r="CT26" s="15">
        <f>AQ26+AT26+AW26+'Daily  CEM - 2'!K27+'Daily  CEM - 2'!L27</f>
        <v>24</v>
      </c>
      <c r="CU26" s="367">
        <f t="shared" si="35"/>
        <v>0</v>
      </c>
      <c r="CW26" s="52">
        <f t="shared" si="36"/>
        <v>1519.92</v>
      </c>
      <c r="CX26" s="52">
        <v>24</v>
      </c>
      <c r="CY26"/>
      <c r="CZ26"/>
      <c r="DA26" s="160"/>
      <c r="DB26"/>
    </row>
    <row r="27" spans="2:106" s="319" customFormat="1">
      <c r="B27" s="346">
        <v>25</v>
      </c>
      <c r="C27" s="1">
        <v>13.7</v>
      </c>
      <c r="D27" s="359">
        <f>'Mines (2)'!D27+'Mines (2)'!I27+'Mines (2)'!W27+'Mines (2)'!AA27+'Mines (2)'!AE27</f>
        <v>2194.36</v>
      </c>
      <c r="E27" s="368">
        <f>'Mines (2)'!E27+'Mines (2)'!J27+'Mines (2)'!X27+'Mines (2)'!AB27+'Mines (2)'!AF27</f>
        <v>2600</v>
      </c>
      <c r="F27" s="359">
        <f t="shared" ref="F27:F34" si="51">D27/C27</f>
        <v>160.17226277372265</v>
      </c>
      <c r="G27" s="1">
        <v>20.48</v>
      </c>
      <c r="H27" s="16">
        <f t="shared" si="38"/>
        <v>749.35001683751852</v>
      </c>
      <c r="I27" s="299">
        <f t="shared" si="9"/>
        <v>812.51001683751838</v>
      </c>
      <c r="J27" s="1">
        <v>955</v>
      </c>
      <c r="K27" s="369">
        <f t="shared" si="47"/>
        <v>2363.75</v>
      </c>
      <c r="L27" s="369">
        <f>Clinker!EK27*1.55</f>
        <v>2363.75</v>
      </c>
      <c r="M27" s="36">
        <v>0</v>
      </c>
      <c r="N27" s="1">
        <v>2232</v>
      </c>
      <c r="O27" s="359">
        <f t="shared" si="1"/>
        <v>108.984375</v>
      </c>
      <c r="P27" s="1">
        <v>23</v>
      </c>
      <c r="Q27" s="1">
        <v>194.91</v>
      </c>
      <c r="R27" s="362">
        <f t="shared" si="10"/>
        <v>8.4743478260869569</v>
      </c>
      <c r="S27" s="1">
        <v>18.690000000000001</v>
      </c>
      <c r="T27" s="358">
        <f t="shared" si="11"/>
        <v>37.909999999999798</v>
      </c>
      <c r="U27" s="1">
        <v>244.8</v>
      </c>
      <c r="V27" s="1">
        <v>230</v>
      </c>
      <c r="W27" s="351">
        <f t="shared" si="2"/>
        <v>52.709999999999809</v>
      </c>
      <c r="X27" s="359">
        <f t="shared" si="3"/>
        <v>13.097913322632424</v>
      </c>
      <c r="Y27" s="1">
        <v>24</v>
      </c>
      <c r="Z27" s="350">
        <f>Clinker!EK27</f>
        <v>1525</v>
      </c>
      <c r="AA27" s="359">
        <f t="shared" ref="AA27:AA34" si="52">Z27/Y27</f>
        <v>63.541666666666664</v>
      </c>
      <c r="AB27" s="370">
        <f>'Daily CEM-1'!H28</f>
        <v>24</v>
      </c>
      <c r="AC27" s="350">
        <f>'Daily CEM-1'!C28</f>
        <v>1588</v>
      </c>
      <c r="AD27" s="359">
        <f t="shared" ref="AD27:AD34" si="53">AC27/AB27</f>
        <v>66.166666666666671</v>
      </c>
      <c r="AE27" s="370">
        <f>'Daily CEM-1'!I28</f>
        <v>0</v>
      </c>
      <c r="AF27" s="350">
        <f>'Daily CEM-1'!D28</f>
        <v>0</v>
      </c>
      <c r="AG27" s="359" t="e">
        <f t="shared" ref="AG27:AG34" si="54">AF27/AE27</f>
        <v>#DIV/0!</v>
      </c>
      <c r="AH27" s="371">
        <f>'Daily CEM-1'!J28</f>
        <v>0</v>
      </c>
      <c r="AI27" s="371">
        <f>'Daily CEM-1'!E28</f>
        <v>0</v>
      </c>
      <c r="AJ27" s="371" t="e">
        <f t="shared" si="48"/>
        <v>#DIV/0!</v>
      </c>
      <c r="AK27" s="371">
        <f>'Daily CEM-1'!K28</f>
        <v>0</v>
      </c>
      <c r="AL27" s="371">
        <f>'Daily CEM-1'!F28</f>
        <v>0</v>
      </c>
      <c r="AM27" s="371" t="e">
        <f t="shared" si="13"/>
        <v>#DIV/0!</v>
      </c>
      <c r="AN27" s="60">
        <f>'Daily CEM-1'!L28</f>
        <v>0</v>
      </c>
      <c r="AO27" s="60">
        <f>'Daily CEM-1'!G28</f>
        <v>0</v>
      </c>
      <c r="AP27" s="60" t="e">
        <f t="shared" si="14"/>
        <v>#DIV/0!</v>
      </c>
      <c r="AQ27" s="370">
        <f>'Daily  CEM - 2'!H28</f>
        <v>17</v>
      </c>
      <c r="AR27" s="350">
        <f>'Daily  CEM - 2'!C28</f>
        <v>1003</v>
      </c>
      <c r="AS27" s="359">
        <f t="shared" ref="AS27:AS34" si="55">AR27/AQ27</f>
        <v>59</v>
      </c>
      <c r="AT27" s="370">
        <f>'Daily  CEM - 2'!I28</f>
        <v>0</v>
      </c>
      <c r="AU27" s="350">
        <f>'Daily  CEM - 2'!D28</f>
        <v>0</v>
      </c>
      <c r="AV27" s="359" t="e">
        <f t="shared" ref="AV27:AV34" si="56">AU27/AT27</f>
        <v>#DIV/0!</v>
      </c>
      <c r="AW27" s="371">
        <f>'Daily  CEM - 2'!J28</f>
        <v>0</v>
      </c>
      <c r="AX27" s="371">
        <f>'Daily  CEM - 2'!E28</f>
        <v>0</v>
      </c>
      <c r="AY27" s="372" t="e">
        <f t="shared" si="15"/>
        <v>#DIV/0!</v>
      </c>
      <c r="AZ27" s="371">
        <f>'Daily  CEM - 2'!K28</f>
        <v>0</v>
      </c>
      <c r="BA27" s="371">
        <f>'Daily  CEM - 2'!F28</f>
        <v>0</v>
      </c>
      <c r="BB27" s="371" t="e">
        <f t="shared" si="50"/>
        <v>#DIV/0!</v>
      </c>
      <c r="BC27" s="61">
        <f>'Daily  CEM - 2'!L28</f>
        <v>6</v>
      </c>
      <c r="BD27" s="61">
        <f>'Daily  CEM - 2'!G28</f>
        <v>348</v>
      </c>
      <c r="BE27" s="371">
        <f t="shared" si="17"/>
        <v>58</v>
      </c>
      <c r="BF27" s="358">
        <f t="shared" si="18"/>
        <v>832.88799999997764</v>
      </c>
      <c r="BG27" s="369">
        <f t="shared" si="19"/>
        <v>2591</v>
      </c>
      <c r="BH27" s="1">
        <v>2619.84</v>
      </c>
      <c r="BI27" s="18">
        <f>BF27+BG27-BH27-'Internal use cement'!F27</f>
        <v>804.04799999997749</v>
      </c>
      <c r="BJ27" s="358">
        <f t="shared" si="20"/>
        <v>215.19999999999993</v>
      </c>
      <c r="BK27" s="369">
        <f t="shared" si="21"/>
        <v>0</v>
      </c>
      <c r="BL27" s="1">
        <v>60</v>
      </c>
      <c r="BM27" s="351">
        <f>BJ27+BK27-BL27-'Internal use cement'!AB27</f>
        <v>155.19999999999993</v>
      </c>
      <c r="BN27" s="351">
        <f t="shared" si="39"/>
        <v>9.0000000000849845E-2</v>
      </c>
      <c r="BO27" s="374">
        <f t="shared" si="45"/>
        <v>0</v>
      </c>
      <c r="BP27" s="1">
        <v>0</v>
      </c>
      <c r="BQ27" s="375">
        <f>BN27+BO27-BP27-'Internal use cement'!Q27</f>
        <v>9.0000000000849845E-2</v>
      </c>
      <c r="BR27" s="375">
        <f>BU26</f>
        <v>170.35000000000002</v>
      </c>
      <c r="BS27" s="374">
        <f t="shared" si="23"/>
        <v>0</v>
      </c>
      <c r="BT27" s="1">
        <v>15</v>
      </c>
      <c r="BU27" s="375">
        <f>BR27+BS27-BT27-'Internal use cement'!AG27</f>
        <v>155.35000000000002</v>
      </c>
      <c r="BV27" s="66">
        <f>BY26</f>
        <v>189.34000000000009</v>
      </c>
      <c r="BW27" s="34">
        <f t="shared" si="24"/>
        <v>348</v>
      </c>
      <c r="BX27" s="1">
        <v>398.68</v>
      </c>
      <c r="BY27" s="66">
        <f>BV27+BW27-BX27-'Internal use cement'!AO27</f>
        <v>138.66000000000014</v>
      </c>
      <c r="BZ27" s="1">
        <v>1850</v>
      </c>
      <c r="CA27" s="1">
        <v>365</v>
      </c>
      <c r="CB27" s="1">
        <v>148</v>
      </c>
      <c r="CC27" s="320">
        <f t="shared" si="42"/>
        <v>2363</v>
      </c>
      <c r="CD27" s="15">
        <f t="shared" si="25"/>
        <v>1253.3479999999784</v>
      </c>
      <c r="CE27" s="270">
        <f>CC27-CD27</f>
        <v>1109.6520000000216</v>
      </c>
      <c r="CF27" s="15">
        <f t="shared" si="26"/>
        <v>3093.52</v>
      </c>
      <c r="CG27" s="15">
        <f t="shared" si="27"/>
        <v>2939</v>
      </c>
      <c r="CH27" s="270">
        <f t="shared" si="28"/>
        <v>142.48998316248162</v>
      </c>
      <c r="CJ27" s="367">
        <f t="shared" si="8"/>
        <v>24</v>
      </c>
      <c r="CK27" s="320">
        <v>25</v>
      </c>
      <c r="CL27" s="320">
        <f t="shared" si="49"/>
        <v>3.5199999999999996</v>
      </c>
      <c r="CM27" s="320">
        <f t="shared" si="30"/>
        <v>5.3099999999999987</v>
      </c>
      <c r="CN27" s="362">
        <f t="shared" si="31"/>
        <v>0</v>
      </c>
      <c r="CO27" s="362">
        <f t="shared" si="32"/>
        <v>1</v>
      </c>
      <c r="CP27" s="320">
        <f t="shared" si="33"/>
        <v>0</v>
      </c>
      <c r="CQ27" s="376">
        <v>25</v>
      </c>
      <c r="CR27" s="362">
        <f t="shared" si="34"/>
        <v>1003</v>
      </c>
      <c r="CS27" s="15">
        <f>'Daily CEM-1'!H28+'Daily CEM-1'!I28+'Daily CEM-1'!J28+'Daily CEM-1'!K28+'Daily CEM-1'!L28</f>
        <v>24</v>
      </c>
      <c r="CT27" s="15">
        <f>AQ27+AT27+AW27+'Daily  CEM - 2'!K28+'Daily  CEM - 2'!L28</f>
        <v>23</v>
      </c>
      <c r="CU27" s="367">
        <f t="shared" si="35"/>
        <v>0</v>
      </c>
      <c r="CW27" s="52">
        <f t="shared" si="36"/>
        <v>2426.91</v>
      </c>
      <c r="CX27" s="52">
        <v>25</v>
      </c>
    </row>
    <row r="28" spans="2:106" s="319" customFormat="1">
      <c r="B28" s="346">
        <v>26</v>
      </c>
      <c r="C28" s="1">
        <v>18.48</v>
      </c>
      <c r="D28" s="359">
        <f>'Mines (2)'!D28+'Mines (2)'!I28+'Mines (2)'!W28+'Mines (2)'!AA28+'Mines (2)'!AE28</f>
        <v>2623.16</v>
      </c>
      <c r="E28" s="368">
        <f>'Mines (2)'!E28+'Mines (2)'!J28+'Mines (2)'!X28+'Mines (2)'!AB28+'Mines (2)'!AF28</f>
        <v>2675</v>
      </c>
      <c r="F28" s="359">
        <f t="shared" si="51"/>
        <v>141.94588744588742</v>
      </c>
      <c r="G28" s="1">
        <v>21.1</v>
      </c>
      <c r="H28" s="16">
        <f t="shared" si="38"/>
        <v>812.51001683751838</v>
      </c>
      <c r="I28" s="299">
        <f t="shared" si="9"/>
        <v>906.25001683751816</v>
      </c>
      <c r="J28" s="1">
        <v>1171</v>
      </c>
      <c r="K28" s="369">
        <f t="shared" si="47"/>
        <v>2402.5</v>
      </c>
      <c r="L28" s="369">
        <f>Clinker!EK28*1.55</f>
        <v>2402.5</v>
      </c>
      <c r="M28" s="36">
        <v>0</v>
      </c>
      <c r="N28" s="1">
        <v>2320</v>
      </c>
      <c r="O28" s="359">
        <f t="shared" si="1"/>
        <v>109.95260663507108</v>
      </c>
      <c r="P28" s="1">
        <v>22</v>
      </c>
      <c r="Q28" s="1">
        <v>176.24</v>
      </c>
      <c r="R28" s="362">
        <f t="shared" si="10"/>
        <v>8.0109090909090916</v>
      </c>
      <c r="S28" s="1">
        <v>18</v>
      </c>
      <c r="T28" s="358">
        <f t="shared" si="11"/>
        <v>52.709999999999809</v>
      </c>
      <c r="U28" s="1">
        <v>240</v>
      </c>
      <c r="V28" s="1">
        <v>238</v>
      </c>
      <c r="W28" s="351">
        <f t="shared" ref="W28:W33" si="57">T28+U28-V28</f>
        <v>54.709999999999809</v>
      </c>
      <c r="X28" s="359">
        <f t="shared" si="3"/>
        <v>13.333333333333334</v>
      </c>
      <c r="Y28" s="1">
        <v>24</v>
      </c>
      <c r="Z28" s="350">
        <f>Clinker!EK28</f>
        <v>1550</v>
      </c>
      <c r="AA28" s="359">
        <f t="shared" si="52"/>
        <v>64.583333333333329</v>
      </c>
      <c r="AB28" s="370">
        <f>'Daily CEM-1'!H29</f>
        <v>20.67</v>
      </c>
      <c r="AC28" s="350">
        <f>'Daily CEM-1'!C29</f>
        <v>1337</v>
      </c>
      <c r="AD28" s="359">
        <f t="shared" si="53"/>
        <v>64.683115626511849</v>
      </c>
      <c r="AE28" s="370">
        <f>'Daily CEM-1'!I29</f>
        <v>3</v>
      </c>
      <c r="AF28" s="350">
        <f>'Daily CEM-1'!D29</f>
        <v>201</v>
      </c>
      <c r="AG28" s="359">
        <f t="shared" si="54"/>
        <v>67</v>
      </c>
      <c r="AH28" s="371">
        <f>'Daily CEM-1'!J29</f>
        <v>0</v>
      </c>
      <c r="AI28" s="371">
        <f>'Daily CEM-1'!E29</f>
        <v>0</v>
      </c>
      <c r="AJ28" s="371" t="e">
        <f t="shared" si="48"/>
        <v>#DIV/0!</v>
      </c>
      <c r="AK28" s="371">
        <f>'Daily CEM-1'!K29</f>
        <v>0</v>
      </c>
      <c r="AL28" s="371">
        <f>'Daily CEM-1'!F29</f>
        <v>0</v>
      </c>
      <c r="AM28" s="371" t="e">
        <f t="shared" si="13"/>
        <v>#DIV/0!</v>
      </c>
      <c r="AN28" s="60">
        <f>'Daily CEM-1'!L29</f>
        <v>0</v>
      </c>
      <c r="AO28" s="60">
        <f>'Daily CEM-1'!G29</f>
        <v>0</v>
      </c>
      <c r="AP28" s="60" t="e">
        <f t="shared" si="14"/>
        <v>#DIV/0!</v>
      </c>
      <c r="AQ28" s="370">
        <f>'Daily  CEM - 2'!H29</f>
        <v>15.3</v>
      </c>
      <c r="AR28" s="350">
        <f>'Daily  CEM - 2'!C29</f>
        <v>904</v>
      </c>
      <c r="AS28" s="359">
        <f t="shared" si="55"/>
        <v>59.084967320261434</v>
      </c>
      <c r="AT28" s="370">
        <f>'Daily  CEM - 2'!I29</f>
        <v>2</v>
      </c>
      <c r="AU28" s="350">
        <f>'Daily  CEM - 2'!D29</f>
        <v>120</v>
      </c>
      <c r="AV28" s="359">
        <f t="shared" si="56"/>
        <v>60</v>
      </c>
      <c r="AW28" s="371">
        <f>'Daily  CEM - 2'!J29</f>
        <v>0</v>
      </c>
      <c r="AX28" s="371">
        <f>'Daily  CEM - 2'!E29</f>
        <v>0</v>
      </c>
      <c r="AY28" s="372" t="e">
        <f t="shared" si="15"/>
        <v>#DIV/0!</v>
      </c>
      <c r="AZ28" s="371">
        <f>'Daily  CEM - 2'!K29</f>
        <v>0</v>
      </c>
      <c r="BA28" s="371">
        <f>'Daily  CEM - 2'!F29</f>
        <v>0</v>
      </c>
      <c r="BB28" s="371" t="e">
        <f t="shared" si="50"/>
        <v>#DIV/0!</v>
      </c>
      <c r="BC28" s="61">
        <f>'Daily  CEM - 2'!L29</f>
        <v>6</v>
      </c>
      <c r="BD28" s="61">
        <f>'Daily  CEM - 2'!G29</f>
        <v>351</v>
      </c>
      <c r="BE28" s="371">
        <f t="shared" si="17"/>
        <v>58.5</v>
      </c>
      <c r="BF28" s="358">
        <f t="shared" ref="BF28:BF33" si="58">BI27</f>
        <v>804.04799999997749</v>
      </c>
      <c r="BG28" s="369">
        <f t="shared" si="19"/>
        <v>2241</v>
      </c>
      <c r="BH28" s="1">
        <v>2406.86</v>
      </c>
      <c r="BI28" s="18">
        <f>BF28+BG28-BH28-'Internal use cement'!F28</f>
        <v>638.18799999997736</v>
      </c>
      <c r="BJ28" s="358">
        <f t="shared" ref="BJ28:BJ33" si="59">BM27</f>
        <v>155.19999999999993</v>
      </c>
      <c r="BK28" s="369">
        <f t="shared" si="21"/>
        <v>321</v>
      </c>
      <c r="BL28" s="1">
        <v>315</v>
      </c>
      <c r="BM28" s="351">
        <f>BJ28+BK28-BL28-'Internal use cement'!AB28</f>
        <v>161.19999999999993</v>
      </c>
      <c r="BN28" s="351">
        <f t="shared" si="39"/>
        <v>9.0000000000849845E-2</v>
      </c>
      <c r="BO28" s="374">
        <f t="shared" si="45"/>
        <v>0</v>
      </c>
      <c r="BP28" s="1">
        <v>0</v>
      </c>
      <c r="BQ28" s="375">
        <f>BN28+BO28-BP28-'Internal use cement'!Q28</f>
        <v>9.0000000000849845E-2</v>
      </c>
      <c r="BR28" s="375">
        <f>BU27</f>
        <v>155.35000000000002</v>
      </c>
      <c r="BS28" s="374">
        <f>BA28+AL28</f>
        <v>0</v>
      </c>
      <c r="BT28" s="1">
        <v>30</v>
      </c>
      <c r="BU28" s="375">
        <f>BR28+BS28-BT28-'Internal use cement'!AG28</f>
        <v>125.35000000000002</v>
      </c>
      <c r="BV28" s="66">
        <f t="shared" si="41"/>
        <v>138.66000000000014</v>
      </c>
      <c r="BW28" s="34">
        <f t="shared" si="24"/>
        <v>351</v>
      </c>
      <c r="BX28" s="1">
        <v>420.48</v>
      </c>
      <c r="BY28" s="66">
        <f>BV28+BW28-BX28-'Internal use cement'!AO28</f>
        <v>69.180000000000121</v>
      </c>
      <c r="BZ28" s="1">
        <v>1422</v>
      </c>
      <c r="CA28" s="1">
        <v>435</v>
      </c>
      <c r="CB28" s="1">
        <v>115</v>
      </c>
      <c r="CC28" s="320">
        <f t="shared" si="42"/>
        <v>1972</v>
      </c>
      <c r="CD28" s="15">
        <f>BI28+BM28+BQ28+BU28+BY28</f>
        <v>994.00799999997821</v>
      </c>
      <c r="CE28" s="269">
        <f t="shared" si="46"/>
        <v>977.99200000002179</v>
      </c>
      <c r="CF28" s="15">
        <f t="shared" si="26"/>
        <v>3172.34</v>
      </c>
      <c r="CG28" s="15">
        <f t="shared" si="27"/>
        <v>2913</v>
      </c>
      <c r="CH28" s="270">
        <f t="shared" si="28"/>
        <v>264.74998316248184</v>
      </c>
      <c r="CI28" s="319">
        <f>CG28*0.12</f>
        <v>349.56</v>
      </c>
      <c r="CJ28" s="367">
        <f t="shared" si="8"/>
        <v>23.67</v>
      </c>
      <c r="CK28" s="320">
        <v>26</v>
      </c>
      <c r="CL28" s="320">
        <f t="shared" si="49"/>
        <v>2.8999999999999986</v>
      </c>
      <c r="CM28" s="320">
        <f t="shared" si="30"/>
        <v>6</v>
      </c>
      <c r="CN28" s="362">
        <f t="shared" si="31"/>
        <v>0.32999999999999829</v>
      </c>
      <c r="CO28" s="362">
        <f t="shared" si="32"/>
        <v>0.69999999999999929</v>
      </c>
      <c r="CP28" s="320">
        <f t="shared" si="33"/>
        <v>0</v>
      </c>
      <c r="CQ28" s="376">
        <v>26</v>
      </c>
      <c r="CR28" s="362">
        <f t="shared" si="34"/>
        <v>1024</v>
      </c>
      <c r="CS28" s="15">
        <f>'Daily CEM-1'!H29+'Daily CEM-1'!I29+'Daily CEM-1'!J29+'Daily CEM-1'!K29+'Daily CEM-1'!L29</f>
        <v>23.67</v>
      </c>
      <c r="CT28" s="15">
        <f>AQ28+AT28+AW28+'Daily  CEM - 2'!K29+'Daily  CEM - 2'!L29</f>
        <v>23.3</v>
      </c>
      <c r="CU28" s="367">
        <f t="shared" si="35"/>
        <v>0.32999999999999829</v>
      </c>
      <c r="CW28" s="52">
        <f t="shared" si="36"/>
        <v>2496.2399999999998</v>
      </c>
      <c r="CX28" s="52">
        <v>26</v>
      </c>
    </row>
    <row r="29" spans="2:106">
      <c r="B29" s="4">
        <v>27</v>
      </c>
      <c r="C29" s="1">
        <v>17.329999999999998</v>
      </c>
      <c r="D29" s="34">
        <f>'Mines (2)'!D29+'Mines (2)'!I29+'Mines (2)'!W29+'Mines (2)'!AA29+'Mines (2)'!AE29</f>
        <v>2537.4</v>
      </c>
      <c r="E29" s="169">
        <f>'Mines (2)'!E29+'Mines (2)'!J29+'Mines (2)'!X29+'Mines (2)'!AB29+'Mines (2)'!AF29</f>
        <v>2197</v>
      </c>
      <c r="F29" s="34">
        <f t="shared" si="51"/>
        <v>146.41661858049628</v>
      </c>
      <c r="G29" s="1">
        <v>17.850000000000001</v>
      </c>
      <c r="H29" s="16">
        <f t="shared" si="38"/>
        <v>906.25001683751816</v>
      </c>
      <c r="I29" s="299">
        <f t="shared" si="9"/>
        <v>622.24001683751794</v>
      </c>
      <c r="J29" s="1">
        <v>742</v>
      </c>
      <c r="K29" s="36">
        <f t="shared" si="47"/>
        <v>2334.3000000000002</v>
      </c>
      <c r="L29" s="36">
        <f>Clinker!EK29*1.55</f>
        <v>2334.3000000000002</v>
      </c>
      <c r="M29" s="36">
        <v>0</v>
      </c>
      <c r="N29" s="1">
        <v>1910</v>
      </c>
      <c r="O29" s="34">
        <f t="shared" si="1"/>
        <v>107.00280112044817</v>
      </c>
      <c r="P29" s="1">
        <v>16.329999999999998</v>
      </c>
      <c r="Q29" s="1">
        <v>140.29</v>
      </c>
      <c r="R29" s="15">
        <f t="shared" si="10"/>
        <v>8.5909369259032466</v>
      </c>
      <c r="S29" s="1">
        <v>17.079999999999998</v>
      </c>
      <c r="T29" s="16">
        <f>W28</f>
        <v>54.709999999999809</v>
      </c>
      <c r="U29" s="1">
        <v>220</v>
      </c>
      <c r="V29" s="1">
        <v>226</v>
      </c>
      <c r="W29" s="18">
        <f t="shared" si="57"/>
        <v>48.709999999999809</v>
      </c>
      <c r="X29" s="34">
        <f t="shared" si="3"/>
        <v>12.880562060889931</v>
      </c>
      <c r="Y29" s="1">
        <v>24</v>
      </c>
      <c r="Z29" s="33">
        <f>Clinker!EK29</f>
        <v>1506</v>
      </c>
      <c r="AA29" s="34">
        <f t="shared" si="52"/>
        <v>62.75</v>
      </c>
      <c r="AB29" s="37">
        <f>'Daily CEM-1'!H30</f>
        <v>14.48</v>
      </c>
      <c r="AC29" s="33">
        <f>'Daily CEM-1'!C30</f>
        <v>954</v>
      </c>
      <c r="AD29" s="34">
        <f t="shared" si="53"/>
        <v>65.88397790055248</v>
      </c>
      <c r="AE29" s="37">
        <f>'Daily CEM-1'!I30</f>
        <v>0</v>
      </c>
      <c r="AF29" s="33">
        <f>'Daily CEM-1'!D30</f>
        <v>0</v>
      </c>
      <c r="AG29" s="34" t="e">
        <f t="shared" si="54"/>
        <v>#DIV/0!</v>
      </c>
      <c r="AH29" s="61">
        <f>'Daily CEM-1'!J30</f>
        <v>0</v>
      </c>
      <c r="AI29" s="61">
        <f>'Daily CEM-1'!E30</f>
        <v>0</v>
      </c>
      <c r="AJ29" s="61" t="e">
        <f t="shared" si="48"/>
        <v>#DIV/0!</v>
      </c>
      <c r="AK29" s="61">
        <f>'Daily CEM-1'!K30</f>
        <v>0</v>
      </c>
      <c r="AL29" s="61">
        <f>'Daily CEM-1'!F30</f>
        <v>0</v>
      </c>
      <c r="AM29" s="61" t="e">
        <f t="shared" si="13"/>
        <v>#DIV/0!</v>
      </c>
      <c r="AN29" s="60">
        <f>'Daily CEM-1'!L30</f>
        <v>3</v>
      </c>
      <c r="AO29" s="60">
        <f>'Daily CEM-1'!G30</f>
        <v>201</v>
      </c>
      <c r="AP29" s="60">
        <f t="shared" si="14"/>
        <v>67</v>
      </c>
      <c r="AQ29" s="37">
        <f>'Daily  CEM - 2'!H30</f>
        <v>14.16</v>
      </c>
      <c r="AR29" s="33">
        <f>'Daily  CEM - 2'!C30</f>
        <v>828</v>
      </c>
      <c r="AS29" s="34">
        <f t="shared" si="55"/>
        <v>58.474576271186443</v>
      </c>
      <c r="AT29" s="37">
        <f>'Daily  CEM - 2'!I30</f>
        <v>3</v>
      </c>
      <c r="AU29" s="33">
        <f>'Daily  CEM - 2'!D30</f>
        <v>180</v>
      </c>
      <c r="AV29" s="34">
        <f t="shared" si="56"/>
        <v>60</v>
      </c>
      <c r="AW29" s="61">
        <f>'Daily  CEM - 2'!J30</f>
        <v>0</v>
      </c>
      <c r="AX29" s="61">
        <f>'Daily  CEM - 2'!E30</f>
        <v>0</v>
      </c>
      <c r="AY29" s="197" t="e">
        <f t="shared" si="15"/>
        <v>#DIV/0!</v>
      </c>
      <c r="AZ29" s="61">
        <f>'Daily  CEM - 2'!K30</f>
        <v>0</v>
      </c>
      <c r="BA29" s="61">
        <f>'Daily  CEM - 2'!F30</f>
        <v>0</v>
      </c>
      <c r="BB29" s="61" t="e">
        <f t="shared" si="50"/>
        <v>#DIV/0!</v>
      </c>
      <c r="BC29" s="61">
        <f>'Daily  CEM - 2'!L30</f>
        <v>4</v>
      </c>
      <c r="BD29" s="61">
        <f>'Daily  CEM - 2'!G30</f>
        <v>240</v>
      </c>
      <c r="BE29" s="61">
        <f t="shared" si="17"/>
        <v>60</v>
      </c>
      <c r="BF29" s="16">
        <f t="shared" si="58"/>
        <v>638.18799999997736</v>
      </c>
      <c r="BG29" s="36">
        <f t="shared" si="19"/>
        <v>1782</v>
      </c>
      <c r="BH29" s="1">
        <v>2139.46</v>
      </c>
      <c r="BI29" s="18">
        <f>BF29+BG29-BH29-'Internal use cement'!F29</f>
        <v>280.72799999997733</v>
      </c>
      <c r="BJ29" s="16">
        <f t="shared" si="59"/>
        <v>161.19999999999993</v>
      </c>
      <c r="BK29" s="36">
        <f t="shared" si="21"/>
        <v>180</v>
      </c>
      <c r="BL29" s="1">
        <v>150</v>
      </c>
      <c r="BM29" s="18">
        <f>BJ29+BK29-BL29-'Internal use cement'!AB29</f>
        <v>191.19999999999993</v>
      </c>
      <c r="BN29" s="18">
        <f t="shared" si="39"/>
        <v>9.0000000000849845E-2</v>
      </c>
      <c r="BO29" s="63">
        <f t="shared" si="45"/>
        <v>0</v>
      </c>
      <c r="BP29" s="1">
        <v>0</v>
      </c>
      <c r="BQ29" s="66">
        <f>BN29+BO29-BP29-'Internal use cement'!Q29</f>
        <v>9.0000000000849845E-2</v>
      </c>
      <c r="BR29" s="66">
        <f>BU28</f>
        <v>125.35000000000002</v>
      </c>
      <c r="BS29" s="63">
        <f t="shared" si="23"/>
        <v>0</v>
      </c>
      <c r="BT29" s="1">
        <v>120</v>
      </c>
      <c r="BU29" s="66">
        <f>BR29+BS29-BT29-'Internal use cement'!AG29</f>
        <v>5.3500000000000227</v>
      </c>
      <c r="BV29" s="66">
        <f>BY28</f>
        <v>69.180000000000121</v>
      </c>
      <c r="BW29" s="34">
        <f t="shared" si="24"/>
        <v>441</v>
      </c>
      <c r="BX29" s="1">
        <v>457.72</v>
      </c>
      <c r="BY29" s="66">
        <f>BV29+BW29-BX29-'Internal use cement'!AO29</f>
        <v>52.460000000000093</v>
      </c>
      <c r="BZ29" s="1">
        <v>1417</v>
      </c>
      <c r="CA29" s="1">
        <v>219</v>
      </c>
      <c r="CB29" s="1">
        <v>35</v>
      </c>
      <c r="CC29" s="1">
        <f>SUM(BZ29:CB29)</f>
        <v>1671</v>
      </c>
      <c r="CD29" s="15">
        <f>BI29+BM29+BQ29+BU29+BY29</f>
        <v>529.82799999997815</v>
      </c>
      <c r="CE29" s="270">
        <f>CC29-CD29</f>
        <v>1141.1720000000219</v>
      </c>
      <c r="CF29" s="15">
        <f t="shared" si="26"/>
        <v>2867.1800000000003</v>
      </c>
      <c r="CG29" s="15">
        <f t="shared" si="27"/>
        <v>2403</v>
      </c>
      <c r="CH29" s="270">
        <f t="shared" si="28"/>
        <v>119.75998316248206</v>
      </c>
      <c r="CI29">
        <f>CG29*0.12</f>
        <v>288.36</v>
      </c>
      <c r="CJ29" s="52">
        <f t="shared" si="8"/>
        <v>14.48</v>
      </c>
      <c r="CK29" s="1">
        <v>27</v>
      </c>
      <c r="CL29" s="1">
        <f t="shared" si="49"/>
        <v>6.1499999999999986</v>
      </c>
      <c r="CM29" s="1">
        <f t="shared" si="30"/>
        <v>6.9200000000000017</v>
      </c>
      <c r="CN29" s="15">
        <f t="shared" si="31"/>
        <v>6.52</v>
      </c>
      <c r="CO29" s="15">
        <f t="shared" si="32"/>
        <v>2.84</v>
      </c>
      <c r="CP29" s="1">
        <f t="shared" si="33"/>
        <v>0</v>
      </c>
      <c r="CQ29" s="2">
        <v>27</v>
      </c>
      <c r="CR29" s="15">
        <f t="shared" si="34"/>
        <v>1008</v>
      </c>
      <c r="CS29" s="15">
        <f>'Daily CEM-1'!H30+'Daily CEM-1'!I30+'Daily CEM-1'!J30+'Daily CEM-1'!K30+'Daily CEM-1'!L30</f>
        <v>17.48</v>
      </c>
      <c r="CT29" s="15">
        <f>AQ29+AT29+AW29+'Daily  CEM - 2'!K30+'Daily  CEM - 2'!L30</f>
        <v>21.16</v>
      </c>
      <c r="CU29" s="52">
        <f t="shared" si="35"/>
        <v>6.52</v>
      </c>
      <c r="CW29" s="52">
        <f t="shared" si="36"/>
        <v>2050.29</v>
      </c>
      <c r="CX29" s="52">
        <v>27</v>
      </c>
    </row>
    <row r="30" spans="2:106">
      <c r="B30" s="4">
        <v>28</v>
      </c>
      <c r="C30" s="1">
        <v>19.8</v>
      </c>
      <c r="D30" s="169">
        <f>'Mines (2)'!D30+'Mines (2)'!I30+'Mines (2)'!W30+'Mines (2)'!AA30+'Mines (2)'!AE30</f>
        <v>2799.5600000000004</v>
      </c>
      <c r="E30" s="169">
        <f>'Mines (2)'!E30+'Mines (2)'!J30+'Mines (2)'!X30+'Mines (2)'!AB30+'Mines (2)'!AF30</f>
        <v>2571</v>
      </c>
      <c r="F30" s="34">
        <f t="shared" si="51"/>
        <v>141.39191919191921</v>
      </c>
      <c r="G30" s="1">
        <v>20.38</v>
      </c>
      <c r="H30" s="16">
        <f t="shared" si="38"/>
        <v>622.24001683751794</v>
      </c>
      <c r="I30" s="299">
        <f t="shared" si="9"/>
        <v>881.85001683751807</v>
      </c>
      <c r="J30" s="1">
        <v>1106</v>
      </c>
      <c r="K30" s="36">
        <f t="shared" si="47"/>
        <v>2123.5</v>
      </c>
      <c r="L30" s="36">
        <f>Clinker!EK30*1.55</f>
        <v>2123.5</v>
      </c>
      <c r="M30" s="36">
        <v>0</v>
      </c>
      <c r="N30" s="1">
        <v>2210</v>
      </c>
      <c r="O30" s="34">
        <f t="shared" si="1"/>
        <v>108.4396467124632</v>
      </c>
      <c r="P30" s="1">
        <v>21.7</v>
      </c>
      <c r="Q30" s="1">
        <v>173.11</v>
      </c>
      <c r="R30" s="15">
        <f t="shared" si="10"/>
        <v>7.9774193548387107</v>
      </c>
      <c r="S30" s="1">
        <v>16.18</v>
      </c>
      <c r="T30" s="16">
        <f>W29</f>
        <v>48.709999999999809</v>
      </c>
      <c r="U30" s="1">
        <v>210</v>
      </c>
      <c r="V30" s="1">
        <v>212</v>
      </c>
      <c r="W30" s="18">
        <f t="shared" si="57"/>
        <v>46.709999999999809</v>
      </c>
      <c r="X30" s="34">
        <f t="shared" si="3"/>
        <v>12.978986402966626</v>
      </c>
      <c r="Y30" s="1">
        <v>24</v>
      </c>
      <c r="Z30" s="33">
        <f>Clinker!EK30</f>
        <v>1370</v>
      </c>
      <c r="AA30" s="34">
        <f t="shared" si="52"/>
        <v>57.083333333333336</v>
      </c>
      <c r="AB30" s="37">
        <f>'Daily CEM-1'!H31</f>
        <v>17.73</v>
      </c>
      <c r="AC30" s="33">
        <f>'Daily CEM-1'!C31</f>
        <v>1194</v>
      </c>
      <c r="AD30" s="34">
        <f t="shared" si="53"/>
        <v>67.343485617597295</v>
      </c>
      <c r="AE30" s="37">
        <f>'Daily CEM-1'!I31</f>
        <v>0</v>
      </c>
      <c r="AF30" s="33">
        <f>'Daily CEM-1'!D31</f>
        <v>0</v>
      </c>
      <c r="AG30" s="34" t="e">
        <f t="shared" si="54"/>
        <v>#DIV/0!</v>
      </c>
      <c r="AH30" s="61">
        <f>'Daily CEM-1'!J31</f>
        <v>0</v>
      </c>
      <c r="AI30" s="61">
        <f>'Daily CEM-1'!E31</f>
        <v>0</v>
      </c>
      <c r="AJ30" s="61" t="e">
        <f t="shared" si="48"/>
        <v>#DIV/0!</v>
      </c>
      <c r="AK30" s="61">
        <f>'Daily CEM-1'!K31</f>
        <v>0</v>
      </c>
      <c r="AL30" s="61">
        <f>'Daily CEM-1'!F31</f>
        <v>0</v>
      </c>
      <c r="AM30" s="61" t="e">
        <f t="shared" si="13"/>
        <v>#DIV/0!</v>
      </c>
      <c r="AN30" s="60">
        <f>'Daily CEM-1'!L31</f>
        <v>3</v>
      </c>
      <c r="AO30" s="60">
        <f>'Daily CEM-1'!G31</f>
        <v>196</v>
      </c>
      <c r="AP30" s="60">
        <f t="shared" si="14"/>
        <v>65.333333333333329</v>
      </c>
      <c r="AQ30" s="37">
        <f>'Daily  CEM - 2'!H31</f>
        <v>19.25</v>
      </c>
      <c r="AR30" s="33">
        <f>'Daily  CEM - 2'!C31</f>
        <v>1172</v>
      </c>
      <c r="AS30" s="34">
        <f t="shared" si="55"/>
        <v>60.883116883116884</v>
      </c>
      <c r="AT30" s="37">
        <f>'Daily  CEM - 2'!I31</f>
        <v>0</v>
      </c>
      <c r="AU30" s="33">
        <f>'Daily  CEM - 2'!D31</f>
        <v>0</v>
      </c>
      <c r="AV30" s="34" t="e">
        <f t="shared" si="56"/>
        <v>#DIV/0!</v>
      </c>
      <c r="AW30" s="61">
        <f>'Daily  CEM - 2'!J31</f>
        <v>0</v>
      </c>
      <c r="AX30" s="61">
        <f>'Daily  CEM - 2'!E31</f>
        <v>0</v>
      </c>
      <c r="AY30" s="197" t="e">
        <f t="shared" si="15"/>
        <v>#DIV/0!</v>
      </c>
      <c r="AZ30" s="61">
        <f>'Daily  CEM - 2'!K31</f>
        <v>1</v>
      </c>
      <c r="BA30" s="61">
        <f>'Daily  CEM - 2'!F31</f>
        <v>58</v>
      </c>
      <c r="BB30" s="61">
        <f t="shared" si="50"/>
        <v>58</v>
      </c>
      <c r="BC30" s="61">
        <f>'Daily  CEM - 2'!L31</f>
        <v>3.2</v>
      </c>
      <c r="BD30" s="61">
        <f>'Daily  CEM - 2'!G31</f>
        <v>200</v>
      </c>
      <c r="BE30" s="61">
        <f t="shared" si="17"/>
        <v>62.5</v>
      </c>
      <c r="BF30" s="16">
        <f t="shared" si="58"/>
        <v>280.72799999997733</v>
      </c>
      <c r="BG30" s="36">
        <f t="shared" si="19"/>
        <v>2366</v>
      </c>
      <c r="BH30" s="1">
        <v>2247.9499999999998</v>
      </c>
      <c r="BI30" s="18">
        <f>BF30+BG30-BH30-'Internal use cement'!F30</f>
        <v>398.77799999997751</v>
      </c>
      <c r="BJ30" s="16">
        <f t="shared" si="59"/>
        <v>191.19999999999993</v>
      </c>
      <c r="BK30" s="36">
        <f t="shared" si="21"/>
        <v>0</v>
      </c>
      <c r="BL30" s="1">
        <v>61</v>
      </c>
      <c r="BM30" s="18">
        <f>BJ30+BK30-BL30-'Internal use cement'!AB30</f>
        <v>130.19999999999993</v>
      </c>
      <c r="BN30" s="18">
        <f t="shared" si="39"/>
        <v>9.0000000000849845E-2</v>
      </c>
      <c r="BO30" s="63">
        <f t="shared" si="45"/>
        <v>0</v>
      </c>
      <c r="BP30" s="1">
        <v>0</v>
      </c>
      <c r="BQ30" s="66">
        <f>BN30+BO30-BP30-'Internal use cement'!Q30</f>
        <v>9.0000000000849845E-2</v>
      </c>
      <c r="BR30" s="18">
        <f t="shared" si="40"/>
        <v>5.3500000000000227</v>
      </c>
      <c r="BS30" s="63">
        <f t="shared" si="23"/>
        <v>58</v>
      </c>
      <c r="BT30" s="1">
        <v>30</v>
      </c>
      <c r="BU30" s="66">
        <f>BR30+BS30-BT30-'Internal use cement'!AG30</f>
        <v>33.350000000000023</v>
      </c>
      <c r="BV30" s="66">
        <f>BY29</f>
        <v>52.460000000000093</v>
      </c>
      <c r="BW30" s="34">
        <f t="shared" si="24"/>
        <v>396</v>
      </c>
      <c r="BX30" s="1">
        <v>318.55</v>
      </c>
      <c r="BY30" s="66">
        <f>BV30+BW30-BX30-'Internal use cement'!AO30</f>
        <v>129.91000000000008</v>
      </c>
      <c r="BZ30" s="1">
        <v>1241</v>
      </c>
      <c r="CA30" s="1">
        <v>277</v>
      </c>
      <c r="CB30" s="1">
        <v>166</v>
      </c>
      <c r="CC30" s="1">
        <f t="shared" si="42"/>
        <v>1684</v>
      </c>
      <c r="CD30" s="15">
        <f t="shared" si="25"/>
        <v>692.32799999997837</v>
      </c>
      <c r="CE30" s="270">
        <f>CC30-CD30</f>
        <v>991.67200000002163</v>
      </c>
      <c r="CF30" s="15">
        <f t="shared" si="26"/>
        <v>2657.5</v>
      </c>
      <c r="CG30" s="15">
        <f t="shared" si="27"/>
        <v>2820</v>
      </c>
      <c r="CH30" s="270">
        <f t="shared" si="28"/>
        <v>224.14998316248193</v>
      </c>
      <c r="CI30">
        <f>CG30*0.12</f>
        <v>338.4</v>
      </c>
      <c r="CJ30" s="52">
        <f t="shared" si="8"/>
        <v>17.73</v>
      </c>
      <c r="CK30" s="1">
        <v>28</v>
      </c>
      <c r="CL30" s="1">
        <f t="shared" si="49"/>
        <v>3.620000000000001</v>
      </c>
      <c r="CM30" s="1">
        <f t="shared" si="30"/>
        <v>7.82</v>
      </c>
      <c r="CN30" s="15">
        <f t="shared" si="31"/>
        <v>3.2699999999999996</v>
      </c>
      <c r="CO30" s="15">
        <f t="shared" si="32"/>
        <v>0.55000000000000071</v>
      </c>
      <c r="CP30" s="1">
        <f t="shared" si="33"/>
        <v>0</v>
      </c>
      <c r="CQ30" s="2">
        <v>28</v>
      </c>
      <c r="CR30" s="52">
        <f t="shared" si="34"/>
        <v>1172</v>
      </c>
      <c r="CS30" s="15">
        <f>'Daily CEM-1'!H31+'Daily CEM-1'!I31+'Daily CEM-1'!J31+'Daily CEM-1'!K31+'Daily CEM-1'!L31</f>
        <v>20.73</v>
      </c>
      <c r="CT30" s="15">
        <f>AQ30+AT30+AW30+'Daily  CEM - 2'!K31+'Daily  CEM - 2'!L31</f>
        <v>23.45</v>
      </c>
      <c r="CU30" s="52">
        <f t="shared" si="35"/>
        <v>3.2699999999999996</v>
      </c>
      <c r="CW30" s="52">
        <f t="shared" si="36"/>
        <v>2383.11</v>
      </c>
      <c r="CX30" s="52">
        <v>28</v>
      </c>
    </row>
    <row r="31" spans="2:106">
      <c r="B31" s="4">
        <v>29</v>
      </c>
      <c r="C31" s="1">
        <v>18.5</v>
      </c>
      <c r="D31" s="169">
        <f>'Mines (2)'!D31+'Mines (2)'!I31+'Mines (2)'!W31+'Mines (2)'!AA31+'Mines (2)'!AE31</f>
        <v>3619.96</v>
      </c>
      <c r="E31" s="169">
        <f>'Mines (2)'!E31+'Mines (2)'!J31+'Mines (2)'!X31+'Mines (2)'!AB31+'Mines (2)'!AF31</f>
        <v>2626</v>
      </c>
      <c r="F31" s="34">
        <f t="shared" si="51"/>
        <v>195.67351351351351</v>
      </c>
      <c r="G31" s="1">
        <v>19.87</v>
      </c>
      <c r="H31" s="16">
        <f t="shared" si="38"/>
        <v>881.85001683751807</v>
      </c>
      <c r="I31" s="299">
        <f t="shared" si="9"/>
        <v>1044.140016837518</v>
      </c>
      <c r="J31" s="1">
        <v>1400</v>
      </c>
      <c r="K31" s="36">
        <f t="shared" si="47"/>
        <v>2309.5</v>
      </c>
      <c r="L31" s="36">
        <f>Clinker!EK31*1.55</f>
        <v>2309.5</v>
      </c>
      <c r="M31" s="36">
        <v>0</v>
      </c>
      <c r="N31" s="1">
        <v>2320</v>
      </c>
      <c r="O31" s="34">
        <f>N31/G31</f>
        <v>116.75893306492199</v>
      </c>
      <c r="P31" s="1">
        <v>19.07</v>
      </c>
      <c r="Q31" s="1">
        <v>151.79</v>
      </c>
      <c r="R31" s="15">
        <f t="shared" si="10"/>
        <v>7.9596224436287359</v>
      </c>
      <c r="S31" s="1">
        <v>15.98</v>
      </c>
      <c r="T31" s="16">
        <f>W30</f>
        <v>46.709999999999809</v>
      </c>
      <c r="U31" s="1">
        <v>221.4</v>
      </c>
      <c r="V31" s="1">
        <v>226</v>
      </c>
      <c r="W31" s="18">
        <f t="shared" si="57"/>
        <v>42.109999999999786</v>
      </c>
      <c r="X31" s="34">
        <f t="shared" si="3"/>
        <v>13.854818523153943</v>
      </c>
      <c r="Y31" s="1">
        <v>22</v>
      </c>
      <c r="Z31" s="33">
        <f>Clinker!EK31</f>
        <v>1490</v>
      </c>
      <c r="AA31" s="34">
        <f t="shared" si="52"/>
        <v>67.727272727272734</v>
      </c>
      <c r="AB31" s="37">
        <f>'Daily CEM-1'!H32</f>
        <v>16.3</v>
      </c>
      <c r="AC31" s="33">
        <f>'Daily CEM-1'!C32</f>
        <v>1066</v>
      </c>
      <c r="AD31" s="34">
        <f t="shared" si="53"/>
        <v>65.398773006134959</v>
      </c>
      <c r="AE31" s="37">
        <f>'Daily CEM-1'!I32</f>
        <v>1</v>
      </c>
      <c r="AF31" s="33">
        <f>'Daily CEM-1'!D32</f>
        <v>70</v>
      </c>
      <c r="AG31" s="34">
        <f t="shared" si="54"/>
        <v>70</v>
      </c>
      <c r="AH31" s="61">
        <f>'Daily CEM-1'!J32</f>
        <v>0</v>
      </c>
      <c r="AI31" s="61">
        <f>'Daily CEM-1'!E32</f>
        <v>0</v>
      </c>
      <c r="AJ31" s="61" t="e">
        <f t="shared" si="48"/>
        <v>#DIV/0!</v>
      </c>
      <c r="AK31" s="61">
        <f>'Daily CEM-1'!K32</f>
        <v>0</v>
      </c>
      <c r="AL31" s="61">
        <f>'Daily CEM-1'!F32</f>
        <v>0</v>
      </c>
      <c r="AM31" s="61" t="e">
        <f t="shared" si="13"/>
        <v>#DIV/0!</v>
      </c>
      <c r="AN31" s="60">
        <f>'Daily CEM-1'!L32</f>
        <v>3</v>
      </c>
      <c r="AO31" s="60">
        <f>'Daily CEM-1'!G32</f>
        <v>204</v>
      </c>
      <c r="AP31" s="60">
        <f t="shared" si="14"/>
        <v>68</v>
      </c>
      <c r="AQ31" s="37">
        <f>'Daily  CEM - 2'!H32</f>
        <v>13.36</v>
      </c>
      <c r="AR31" s="33">
        <f>'Daily  CEM - 2'!C32</f>
        <v>818</v>
      </c>
      <c r="AS31" s="34">
        <f t="shared" si="55"/>
        <v>61.227544910179645</v>
      </c>
      <c r="AT31" s="37">
        <f>'Daily  CEM - 2'!I32</f>
        <v>0</v>
      </c>
      <c r="AU31" s="33">
        <f>'Daily  CEM - 2'!D32</f>
        <v>0</v>
      </c>
      <c r="AV31" s="34" t="e">
        <f t="shared" si="56"/>
        <v>#DIV/0!</v>
      </c>
      <c r="AW31" s="61">
        <f>'Daily  CEM - 2'!J32</f>
        <v>0</v>
      </c>
      <c r="AX31" s="61">
        <f>'Daily  CEM - 2'!E32</f>
        <v>0</v>
      </c>
      <c r="AY31" s="197" t="e">
        <f t="shared" si="15"/>
        <v>#DIV/0!</v>
      </c>
      <c r="AZ31" s="61">
        <f>'Daily  CEM - 2'!K32</f>
        <v>3</v>
      </c>
      <c r="BA31" s="61">
        <f>'Daily  CEM - 2'!F32</f>
        <v>174</v>
      </c>
      <c r="BB31" s="61">
        <f t="shared" si="50"/>
        <v>58</v>
      </c>
      <c r="BC31" s="61">
        <f>'Daily  CEM - 2'!L32</f>
        <v>3</v>
      </c>
      <c r="BD31" s="61">
        <f>'Daily  CEM - 2'!G32</f>
        <v>180</v>
      </c>
      <c r="BE31" s="61">
        <f t="shared" si="17"/>
        <v>60</v>
      </c>
      <c r="BF31" s="16">
        <f t="shared" si="58"/>
        <v>398.77799999997751</v>
      </c>
      <c r="BG31" s="36">
        <f t="shared" si="19"/>
        <v>1884</v>
      </c>
      <c r="BH31" s="1">
        <v>2140</v>
      </c>
      <c r="BI31" s="18">
        <f>BF31+BG31-BH31-'Internal use cement'!F31</f>
        <v>142.77799999997751</v>
      </c>
      <c r="BJ31" s="16">
        <f t="shared" si="59"/>
        <v>130.19999999999993</v>
      </c>
      <c r="BK31" s="36">
        <f t="shared" si="21"/>
        <v>70</v>
      </c>
      <c r="BL31" s="1">
        <v>152</v>
      </c>
      <c r="BM31" s="18">
        <f>BJ31+BK31-BL31-'Internal use cement'!AB31</f>
        <v>48.049999999999933</v>
      </c>
      <c r="BN31" s="18">
        <f t="shared" si="39"/>
        <v>9.0000000000849845E-2</v>
      </c>
      <c r="BO31" s="63">
        <f t="shared" si="45"/>
        <v>0</v>
      </c>
      <c r="BP31" s="1">
        <v>0</v>
      </c>
      <c r="BQ31" s="66">
        <f>BN31+BO31-BP31-'Internal use cement'!Q31</f>
        <v>9.0000000000849845E-2</v>
      </c>
      <c r="BR31" s="18">
        <f t="shared" si="40"/>
        <v>33.350000000000023</v>
      </c>
      <c r="BS31" s="63">
        <f t="shared" si="23"/>
        <v>174</v>
      </c>
      <c r="BT31" s="1">
        <v>150</v>
      </c>
      <c r="BU31" s="66">
        <f>BR31+BS31-BT31-'Internal use cement'!AG31</f>
        <v>57.350000000000023</v>
      </c>
      <c r="BV31" s="66">
        <f t="shared" si="41"/>
        <v>129.91000000000008</v>
      </c>
      <c r="BW31" s="34">
        <f t="shared" si="24"/>
        <v>384</v>
      </c>
      <c r="BX31" s="1">
        <v>436.72</v>
      </c>
      <c r="BY31" s="66">
        <f>BV31+BW31-BX31-'Internal use cement'!AO31</f>
        <v>77.040000000000049</v>
      </c>
      <c r="BZ31" s="1">
        <v>815</v>
      </c>
      <c r="CA31" s="1">
        <v>402</v>
      </c>
      <c r="CB31" s="1">
        <v>5</v>
      </c>
      <c r="CC31" s="1">
        <f t="shared" si="42"/>
        <v>1222</v>
      </c>
      <c r="CD31" s="15">
        <f t="shared" si="25"/>
        <v>325.30799999997839</v>
      </c>
      <c r="CE31" s="269">
        <f t="shared" ref="CE31:CE34" si="60">CC31-CD31</f>
        <v>896.69200000002161</v>
      </c>
      <c r="CF31" s="15">
        <f t="shared" si="26"/>
        <v>2878.7200000000003</v>
      </c>
      <c r="CG31" s="15">
        <f t="shared" si="27"/>
        <v>2512</v>
      </c>
      <c r="CH31" s="270">
        <f t="shared" si="28"/>
        <v>355.85998316248197</v>
      </c>
      <c r="CI31">
        <f>CG31*0.12</f>
        <v>301.44</v>
      </c>
      <c r="CJ31" s="52">
        <f t="shared" si="8"/>
        <v>17.3</v>
      </c>
      <c r="CK31" s="1">
        <v>29</v>
      </c>
      <c r="CL31" s="1">
        <f t="shared" si="49"/>
        <v>4.129999999999999</v>
      </c>
      <c r="CM31" s="1">
        <f t="shared" si="30"/>
        <v>8.02</v>
      </c>
      <c r="CN31" s="15">
        <f t="shared" si="31"/>
        <v>3.6999999999999993</v>
      </c>
      <c r="CO31" s="15">
        <f t="shared" si="32"/>
        <v>4.6400000000000006</v>
      </c>
      <c r="CP31" s="1">
        <f t="shared" si="33"/>
        <v>2</v>
      </c>
      <c r="CQ31" s="2">
        <v>29</v>
      </c>
      <c r="CR31" s="52">
        <f t="shared" si="34"/>
        <v>818</v>
      </c>
      <c r="CS31" s="15">
        <f>'Daily CEM-1'!H32+'Daily CEM-1'!I32+'Daily CEM-1'!J32+'Daily CEM-1'!K32+'Daily CEM-1'!L32</f>
        <v>20.3</v>
      </c>
      <c r="CT31" s="15">
        <f>AQ31+AT31+AW31+'Daily  CEM - 2'!K32+'Daily  CEM - 2'!L32</f>
        <v>19.36</v>
      </c>
      <c r="CU31" s="52">
        <f t="shared" si="35"/>
        <v>3.6999999999999993</v>
      </c>
      <c r="CW31" s="52">
        <f t="shared" si="36"/>
        <v>2471.79</v>
      </c>
      <c r="CX31" s="52">
        <v>29</v>
      </c>
    </row>
    <row r="32" spans="2:106">
      <c r="B32" s="4">
        <v>30</v>
      </c>
      <c r="C32" s="1">
        <v>21.07</v>
      </c>
      <c r="D32" s="169">
        <f>'Mines (2)'!D32+'Mines (2)'!I32+'Mines (2)'!W32+'Mines (2)'!AA32+'Mines (2)'!AE32</f>
        <v>2257.86</v>
      </c>
      <c r="E32" s="169">
        <f>'Mines (2)'!E32+'Mines (2)'!J32+'Mines (2)'!X32+'Mines (2)'!AB32+'Mines (2)'!AF32</f>
        <v>1628</v>
      </c>
      <c r="F32" s="34">
        <f t="shared" si="51"/>
        <v>107.15994304698624</v>
      </c>
      <c r="G32" s="1">
        <v>12</v>
      </c>
      <c r="H32" s="16">
        <f t="shared" si="38"/>
        <v>1044.140016837518</v>
      </c>
      <c r="I32" s="299">
        <f t="shared" si="9"/>
        <v>1290.9000168375183</v>
      </c>
      <c r="J32" s="1">
        <v>1605</v>
      </c>
      <c r="K32" s="36">
        <f t="shared" si="47"/>
        <v>1317.5</v>
      </c>
      <c r="L32" s="36">
        <f>Clinker!EK32*1.55</f>
        <v>1317.5</v>
      </c>
      <c r="M32" s="36">
        <v>0</v>
      </c>
      <c r="N32" s="1">
        <v>1476</v>
      </c>
      <c r="O32" s="34">
        <f t="shared" si="1"/>
        <v>123</v>
      </c>
      <c r="P32" s="1">
        <v>11</v>
      </c>
      <c r="Q32" s="1">
        <v>88.26</v>
      </c>
      <c r="R32" s="15">
        <f t="shared" si="10"/>
        <v>8.0236363636363635</v>
      </c>
      <c r="S32" s="1">
        <v>12</v>
      </c>
      <c r="T32" s="16">
        <f>W31</f>
        <v>42.109999999999786</v>
      </c>
      <c r="U32" s="1">
        <v>153</v>
      </c>
      <c r="V32" s="1">
        <v>144</v>
      </c>
      <c r="W32" s="18">
        <f t="shared" si="57"/>
        <v>51.109999999999786</v>
      </c>
      <c r="X32" s="34">
        <f t="shared" si="3"/>
        <v>12.75</v>
      </c>
      <c r="Y32" s="1">
        <v>14.6</v>
      </c>
      <c r="Z32" s="33">
        <f>Clinker!EK32</f>
        <v>850</v>
      </c>
      <c r="AA32" s="34">
        <f t="shared" si="52"/>
        <v>58.219178082191782</v>
      </c>
      <c r="AB32" s="37">
        <f>'Daily CEM-1'!H33</f>
        <v>22</v>
      </c>
      <c r="AC32" s="33">
        <f>'Daily CEM-1'!C33</f>
        <v>1450</v>
      </c>
      <c r="AD32" s="34">
        <f t="shared" si="53"/>
        <v>65.909090909090907</v>
      </c>
      <c r="AE32" s="37">
        <f>'Daily CEM-1'!I33</f>
        <v>0</v>
      </c>
      <c r="AF32" s="33">
        <f>'Daily CEM-1'!D33</f>
        <v>0</v>
      </c>
      <c r="AG32" s="34" t="e">
        <f t="shared" si="54"/>
        <v>#DIV/0!</v>
      </c>
      <c r="AH32" s="61">
        <f>'Daily CEM-1'!J33</f>
        <v>0</v>
      </c>
      <c r="AI32" s="61">
        <f>'Daily CEM-1'!E33</f>
        <v>0</v>
      </c>
      <c r="AJ32" s="61" t="e">
        <f t="shared" si="48"/>
        <v>#DIV/0!</v>
      </c>
      <c r="AK32" s="61">
        <f>'Daily CEM-1'!K32</f>
        <v>0</v>
      </c>
      <c r="AL32" s="61">
        <f>'Daily CEM-1'!F33</f>
        <v>0</v>
      </c>
      <c r="AM32" s="61" t="e">
        <f t="shared" si="13"/>
        <v>#DIV/0!</v>
      </c>
      <c r="AN32" s="60">
        <f>'Daily CEM-1'!L33</f>
        <v>0</v>
      </c>
      <c r="AO32" s="60">
        <f>'Daily CEM-1'!G33</f>
        <v>0</v>
      </c>
      <c r="AP32" s="60" t="e">
        <f t="shared" si="14"/>
        <v>#DIV/0!</v>
      </c>
      <c r="AQ32" s="37">
        <f>'Daily  CEM - 2'!H33</f>
        <v>9</v>
      </c>
      <c r="AR32" s="33">
        <f>'Daily  CEM - 2'!C33</f>
        <v>525</v>
      </c>
      <c r="AS32" s="34">
        <f t="shared" si="55"/>
        <v>58.333333333333336</v>
      </c>
      <c r="AT32" s="37">
        <f>'Daily  CEM - 2'!I33</f>
        <v>2</v>
      </c>
      <c r="AU32" s="33">
        <f>'Daily  CEM - 2'!D33</f>
        <v>120</v>
      </c>
      <c r="AV32" s="34">
        <f t="shared" si="56"/>
        <v>60</v>
      </c>
      <c r="AW32" s="61">
        <f>'Daily  CEM - 2'!J33</f>
        <v>0</v>
      </c>
      <c r="AX32" s="61">
        <f>'Daily  CEM - 2'!E33</f>
        <v>0</v>
      </c>
      <c r="AY32" s="197" t="e">
        <f t="shared" si="15"/>
        <v>#DIV/0!</v>
      </c>
      <c r="AZ32" s="61">
        <f>'Daily  CEM - 2'!K33</f>
        <v>1</v>
      </c>
      <c r="BA32" s="61">
        <f>'Daily  CEM - 2'!F33</f>
        <v>55</v>
      </c>
      <c r="BB32" s="61">
        <f t="shared" si="50"/>
        <v>55</v>
      </c>
      <c r="BC32" s="61">
        <f>'Daily  CEM - 2'!L33</f>
        <v>9.5</v>
      </c>
      <c r="BD32" s="61">
        <f>'Daily  CEM - 2'!G33</f>
        <v>610</v>
      </c>
      <c r="BE32" s="61">
        <f t="shared" si="17"/>
        <v>64.21052631578948</v>
      </c>
      <c r="BF32" s="16">
        <f t="shared" si="58"/>
        <v>142.77799999997751</v>
      </c>
      <c r="BG32" s="36">
        <f t="shared" si="19"/>
        <v>1975</v>
      </c>
      <c r="BH32" s="1">
        <v>2097.44</v>
      </c>
      <c r="BI32" s="18">
        <f>BF32+BG32-BH32-'Internal use cement'!F32</f>
        <v>20.337999999977455</v>
      </c>
      <c r="BJ32" s="16">
        <f t="shared" si="59"/>
        <v>48.049999999999933</v>
      </c>
      <c r="BK32" s="36">
        <f t="shared" si="21"/>
        <v>120</v>
      </c>
      <c r="BL32" s="1">
        <v>90</v>
      </c>
      <c r="BM32" s="18">
        <f>BJ32+BK32-BL32-'Internal use cement'!AB32</f>
        <v>78.049999999999926</v>
      </c>
      <c r="BN32" s="18">
        <f t="shared" si="39"/>
        <v>9.0000000000849845E-2</v>
      </c>
      <c r="BO32" s="63">
        <f t="shared" si="45"/>
        <v>0</v>
      </c>
      <c r="BP32" s="1">
        <v>0</v>
      </c>
      <c r="BQ32" s="66">
        <f>BN32+BO32-BP32-'Internal use cement'!Q32</f>
        <v>9.0000000000849845E-2</v>
      </c>
      <c r="BR32" s="18">
        <f t="shared" si="40"/>
        <v>57.350000000000023</v>
      </c>
      <c r="BS32" s="63">
        <f t="shared" si="23"/>
        <v>55</v>
      </c>
      <c r="BT32" s="1">
        <v>90</v>
      </c>
      <c r="BU32" s="66">
        <f>BR32+BS32-BT32-'Internal use cement'!AG32</f>
        <v>22.350000000000023</v>
      </c>
      <c r="BV32" s="66">
        <f t="shared" si="41"/>
        <v>77.040000000000049</v>
      </c>
      <c r="BW32" s="34">
        <f t="shared" si="24"/>
        <v>610</v>
      </c>
      <c r="BX32" s="1">
        <v>560.72</v>
      </c>
      <c r="BY32" s="66">
        <f>BV32+BW32-BX32-'Internal use cement'!AO32</f>
        <v>126.32000000000005</v>
      </c>
      <c r="BZ32" s="1">
        <v>707</v>
      </c>
      <c r="CA32" s="1">
        <v>271</v>
      </c>
      <c r="CB32" s="1">
        <v>58</v>
      </c>
      <c r="CC32" s="1">
        <f>SUM(BZ32:CB32)</f>
        <v>1036</v>
      </c>
      <c r="CD32" s="15">
        <f t="shared" si="25"/>
        <v>247.14799999997831</v>
      </c>
      <c r="CE32" s="269">
        <f t="shared" si="60"/>
        <v>788.85200000002169</v>
      </c>
      <c r="CF32" s="15">
        <f t="shared" si="26"/>
        <v>2838.16</v>
      </c>
      <c r="CG32" s="15">
        <f t="shared" si="27"/>
        <v>2760</v>
      </c>
      <c r="CH32" s="270">
        <f t="shared" si="28"/>
        <v>314.09998316248175</v>
      </c>
      <c r="CI32">
        <f>CG32*0.12</f>
        <v>331.2</v>
      </c>
      <c r="CK32" s="1">
        <v>30</v>
      </c>
      <c r="CL32" s="1">
        <f t="shared" si="49"/>
        <v>12</v>
      </c>
      <c r="CM32" s="1">
        <f t="shared" si="30"/>
        <v>12</v>
      </c>
      <c r="CN32" s="15">
        <f t="shared" si="31"/>
        <v>2</v>
      </c>
      <c r="CO32" s="15">
        <f t="shared" si="32"/>
        <v>2.5</v>
      </c>
      <c r="CP32" s="1">
        <f t="shared" si="33"/>
        <v>9.4</v>
      </c>
      <c r="CQ32" s="2">
        <v>30</v>
      </c>
      <c r="CR32" s="52">
        <f t="shared" si="34"/>
        <v>645</v>
      </c>
      <c r="CS32" s="15">
        <f>'Daily CEM-1'!H33+'Daily CEM-1'!I33+'Daily CEM-1'!J33+'Daily CEM-1'!K33+'Daily CEM-1'!L33</f>
        <v>22</v>
      </c>
      <c r="CT32" s="15">
        <f>AQ32+AT32+AW32+'Daily  CEM - 2'!K33+'Daily  CEM - 2'!L33</f>
        <v>21.5</v>
      </c>
      <c r="CU32" s="52">
        <f t="shared" si="35"/>
        <v>2</v>
      </c>
      <c r="CW32" s="52">
        <f t="shared" si="36"/>
        <v>1564.26</v>
      </c>
      <c r="CX32" s="52">
        <v>30</v>
      </c>
    </row>
    <row r="33" spans="2:102" s="160" customFormat="1">
      <c r="B33" s="155">
        <v>31</v>
      </c>
      <c r="C33" s="1">
        <v>0</v>
      </c>
      <c r="D33" s="169">
        <f>'Mines (2)'!D33+'Mines (2)'!I33+'Mines (2)'!W33+'Mines (2)'!AA33+'Mines (2)'!AE33</f>
        <v>0</v>
      </c>
      <c r="E33" s="169">
        <f>'Mines (2)'!E33+'Mines (2)'!J33+'Mines (2)'!X33+'Mines (2)'!AB33+'Mines (2)'!AF33</f>
        <v>0</v>
      </c>
      <c r="F33" s="163" t="e">
        <f t="shared" si="51"/>
        <v>#DIV/0!</v>
      </c>
      <c r="G33" s="1">
        <v>0</v>
      </c>
      <c r="H33" s="16">
        <f t="shared" si="38"/>
        <v>1290.9000168375183</v>
      </c>
      <c r="I33" s="299">
        <f t="shared" si="9"/>
        <v>1290.9000168375183</v>
      </c>
      <c r="J33" s="1">
        <v>0</v>
      </c>
      <c r="K33" s="166">
        <f t="shared" si="47"/>
        <v>0</v>
      </c>
      <c r="L33" s="36">
        <f>Clinker!EK33*1.55</f>
        <v>0</v>
      </c>
      <c r="M33" s="36">
        <v>0</v>
      </c>
      <c r="N33" s="1">
        <v>0</v>
      </c>
      <c r="O33" s="163" t="e">
        <f t="shared" si="1"/>
        <v>#DIV/0!</v>
      </c>
      <c r="P33" s="1">
        <v>0</v>
      </c>
      <c r="Q33" s="1">
        <v>0</v>
      </c>
      <c r="R33" s="15" t="e">
        <f t="shared" si="10"/>
        <v>#DIV/0!</v>
      </c>
      <c r="S33" s="1">
        <v>0</v>
      </c>
      <c r="T33" s="166">
        <f>W32</f>
        <v>51.109999999999786</v>
      </c>
      <c r="U33" s="1">
        <v>0</v>
      </c>
      <c r="V33" s="1">
        <v>0</v>
      </c>
      <c r="W33" s="157">
        <f t="shared" si="57"/>
        <v>51.109999999999786</v>
      </c>
      <c r="X33" s="163" t="e">
        <f t="shared" si="3"/>
        <v>#DIV/0!</v>
      </c>
      <c r="Y33" s="1">
        <v>0</v>
      </c>
      <c r="Z33" s="157">
        <f>Clinker!EK33</f>
        <v>0</v>
      </c>
      <c r="AA33" s="163" t="e">
        <f t="shared" si="52"/>
        <v>#DIV/0!</v>
      </c>
      <c r="AB33" s="37">
        <f>'Daily CEM-1'!H34</f>
        <v>0</v>
      </c>
      <c r="AC33" s="33">
        <f>'Daily CEM-1'!C34</f>
        <v>0</v>
      </c>
      <c r="AD33" s="163" t="e">
        <f t="shared" si="53"/>
        <v>#DIV/0!</v>
      </c>
      <c r="AE33" s="37">
        <f>'Daily CEM-1'!I34</f>
        <v>0</v>
      </c>
      <c r="AF33" s="33">
        <f>'Daily CEM-1'!D34</f>
        <v>0</v>
      </c>
      <c r="AG33" s="163" t="e">
        <f t="shared" si="54"/>
        <v>#DIV/0!</v>
      </c>
      <c r="AH33" s="61">
        <f>'Daily CEM-1'!J34</f>
        <v>0</v>
      </c>
      <c r="AI33" s="61">
        <f>'Daily CEM-1'!E34</f>
        <v>0</v>
      </c>
      <c r="AJ33" s="167" t="e">
        <f t="shared" si="48"/>
        <v>#DIV/0!</v>
      </c>
      <c r="AK33" s="167"/>
      <c r="AL33" s="61">
        <f>'Daily CEM-1'!F34</f>
        <v>0</v>
      </c>
      <c r="AM33" s="167"/>
      <c r="AN33" s="60">
        <f>'Daily CEM-1'!L34</f>
        <v>0</v>
      </c>
      <c r="AO33" s="60">
        <f>'Daily CEM-1'!G34</f>
        <v>0</v>
      </c>
      <c r="AP33" s="60" t="e">
        <f t="shared" si="14"/>
        <v>#DIV/0!</v>
      </c>
      <c r="AQ33" s="37">
        <f>'Daily  CEM - 2'!H34</f>
        <v>0</v>
      </c>
      <c r="AR33" s="33">
        <f>'Daily  CEM - 2'!C34</f>
        <v>0</v>
      </c>
      <c r="AS33" s="163" t="e">
        <f t="shared" si="55"/>
        <v>#DIV/0!</v>
      </c>
      <c r="AT33" s="37">
        <f>'Daily  CEM - 2'!I34</f>
        <v>0</v>
      </c>
      <c r="AU33" s="33">
        <f>'Daily  CEM - 2'!D34</f>
        <v>0</v>
      </c>
      <c r="AV33" s="163" t="e">
        <f t="shared" si="56"/>
        <v>#DIV/0!</v>
      </c>
      <c r="AW33" s="61">
        <f>'Daily  CEM - 2'!J34</f>
        <v>0</v>
      </c>
      <c r="AX33" s="61">
        <f>'Daily  CEM - 2'!E34</f>
        <v>0</v>
      </c>
      <c r="AY33" s="197" t="e">
        <f t="shared" si="15"/>
        <v>#DIV/0!</v>
      </c>
      <c r="AZ33" s="61">
        <f>'Daily  CEM - 2'!K34</f>
        <v>0</v>
      </c>
      <c r="BA33" s="61">
        <f>'Daily  CEM - 2'!F34</f>
        <v>0</v>
      </c>
      <c r="BB33" s="167" t="e">
        <f t="shared" si="50"/>
        <v>#DIV/0!</v>
      </c>
      <c r="BC33" s="61">
        <f>'Daily  CEM - 2'!L34</f>
        <v>0</v>
      </c>
      <c r="BD33" s="61">
        <f>'Daily  CEM - 2'!G34</f>
        <v>0</v>
      </c>
      <c r="BE33" s="167" t="e">
        <f t="shared" si="17"/>
        <v>#DIV/0!</v>
      </c>
      <c r="BF33" s="166">
        <f t="shared" si="58"/>
        <v>20.337999999977455</v>
      </c>
      <c r="BG33" s="36">
        <f t="shared" si="19"/>
        <v>0</v>
      </c>
      <c r="BH33" s="1">
        <v>0</v>
      </c>
      <c r="BI33" s="18">
        <f>BF33+BG33-BH33-'Internal use cement'!F33</f>
        <v>20.337999999977455</v>
      </c>
      <c r="BJ33" s="166">
        <f t="shared" si="59"/>
        <v>78.049999999999926</v>
      </c>
      <c r="BK33" s="36">
        <f t="shared" si="21"/>
        <v>0</v>
      </c>
      <c r="BL33" s="1">
        <v>0</v>
      </c>
      <c r="BM33" s="18">
        <f>BJ33+BK33-BL33-'Internal use cement'!AB33</f>
        <v>78.049999999999926</v>
      </c>
      <c r="BN33" s="157">
        <f t="shared" si="39"/>
        <v>9.0000000000849845E-2</v>
      </c>
      <c r="BO33" s="63">
        <f t="shared" si="45"/>
        <v>0</v>
      </c>
      <c r="BP33" s="1">
        <v>0</v>
      </c>
      <c r="BQ33" s="66">
        <f>BN33+BO33-BP33-'Internal use cement'!Q33</f>
        <v>9.0000000000849845E-2</v>
      </c>
      <c r="BR33" s="157">
        <f t="shared" si="40"/>
        <v>22.350000000000023</v>
      </c>
      <c r="BS33" s="63">
        <f t="shared" si="23"/>
        <v>0</v>
      </c>
      <c r="BT33" s="1">
        <v>0</v>
      </c>
      <c r="BU33" s="66">
        <f>BR33+BS33-BT33-'Internal use cement'!AG33</f>
        <v>22.350000000000023</v>
      </c>
      <c r="BV33" s="66">
        <f t="shared" si="41"/>
        <v>126.32000000000005</v>
      </c>
      <c r="BW33" s="34">
        <f t="shared" si="24"/>
        <v>0</v>
      </c>
      <c r="BX33" s="1">
        <v>0</v>
      </c>
      <c r="BY33" s="66">
        <f>BV33+BW33-BX33-'Internal use cement'!AO33</f>
        <v>126.32000000000005</v>
      </c>
      <c r="BZ33" s="1">
        <v>0</v>
      </c>
      <c r="CA33" s="1">
        <v>0</v>
      </c>
      <c r="CB33" s="1">
        <v>0</v>
      </c>
      <c r="CC33" s="1">
        <f>SUM(BZ33:CB33)</f>
        <v>0</v>
      </c>
      <c r="CD33" s="15">
        <f>BI33+BM33+BQ33+BU33+BY33</f>
        <v>247.14799999997831</v>
      </c>
      <c r="CE33" s="270">
        <f>CC33-CD33</f>
        <v>-247.14799999997831</v>
      </c>
      <c r="CF33" s="15">
        <f>BH33+BL33+BP33+BT33+BX33</f>
        <v>0</v>
      </c>
      <c r="CG33" s="15">
        <f t="shared" si="27"/>
        <v>0</v>
      </c>
      <c r="CH33" s="270">
        <f t="shared" si="28"/>
        <v>-1290.9000168375183</v>
      </c>
      <c r="CK33" s="265">
        <v>31</v>
      </c>
      <c r="CL33" s="265">
        <f t="shared" si="49"/>
        <v>24</v>
      </c>
      <c r="CM33" s="1">
        <f t="shared" si="30"/>
        <v>24</v>
      </c>
      <c r="CN33" s="266">
        <f t="shared" ref="CN33" si="61">24-CS33</f>
        <v>24</v>
      </c>
      <c r="CO33" s="15">
        <f t="shared" si="32"/>
        <v>24</v>
      </c>
      <c r="CP33">
        <f t="shared" si="33"/>
        <v>24</v>
      </c>
      <c r="CQ33" s="2">
        <v>31</v>
      </c>
      <c r="CR33" s="52">
        <f t="shared" si="34"/>
        <v>0</v>
      </c>
      <c r="CS33" s="15">
        <f>'Daily CEM-1'!H34+'Daily CEM-1'!I34+'Daily CEM-1'!J34+'Daily CEM-1'!K34+'Daily CEM-1'!L34</f>
        <v>0</v>
      </c>
      <c r="CT33" s="15">
        <f>AQ33+AT33+AW33+'Daily  CEM - 2'!K34+'Daily  CEM - 2'!L34</f>
        <v>0</v>
      </c>
      <c r="CU33" s="52">
        <f t="shared" si="35"/>
        <v>24</v>
      </c>
      <c r="CX33" s="52">
        <v>31</v>
      </c>
    </row>
    <row r="34" spans="2:102" ht="15.75" thickBot="1">
      <c r="B34" s="5" t="s">
        <v>27</v>
      </c>
      <c r="C34" s="8">
        <f>SUM(C3:C33)</f>
        <v>551.55000000000007</v>
      </c>
      <c r="D34" s="8">
        <f t="shared" ref="D34:CC34" si="62">SUM(D3:D33)</f>
        <v>85521.940000000017</v>
      </c>
      <c r="E34" s="8">
        <f t="shared" si="62"/>
        <v>67049</v>
      </c>
      <c r="F34" s="34">
        <f t="shared" si="51"/>
        <v>155.05745625963195</v>
      </c>
      <c r="G34" s="8">
        <f t="shared" si="62"/>
        <v>520.76</v>
      </c>
      <c r="H34" s="16"/>
      <c r="I34" s="16"/>
      <c r="J34" s="2"/>
      <c r="K34" s="8">
        <f>SUM(K3:K33)</f>
        <v>63236.900000000009</v>
      </c>
      <c r="L34" s="8">
        <f t="shared" si="62"/>
        <v>63236.900000000009</v>
      </c>
      <c r="M34" s="8">
        <f t="shared" si="62"/>
        <v>0</v>
      </c>
      <c r="N34" s="8">
        <f t="shared" si="62"/>
        <v>59888.959999999999</v>
      </c>
      <c r="O34" s="34">
        <f t="shared" si="1"/>
        <v>115.00299562178354</v>
      </c>
      <c r="P34" s="62">
        <f>SUM(P3:P33)</f>
        <v>382.97999999999996</v>
      </c>
      <c r="Q34" s="62">
        <f>SUM(Q3:Q33)</f>
        <v>3371.2000000000003</v>
      </c>
      <c r="R34" s="62"/>
      <c r="S34" s="8">
        <f t="shared" si="62"/>
        <v>474.84</v>
      </c>
      <c r="T34" s="8">
        <f t="shared" si="62"/>
        <v>1513.0099999999939</v>
      </c>
      <c r="U34" s="8">
        <f t="shared" si="62"/>
        <v>6386.0000000000009</v>
      </c>
      <c r="V34" s="255">
        <f t="shared" si="62"/>
        <v>6377</v>
      </c>
      <c r="W34" s="8">
        <f t="shared" si="62"/>
        <v>1522.0099999999939</v>
      </c>
      <c r="X34" s="34">
        <f t="shared" si="3"/>
        <v>13.448740628422208</v>
      </c>
      <c r="Y34" s="8">
        <f>SUM(Y3:Y33)</f>
        <v>661.91</v>
      </c>
      <c r="Z34" s="8">
        <f t="shared" si="62"/>
        <v>40798</v>
      </c>
      <c r="AA34" s="34">
        <f t="shared" si="52"/>
        <v>61.636778413983777</v>
      </c>
      <c r="AB34" s="8">
        <f t="shared" si="62"/>
        <v>560.63</v>
      </c>
      <c r="AC34" s="8">
        <f t="shared" si="62"/>
        <v>36737</v>
      </c>
      <c r="AD34" s="34">
        <f t="shared" si="53"/>
        <v>65.528066639316478</v>
      </c>
      <c r="AE34" s="8">
        <f t="shared" si="62"/>
        <v>28.2</v>
      </c>
      <c r="AF34" s="8">
        <f t="shared" si="62"/>
        <v>1932</v>
      </c>
      <c r="AG34" s="34">
        <f t="shared" si="54"/>
        <v>68.510638297872347</v>
      </c>
      <c r="AH34" s="62">
        <f>SUM(AH3:AH33)</f>
        <v>0</v>
      </c>
      <c r="AI34" s="62">
        <f>SUM(AI3:AI33)</f>
        <v>0</v>
      </c>
      <c r="AJ34" s="62" t="e">
        <f>AI34/AH34</f>
        <v>#DIV/0!</v>
      </c>
      <c r="AK34" s="62"/>
      <c r="AL34" s="62"/>
      <c r="AM34" s="62"/>
      <c r="AN34" s="62"/>
      <c r="AO34" s="62"/>
      <c r="AP34" s="62"/>
      <c r="AQ34" s="8">
        <f t="shared" ref="AQ34:AR34" si="63">SUM(AQ3:AQ33)</f>
        <v>472.1</v>
      </c>
      <c r="AR34" s="8">
        <f t="shared" si="63"/>
        <v>27650</v>
      </c>
      <c r="AS34" s="34">
        <f t="shared" si="55"/>
        <v>58.568099978818047</v>
      </c>
      <c r="AT34" s="8">
        <f t="shared" ref="AT34:AU34" si="64">SUM(AT3:AT33)</f>
        <v>26.5</v>
      </c>
      <c r="AU34" s="8">
        <f t="shared" si="64"/>
        <v>1618</v>
      </c>
      <c r="AV34" s="34">
        <f t="shared" si="56"/>
        <v>61.056603773584904</v>
      </c>
      <c r="AW34" s="62">
        <f>SUM(AW3:AW33)</f>
        <v>0</v>
      </c>
      <c r="AX34" s="62">
        <f>SUM(AX3:AX33)</f>
        <v>0</v>
      </c>
      <c r="AY34" s="62" t="e">
        <f>AX34/AW34</f>
        <v>#DIV/0!</v>
      </c>
      <c r="AZ34" s="62">
        <f>SUM(AZ3:AZ33)</f>
        <v>32.769999999999996</v>
      </c>
      <c r="BA34" s="62">
        <f>SUM(BA3:BA33)</f>
        <v>1851</v>
      </c>
      <c r="BB34" s="62">
        <f>BA34/AZ34</f>
        <v>56.484589563625271</v>
      </c>
      <c r="BC34" s="62">
        <f>SUM(BC3:BC33)</f>
        <v>55.7</v>
      </c>
      <c r="BD34" s="62">
        <f>SUM(BD3:BD33)</f>
        <v>3375</v>
      </c>
      <c r="BE34" s="62">
        <f>BD34/BC34</f>
        <v>60.592459605026924</v>
      </c>
      <c r="BF34" s="8"/>
      <c r="BG34" s="8">
        <f t="shared" si="62"/>
        <v>64387</v>
      </c>
      <c r="BH34" s="185">
        <f t="shared" si="62"/>
        <v>66183.39</v>
      </c>
      <c r="BI34" s="8"/>
      <c r="BJ34" s="8"/>
      <c r="BK34" s="8">
        <f t="shared" si="62"/>
        <v>3550</v>
      </c>
      <c r="BL34" s="185">
        <f t="shared" si="62"/>
        <v>4050</v>
      </c>
      <c r="BM34" s="8"/>
      <c r="BN34" s="8"/>
      <c r="BO34" s="8">
        <f>SUM(BO3:BO33)</f>
        <v>0</v>
      </c>
      <c r="BP34" s="185">
        <f>SUM(BP3:BP33)</f>
        <v>0</v>
      </c>
      <c r="BQ34" s="8"/>
      <c r="BR34" s="8"/>
      <c r="BS34" s="8">
        <f>SUM(BS3:BS33)</f>
        <v>2036</v>
      </c>
      <c r="BT34" s="41">
        <f>SUM(BT3:BT33)</f>
        <v>2141</v>
      </c>
      <c r="BU34" s="8"/>
      <c r="BV34" s="8"/>
      <c r="BW34" s="185">
        <f>SUM(BW3:BW33)</f>
        <v>7859</v>
      </c>
      <c r="BX34" s="185">
        <f>SUM(BX3:BX33)</f>
        <v>8899.9299999999985</v>
      </c>
      <c r="BY34" s="8"/>
      <c r="BZ34" s="8">
        <f>SUM(BZ3:BZ33)</f>
        <v>32220</v>
      </c>
      <c r="CA34" s="8">
        <f t="shared" si="62"/>
        <v>25957</v>
      </c>
      <c r="CB34" s="8"/>
      <c r="CC34" s="424">
        <f t="shared" si="62"/>
        <v>61465</v>
      </c>
      <c r="CD34">
        <f t="shared" ref="CD34" si="65">BI34+BM34</f>
        <v>0</v>
      </c>
      <c r="CE34" s="269">
        <f t="shared" si="60"/>
        <v>61465</v>
      </c>
      <c r="CF34" s="52">
        <f>SUM(CF3:CF33)</f>
        <v>81274.320000000007</v>
      </c>
      <c r="CG34" s="51">
        <f>SUM(CG3:CG33)</f>
        <v>77832</v>
      </c>
      <c r="CH34" s="268"/>
      <c r="CN34" s="52"/>
      <c r="CS34" s="15"/>
      <c r="CT34" s="15">
        <f t="shared" ref="CT34" si="66">AQ34+AT34+AW34</f>
        <v>498.6</v>
      </c>
    </row>
    <row r="35" spans="2:102" s="17" customFormat="1" ht="13.5" customHeight="1">
      <c r="B35" s="17" t="s">
        <v>28</v>
      </c>
      <c r="C35" s="17">
        <f>C36+SUM(C3:C33)</f>
        <v>1520.6800000000003</v>
      </c>
      <c r="D35" s="172">
        <f>D36+SUM(D3:D33)</f>
        <v>242389.22000000003</v>
      </c>
      <c r="E35" s="172">
        <f>E36+SUM(E3:E33)</f>
        <v>207080</v>
      </c>
      <c r="G35" s="17">
        <f>G36+SUM(G3:G33)</f>
        <v>1590.3</v>
      </c>
      <c r="K35" s="17">
        <f>K36+SUM(K3:K33)</f>
        <v>195802.2</v>
      </c>
      <c r="L35" s="17">
        <f>L36+SUM(L3:L33)</f>
        <v>195802.2</v>
      </c>
      <c r="N35" s="17">
        <f>N36+SUM(N3:N33)</f>
        <v>186174.55</v>
      </c>
      <c r="P35" s="17">
        <f t="shared" ref="P35:Q35" si="67">P36+SUM(P3:P33)</f>
        <v>998.64999999999986</v>
      </c>
      <c r="Q35" s="17">
        <f t="shared" si="67"/>
        <v>8924.82</v>
      </c>
      <c r="S35" s="17">
        <f>S36+SUM(S3:S33)</f>
        <v>1428.17</v>
      </c>
      <c r="U35" s="17">
        <f>U36+SUM(U3:U33)</f>
        <v>19631.599999999999</v>
      </c>
      <c r="V35" s="17">
        <f>V36+SUM(V3:V33)</f>
        <v>19596</v>
      </c>
      <c r="Y35" s="17">
        <f>Y36+SUM(Y3:Y33)</f>
        <v>1976.7199999999998</v>
      </c>
      <c r="Z35" s="17">
        <f>Z36+SUM(Z3:Z33)</f>
        <v>126324</v>
      </c>
      <c r="AB35" s="17">
        <f>AB36+SUM(AB3:AB33)</f>
        <v>1059.0999999999999</v>
      </c>
      <c r="AC35" s="17">
        <f>AC36+SUM(AC3:AC33)</f>
        <v>68067</v>
      </c>
      <c r="AE35" s="29">
        <f>AE36+SUM(AE3:AE33)</f>
        <v>67.900000000000006</v>
      </c>
      <c r="AF35" s="17">
        <f>AF36+SUM(AF3:AF33)</f>
        <v>4566</v>
      </c>
      <c r="AH35" s="29">
        <f>AH36+SUM(AH3:AH33)</f>
        <v>0</v>
      </c>
      <c r="AI35" s="29">
        <f>AI36+SUM(AI3:AI33)</f>
        <v>0</v>
      </c>
      <c r="AJ35" s="29"/>
      <c r="AK35" s="29">
        <f t="shared" ref="AK35:AO35" si="68">AK36+SUM(AK3:AK33)</f>
        <v>8</v>
      </c>
      <c r="AL35" s="29">
        <f t="shared" si="68"/>
        <v>485</v>
      </c>
      <c r="AM35" s="29"/>
      <c r="AN35" s="29">
        <f t="shared" si="68"/>
        <v>191.67</v>
      </c>
      <c r="AO35" s="29">
        <f t="shared" si="68"/>
        <v>12662</v>
      </c>
      <c r="AP35" s="29"/>
      <c r="AQ35" s="17">
        <f>AQ36+SUM(AQ3:AQ33)</f>
        <v>1322.5100000000002</v>
      </c>
      <c r="AR35" s="17">
        <f>AR36+SUM(AR3:AR33)</f>
        <v>77611</v>
      </c>
      <c r="AT35" s="29">
        <f>AT36+SUM(AT3:AT33)</f>
        <v>71.929999999999993</v>
      </c>
      <c r="AU35" s="17">
        <f>AU36+SUM(AU3:AU33)</f>
        <v>4368</v>
      </c>
      <c r="AW35" s="29">
        <f>AW36+SUM(AW3:AW33)</f>
        <v>0</v>
      </c>
      <c r="AX35" s="29">
        <f>AX36+SUM(AX3:AX33)</f>
        <v>0</v>
      </c>
      <c r="AZ35" s="29">
        <f>AZ36+SUM(AZ3:AZ33)</f>
        <v>80.650000000000006</v>
      </c>
      <c r="BA35" s="29">
        <f>BA36+SUM(BA3:BA33)</f>
        <v>4498</v>
      </c>
      <c r="BC35" s="29">
        <f>BC36+SUM(BC3:BC33)</f>
        <v>164.37</v>
      </c>
      <c r="BD35" s="29">
        <f>BD36+SUM(BD3:BD33)</f>
        <v>9990</v>
      </c>
      <c r="BG35" s="17">
        <f>BG36+SUM(BG3:BG33)</f>
        <v>145678</v>
      </c>
      <c r="BH35" s="17">
        <f>BH36+SUM(BH3:BH33)</f>
        <v>146926.21999999997</v>
      </c>
      <c r="BK35" s="17">
        <f t="shared" ref="BK35:BL35" si="69">BK36+SUM(BK3:BK33)</f>
        <v>8934</v>
      </c>
      <c r="BL35" s="17">
        <f t="shared" si="69"/>
        <v>9088</v>
      </c>
      <c r="BO35" s="17">
        <f>BO36+SUM(BO3:BO33)</f>
        <v>0</v>
      </c>
      <c r="BP35" s="17">
        <f>BP36+SUM(BP3:BP33)</f>
        <v>-0.15</v>
      </c>
      <c r="BS35" s="29">
        <f>BS36+SUM(BS3:BS33)</f>
        <v>4983</v>
      </c>
      <c r="BT35" s="17">
        <f>BT36+SUM(BT3:BT33)</f>
        <v>5173.5</v>
      </c>
      <c r="BW35" s="17">
        <f t="shared" ref="BW35:BX35" si="70">BW36+SUM(BW3:BW33)</f>
        <v>22652</v>
      </c>
      <c r="BX35" s="17">
        <f t="shared" si="70"/>
        <v>22895.239999999998</v>
      </c>
      <c r="CE35" s="268"/>
    </row>
    <row r="36" spans="2:102" ht="13.5" customHeight="1">
      <c r="B36" t="s">
        <v>28</v>
      </c>
      <c r="C36">
        <v>969.13000000000011</v>
      </c>
      <c r="D36" s="175">
        <v>156867.28</v>
      </c>
      <c r="E36" s="175">
        <v>140031</v>
      </c>
      <c r="G36">
        <v>1069.54</v>
      </c>
      <c r="K36">
        <v>132565.29999999999</v>
      </c>
      <c r="L36">
        <v>132565.29999999999</v>
      </c>
      <c r="N36">
        <v>126285.59</v>
      </c>
      <c r="P36">
        <v>615.66999999999996</v>
      </c>
      <c r="Q36" s="416">
        <v>5553.62</v>
      </c>
      <c r="S36">
        <v>953.33</v>
      </c>
      <c r="U36">
        <v>13245.599999999999</v>
      </c>
      <c r="V36">
        <v>13219</v>
      </c>
      <c r="Y36">
        <v>1314.81</v>
      </c>
      <c r="Z36">
        <v>85526</v>
      </c>
      <c r="AB36">
        <v>498.46999999999991</v>
      </c>
      <c r="AC36">
        <v>31330</v>
      </c>
      <c r="AE36" s="52">
        <v>39.700000000000003</v>
      </c>
      <c r="AF36">
        <v>2634</v>
      </c>
      <c r="AH36" s="52">
        <v>0</v>
      </c>
      <c r="AI36" s="52">
        <v>0</v>
      </c>
      <c r="AK36">
        <v>5</v>
      </c>
      <c r="AL36">
        <v>300</v>
      </c>
      <c r="AN36">
        <v>126.16999999999999</v>
      </c>
      <c r="AO36">
        <v>8178</v>
      </c>
      <c r="AQ36">
        <v>850.41000000000008</v>
      </c>
      <c r="AR36">
        <v>49961</v>
      </c>
      <c r="AT36" s="52">
        <v>45.429999999999993</v>
      </c>
      <c r="AU36">
        <v>2750</v>
      </c>
      <c r="AW36" s="52">
        <v>0</v>
      </c>
      <c r="AX36" s="52">
        <v>0</v>
      </c>
      <c r="AZ36" s="52">
        <v>47.88</v>
      </c>
      <c r="BA36" s="52">
        <v>2647</v>
      </c>
      <c r="BC36" s="52">
        <v>108.67</v>
      </c>
      <c r="BD36" s="52">
        <v>6615</v>
      </c>
      <c r="BG36">
        <v>81291</v>
      </c>
      <c r="BH36">
        <v>80742.829999999987</v>
      </c>
      <c r="BK36" s="2">
        <v>5384</v>
      </c>
      <c r="BL36">
        <v>5038</v>
      </c>
      <c r="BO36">
        <v>0</v>
      </c>
      <c r="BP36">
        <v>-0.15</v>
      </c>
      <c r="BS36">
        <v>2947</v>
      </c>
      <c r="BT36">
        <v>3032.5</v>
      </c>
      <c r="BW36">
        <v>14793</v>
      </c>
      <c r="BX36" s="52">
        <v>13995.31</v>
      </c>
    </row>
    <row r="38" spans="2:102">
      <c r="U38">
        <f>U34/S34</f>
        <v>13.448740628422208</v>
      </c>
    </row>
    <row r="39" spans="2:102">
      <c r="Z39">
        <f>(Z34/Y34)*24</f>
        <v>1479.2826819356105</v>
      </c>
    </row>
    <row r="54" spans="7:7">
      <c r="G54" t="s">
        <v>137</v>
      </c>
    </row>
  </sheetData>
  <mergeCells count="20">
    <mergeCell ref="C1:F1"/>
    <mergeCell ref="G1:O1"/>
    <mergeCell ref="S1:X1"/>
    <mergeCell ref="Y1:AA1"/>
    <mergeCell ref="AB1:AD1"/>
    <mergeCell ref="P1:R1"/>
    <mergeCell ref="AE1:AG1"/>
    <mergeCell ref="AH1:AJ1"/>
    <mergeCell ref="AQ1:AS1"/>
    <mergeCell ref="AT1:AV1"/>
    <mergeCell ref="AW1:AY1"/>
    <mergeCell ref="AK1:AM1"/>
    <mergeCell ref="BV1:BY1"/>
    <mergeCell ref="AN1:AP1"/>
    <mergeCell ref="BR1:BU1"/>
    <mergeCell ref="BN1:BQ1"/>
    <mergeCell ref="BF1:BI1"/>
    <mergeCell ref="BJ1:BM1"/>
    <mergeCell ref="AZ1:BB1"/>
    <mergeCell ref="BC1:BE1"/>
  </mergeCells>
  <pageMargins left="0" right="0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Z36"/>
  <sheetViews>
    <sheetView zoomScale="60" zoomScaleNormal="60" workbookViewId="0">
      <pane xSplit="2" ySplit="2" topLeftCell="C3" activePane="bottomRight" state="frozen"/>
      <selection pane="bottomRight" activeCell="J29" sqref="J29"/>
      <selection pane="bottomLeft" activeCell="A3" sqref="A3"/>
      <selection pane="topRight" activeCell="C1" sqref="C1"/>
    </sheetView>
  </sheetViews>
  <sheetFormatPr defaultRowHeight="15"/>
  <cols>
    <col min="1" max="1" width="5.5703125" customWidth="1"/>
    <col min="2" max="2" width="8.140625" customWidth="1"/>
    <col min="3" max="3" width="9.140625" bestFit="1" customWidth="1"/>
    <col min="4" max="4" width="24.42578125" bestFit="1" customWidth="1"/>
    <col min="5" max="25" width="20.5703125" customWidth="1"/>
  </cols>
  <sheetData>
    <row r="1" spans="2:25" ht="15.75" thickBot="1">
      <c r="B1" s="3" t="s">
        <v>29</v>
      </c>
      <c r="C1" s="3"/>
      <c r="D1" s="618" t="s">
        <v>62</v>
      </c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</row>
    <row r="2" spans="2:25">
      <c r="B2" s="4" t="s">
        <v>10</v>
      </c>
      <c r="C2" s="4" t="s">
        <v>138</v>
      </c>
      <c r="D2" s="22" t="s">
        <v>139</v>
      </c>
      <c r="E2" s="22" t="s">
        <v>140</v>
      </c>
      <c r="F2" s="22" t="s">
        <v>141</v>
      </c>
      <c r="G2" s="188" t="s">
        <v>142</v>
      </c>
      <c r="H2" s="22" t="s">
        <v>143</v>
      </c>
      <c r="I2" s="22" t="s">
        <v>144</v>
      </c>
      <c r="J2" s="22" t="s">
        <v>145</v>
      </c>
      <c r="K2" s="22" t="s">
        <v>40</v>
      </c>
      <c r="L2" s="22" t="s">
        <v>146</v>
      </c>
      <c r="M2" s="22" t="s">
        <v>147</v>
      </c>
      <c r="N2" s="22" t="s">
        <v>148</v>
      </c>
      <c r="O2" s="22" t="s">
        <v>149</v>
      </c>
      <c r="P2" s="22" t="s">
        <v>46</v>
      </c>
      <c r="Q2" s="22" t="s">
        <v>47</v>
      </c>
      <c r="R2" s="188" t="s">
        <v>48</v>
      </c>
      <c r="S2" s="22" t="s">
        <v>49</v>
      </c>
      <c r="T2" s="22" t="s">
        <v>150</v>
      </c>
      <c r="U2" s="22" t="s">
        <v>151</v>
      </c>
      <c r="V2" s="22" t="s">
        <v>152</v>
      </c>
      <c r="W2" s="188" t="s">
        <v>53</v>
      </c>
      <c r="X2" s="22" t="s">
        <v>54</v>
      </c>
      <c r="Y2" s="22" t="s">
        <v>55</v>
      </c>
    </row>
    <row r="3" spans="2:25">
      <c r="B3" s="4">
        <v>1</v>
      </c>
      <c r="C3" s="4">
        <v>0</v>
      </c>
      <c r="D3" s="4">
        <v>0</v>
      </c>
      <c r="E3" s="4">
        <v>0</v>
      </c>
      <c r="F3" s="4">
        <v>0</v>
      </c>
      <c r="G3" s="1">
        <v>156</v>
      </c>
      <c r="H3" s="1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2:25">
      <c r="B4" s="4">
        <v>2</v>
      </c>
      <c r="C4" s="4">
        <v>0</v>
      </c>
      <c r="D4" s="4">
        <v>0</v>
      </c>
      <c r="E4" s="4">
        <v>0</v>
      </c>
      <c r="F4" s="4">
        <v>0</v>
      </c>
      <c r="G4" s="1">
        <v>130</v>
      </c>
      <c r="H4" s="1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2:25">
      <c r="B5" s="4">
        <v>3</v>
      </c>
      <c r="C5" s="4">
        <v>0</v>
      </c>
      <c r="D5" s="4">
        <v>0</v>
      </c>
      <c r="E5" s="4">
        <v>0</v>
      </c>
      <c r="F5" s="4">
        <v>0</v>
      </c>
      <c r="G5" s="1">
        <v>138</v>
      </c>
      <c r="H5" s="1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2:25">
      <c r="B6" s="4">
        <v>4</v>
      </c>
      <c r="C6" s="4">
        <v>0</v>
      </c>
      <c r="D6" s="4">
        <v>0</v>
      </c>
      <c r="E6" s="4">
        <v>0</v>
      </c>
      <c r="F6" s="4">
        <v>0</v>
      </c>
      <c r="G6" s="1">
        <v>158</v>
      </c>
      <c r="H6" s="1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2:25">
      <c r="B7" s="4">
        <v>5</v>
      </c>
      <c r="C7" s="4">
        <v>0</v>
      </c>
      <c r="D7" s="4">
        <v>0</v>
      </c>
      <c r="E7" s="4">
        <v>0</v>
      </c>
      <c r="F7" s="4">
        <v>0</v>
      </c>
      <c r="G7" s="1">
        <v>140</v>
      </c>
      <c r="H7" s="1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2:25">
      <c r="B8" s="4">
        <v>6</v>
      </c>
      <c r="C8" s="4">
        <v>0</v>
      </c>
      <c r="D8" s="4">
        <v>0</v>
      </c>
      <c r="E8" s="4">
        <v>0</v>
      </c>
      <c r="F8" s="4">
        <v>0</v>
      </c>
      <c r="G8" s="1">
        <v>140</v>
      </c>
      <c r="H8" s="1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2:25">
      <c r="B9" s="4">
        <v>7</v>
      </c>
      <c r="C9" s="4">
        <v>0</v>
      </c>
      <c r="D9" s="4">
        <v>0</v>
      </c>
      <c r="E9" s="4">
        <v>0</v>
      </c>
      <c r="F9" s="4">
        <v>0</v>
      </c>
      <c r="G9" s="1">
        <v>138</v>
      </c>
      <c r="H9" s="1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25">
      <c r="B10" s="4">
        <v>8</v>
      </c>
      <c r="C10" s="4">
        <v>0</v>
      </c>
      <c r="D10" s="4">
        <v>0</v>
      </c>
      <c r="E10" s="4">
        <v>0</v>
      </c>
      <c r="F10" s="4">
        <v>0</v>
      </c>
      <c r="G10" s="1">
        <v>137</v>
      </c>
      <c r="H10" s="1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2:25">
      <c r="B11" s="4">
        <v>9</v>
      </c>
      <c r="C11" s="4">
        <v>0</v>
      </c>
      <c r="D11" s="4">
        <v>0</v>
      </c>
      <c r="E11" s="4">
        <v>0</v>
      </c>
      <c r="F11" s="4">
        <v>0</v>
      </c>
      <c r="G11" s="1">
        <v>130</v>
      </c>
      <c r="H11" s="1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2:25" ht="13.5" customHeight="1"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1">
        <v>131</v>
      </c>
      <c r="H12" s="1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2:25">
      <c r="B13" s="4">
        <v>11</v>
      </c>
      <c r="C13" s="4">
        <v>0</v>
      </c>
      <c r="D13" s="4">
        <v>0</v>
      </c>
      <c r="E13" s="4">
        <v>0</v>
      </c>
      <c r="F13" s="4">
        <v>0</v>
      </c>
      <c r="G13" s="1">
        <v>137</v>
      </c>
      <c r="H13" s="1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>
      <c r="B14" s="4">
        <v>12</v>
      </c>
      <c r="C14" s="4">
        <v>0</v>
      </c>
      <c r="D14" s="4">
        <v>0</v>
      </c>
      <c r="E14" s="4">
        <v>0</v>
      </c>
      <c r="F14" s="4">
        <v>0</v>
      </c>
      <c r="G14" s="1">
        <v>137</v>
      </c>
      <c r="H14" s="1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25">
      <c r="B15" s="4">
        <v>13</v>
      </c>
      <c r="C15" s="4">
        <v>0</v>
      </c>
      <c r="D15" s="4">
        <v>0</v>
      </c>
      <c r="E15" s="4">
        <v>0</v>
      </c>
      <c r="F15" s="4">
        <v>0</v>
      </c>
      <c r="G15" s="1">
        <v>126</v>
      </c>
      <c r="H15" s="1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2:25">
      <c r="B16" s="4">
        <v>14</v>
      </c>
      <c r="C16" s="4">
        <v>0</v>
      </c>
      <c r="D16" s="4">
        <v>0</v>
      </c>
      <c r="E16" s="4">
        <v>0</v>
      </c>
      <c r="F16" s="4">
        <v>0</v>
      </c>
      <c r="G16" s="1">
        <v>130</v>
      </c>
      <c r="H16" s="1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2:25">
      <c r="B17" s="4">
        <v>15</v>
      </c>
      <c r="C17" s="4">
        <v>0</v>
      </c>
      <c r="D17" s="4">
        <v>0</v>
      </c>
      <c r="E17" s="4">
        <v>0</v>
      </c>
      <c r="F17" s="4">
        <v>0</v>
      </c>
      <c r="G17" s="1">
        <v>147</v>
      </c>
      <c r="H17" s="1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2:25">
      <c r="B18" s="4">
        <v>16</v>
      </c>
      <c r="C18" s="4">
        <v>0</v>
      </c>
      <c r="D18" s="4">
        <v>0</v>
      </c>
      <c r="E18" s="4">
        <v>0</v>
      </c>
      <c r="F18" s="4">
        <v>0</v>
      </c>
      <c r="G18" s="1">
        <v>172</v>
      </c>
      <c r="H18" s="1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2:25">
      <c r="B19" s="4">
        <v>17</v>
      </c>
      <c r="C19" s="4">
        <v>0</v>
      </c>
      <c r="D19" s="4">
        <v>0</v>
      </c>
      <c r="E19" s="4">
        <v>0</v>
      </c>
      <c r="F19" s="4">
        <v>0</v>
      </c>
      <c r="G19" s="1">
        <v>155</v>
      </c>
      <c r="H19" s="1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</row>
    <row r="20" spans="2:25">
      <c r="B20" s="4">
        <v>18</v>
      </c>
      <c r="C20" s="4">
        <v>0</v>
      </c>
      <c r="D20" s="4">
        <v>0</v>
      </c>
      <c r="E20" s="4">
        <v>0</v>
      </c>
      <c r="F20" s="4">
        <v>0</v>
      </c>
      <c r="G20" s="1">
        <v>164</v>
      </c>
      <c r="H20" s="1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2:25">
      <c r="B21" s="4">
        <v>19</v>
      </c>
      <c r="C21" s="4">
        <v>0</v>
      </c>
      <c r="D21" s="4">
        <v>0</v>
      </c>
      <c r="E21" s="4">
        <v>0</v>
      </c>
      <c r="F21" s="4">
        <v>0</v>
      </c>
      <c r="G21" s="1">
        <v>172</v>
      </c>
      <c r="H21" s="1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2:25">
      <c r="B22" s="4">
        <v>20</v>
      </c>
      <c r="C22" s="4">
        <v>0</v>
      </c>
      <c r="D22" s="4">
        <v>0</v>
      </c>
      <c r="E22" s="4">
        <v>0</v>
      </c>
      <c r="F22" s="4">
        <v>0</v>
      </c>
      <c r="G22" s="1">
        <v>171</v>
      </c>
      <c r="H22" s="1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2:25">
      <c r="B23" s="4">
        <v>21</v>
      </c>
      <c r="C23" s="4">
        <v>0</v>
      </c>
      <c r="D23" s="4">
        <v>0</v>
      </c>
      <c r="E23" s="4">
        <v>0</v>
      </c>
      <c r="F23" s="4">
        <v>0</v>
      </c>
      <c r="G23" s="1">
        <v>144</v>
      </c>
      <c r="H23" s="1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2:25">
      <c r="B24" s="4">
        <v>22</v>
      </c>
      <c r="C24" s="4">
        <v>0</v>
      </c>
      <c r="D24" s="4">
        <v>0</v>
      </c>
      <c r="E24" s="4">
        <v>0</v>
      </c>
      <c r="F24" s="4">
        <v>0</v>
      </c>
      <c r="G24" s="1">
        <v>161</v>
      </c>
      <c r="H24" s="1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2:25">
      <c r="B25" s="4">
        <v>23</v>
      </c>
      <c r="C25" s="4">
        <v>0</v>
      </c>
      <c r="D25" s="4">
        <v>0</v>
      </c>
      <c r="E25" s="4">
        <v>0</v>
      </c>
      <c r="F25" s="4">
        <v>0</v>
      </c>
      <c r="G25" s="1">
        <v>94</v>
      </c>
      <c r="H25" s="1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2:25">
      <c r="B26" s="4">
        <v>24</v>
      </c>
      <c r="C26" s="4">
        <v>0</v>
      </c>
      <c r="D26" s="4">
        <v>0</v>
      </c>
      <c r="E26" s="4">
        <v>0</v>
      </c>
      <c r="F26" s="4">
        <v>0</v>
      </c>
      <c r="G26" s="1">
        <v>122</v>
      </c>
      <c r="H26" s="1">
        <v>0</v>
      </c>
      <c r="I26" s="4">
        <v>0</v>
      </c>
      <c r="J26" s="4">
        <v>0</v>
      </c>
      <c r="K26" s="4">
        <v>10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2:25">
      <c r="B27" s="4">
        <v>25</v>
      </c>
      <c r="C27" s="4">
        <v>0</v>
      </c>
      <c r="D27" s="4">
        <v>0</v>
      </c>
      <c r="E27" s="4">
        <v>0</v>
      </c>
      <c r="F27" s="4">
        <v>0</v>
      </c>
      <c r="G27" s="1">
        <v>148</v>
      </c>
      <c r="H27" s="1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2:25">
      <c r="B28" s="4">
        <v>26</v>
      </c>
      <c r="C28" s="4">
        <v>0</v>
      </c>
      <c r="D28" s="4">
        <v>0</v>
      </c>
      <c r="E28" s="4">
        <v>0</v>
      </c>
      <c r="F28" s="4">
        <v>0</v>
      </c>
      <c r="G28" s="1">
        <v>140</v>
      </c>
      <c r="H28" s="1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2:25">
      <c r="B29" s="4">
        <v>27</v>
      </c>
      <c r="C29" s="4">
        <v>0</v>
      </c>
      <c r="D29" s="4">
        <v>0</v>
      </c>
      <c r="E29" s="4">
        <v>0</v>
      </c>
      <c r="F29" s="4">
        <v>0</v>
      </c>
      <c r="G29" s="1">
        <v>143</v>
      </c>
      <c r="H29" s="1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2:25">
      <c r="B30" s="4">
        <v>28</v>
      </c>
      <c r="C30" s="4">
        <v>0</v>
      </c>
      <c r="D30" s="4">
        <v>0</v>
      </c>
      <c r="E30" s="4">
        <v>0</v>
      </c>
      <c r="F30" s="4">
        <v>0</v>
      </c>
      <c r="G30" s="1">
        <v>145</v>
      </c>
      <c r="H30" s="1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2:25">
      <c r="B31" s="4">
        <v>29</v>
      </c>
      <c r="C31" s="4">
        <v>0</v>
      </c>
      <c r="D31" s="4">
        <v>0</v>
      </c>
      <c r="E31" s="4">
        <v>0</v>
      </c>
      <c r="F31" s="4">
        <v>0</v>
      </c>
      <c r="G31" s="1">
        <v>150</v>
      </c>
      <c r="H31" s="1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2:25">
      <c r="B32" s="4">
        <v>30</v>
      </c>
      <c r="C32" s="4">
        <v>0</v>
      </c>
      <c r="D32" s="4">
        <v>0</v>
      </c>
      <c r="E32" s="4">
        <v>0</v>
      </c>
      <c r="F32" s="4">
        <v>0</v>
      </c>
      <c r="G32" s="1">
        <v>122</v>
      </c>
      <c r="H32" s="1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2:26">
      <c r="B33" s="4">
        <v>31</v>
      </c>
      <c r="C33" s="4">
        <v>0</v>
      </c>
      <c r="D33" s="4">
        <v>0</v>
      </c>
      <c r="E33" s="4">
        <v>0</v>
      </c>
      <c r="F33" s="4">
        <v>0</v>
      </c>
      <c r="G33" s="1">
        <v>0</v>
      </c>
      <c r="H33" s="1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2:26" ht="15.75" thickBot="1">
      <c r="B34" s="21" t="s">
        <v>27</v>
      </c>
      <c r="C34" s="21">
        <f>SUM(C3:C33)</f>
        <v>0</v>
      </c>
      <c r="D34" s="21">
        <f t="shared" ref="D34:Y34" si="0">SUM(D3:D33)</f>
        <v>0</v>
      </c>
      <c r="E34" s="21">
        <f t="shared" si="0"/>
        <v>0</v>
      </c>
      <c r="F34" s="21">
        <f t="shared" si="0"/>
        <v>0</v>
      </c>
      <c r="G34" s="21">
        <f t="shared" si="0"/>
        <v>4278</v>
      </c>
      <c r="H34" s="21">
        <f t="shared" si="0"/>
        <v>0</v>
      </c>
      <c r="I34" s="21">
        <f t="shared" si="0"/>
        <v>0</v>
      </c>
      <c r="J34" s="21">
        <f t="shared" si="0"/>
        <v>0</v>
      </c>
      <c r="K34" s="21">
        <f t="shared" si="0"/>
        <v>10</v>
      </c>
      <c r="L34" s="21">
        <f t="shared" si="0"/>
        <v>0</v>
      </c>
      <c r="M34" s="21">
        <f t="shared" si="0"/>
        <v>0</v>
      </c>
      <c r="N34" s="21">
        <f t="shared" si="0"/>
        <v>0</v>
      </c>
      <c r="O34" s="21">
        <f t="shared" si="0"/>
        <v>0</v>
      </c>
      <c r="P34" s="21">
        <f t="shared" si="0"/>
        <v>0</v>
      </c>
      <c r="Q34" s="21">
        <f t="shared" si="0"/>
        <v>0</v>
      </c>
      <c r="R34" s="21">
        <f t="shared" si="0"/>
        <v>0</v>
      </c>
      <c r="S34" s="21">
        <f t="shared" si="0"/>
        <v>0</v>
      </c>
      <c r="T34" s="21">
        <f t="shared" si="0"/>
        <v>0</v>
      </c>
      <c r="U34" s="21">
        <f t="shared" si="0"/>
        <v>0</v>
      </c>
      <c r="V34" s="21">
        <f t="shared" si="0"/>
        <v>0</v>
      </c>
      <c r="W34" s="21">
        <f t="shared" si="0"/>
        <v>0</v>
      </c>
      <c r="X34" s="21">
        <f t="shared" si="0"/>
        <v>0</v>
      </c>
      <c r="Y34" s="21">
        <f t="shared" si="0"/>
        <v>0</v>
      </c>
    </row>
    <row r="35" spans="2:26">
      <c r="B35" t="s">
        <v>28</v>
      </c>
      <c r="D35" s="17">
        <f>D36+SUM(D3:D33)</f>
        <v>0</v>
      </c>
      <c r="E35" s="17">
        <f t="shared" ref="E35:Z35" si="1">E36+SUM(E3:E33)</f>
        <v>0</v>
      </c>
      <c r="F35" s="17">
        <f t="shared" si="1"/>
        <v>0</v>
      </c>
      <c r="G35" s="17">
        <f t="shared" si="1"/>
        <v>11103</v>
      </c>
      <c r="H35" s="17">
        <f t="shared" si="1"/>
        <v>1327</v>
      </c>
      <c r="I35" s="17">
        <f t="shared" si="1"/>
        <v>0</v>
      </c>
      <c r="J35" s="17">
        <f t="shared" si="1"/>
        <v>0</v>
      </c>
      <c r="K35" s="17">
        <f t="shared" si="1"/>
        <v>10</v>
      </c>
      <c r="L35" s="17">
        <f t="shared" si="1"/>
        <v>0</v>
      </c>
      <c r="M35" s="17">
        <f t="shared" si="1"/>
        <v>0</v>
      </c>
      <c r="N35" s="17">
        <f t="shared" si="1"/>
        <v>0</v>
      </c>
      <c r="O35" s="17">
        <f t="shared" si="1"/>
        <v>0</v>
      </c>
      <c r="P35" s="17">
        <f t="shared" si="1"/>
        <v>0</v>
      </c>
      <c r="Q35" s="17">
        <f t="shared" si="1"/>
        <v>0</v>
      </c>
      <c r="R35" s="17">
        <f t="shared" si="1"/>
        <v>0</v>
      </c>
      <c r="S35" s="17">
        <f t="shared" si="1"/>
        <v>0</v>
      </c>
      <c r="T35" s="17">
        <f t="shared" si="1"/>
        <v>0</v>
      </c>
      <c r="U35" s="17">
        <f t="shared" si="1"/>
        <v>0</v>
      </c>
      <c r="V35" s="17">
        <f t="shared" si="1"/>
        <v>0</v>
      </c>
      <c r="W35" s="17">
        <f t="shared" si="1"/>
        <v>0</v>
      </c>
      <c r="X35" s="17">
        <f t="shared" si="1"/>
        <v>20</v>
      </c>
      <c r="Y35" s="17">
        <f t="shared" si="1"/>
        <v>0</v>
      </c>
      <c r="Z35" s="17">
        <f t="shared" si="1"/>
        <v>0</v>
      </c>
    </row>
    <row r="36" spans="2:26">
      <c r="B36" t="s">
        <v>28</v>
      </c>
      <c r="D36">
        <v>0</v>
      </c>
      <c r="E36">
        <v>0</v>
      </c>
      <c r="F36">
        <v>0</v>
      </c>
      <c r="G36">
        <v>6825</v>
      </c>
      <c r="H36">
        <v>1327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20</v>
      </c>
      <c r="Y36">
        <v>0</v>
      </c>
      <c r="Z36">
        <v>0</v>
      </c>
    </row>
  </sheetData>
  <mergeCells count="1">
    <mergeCell ref="D1:Y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T55"/>
  <sheetViews>
    <sheetView zoomScale="80" zoomScaleNormal="80" workbookViewId="0">
      <pane ySplit="2" topLeftCell="A28" activePane="bottomLeft" state="frozen"/>
      <selection pane="bottomLeft" activeCell="G42" sqref="G42"/>
    </sheetView>
  </sheetViews>
  <sheetFormatPr defaultRowHeight="15"/>
  <cols>
    <col min="2" max="2" width="12.5703125" bestFit="1" customWidth="1"/>
    <col min="3" max="3" width="12.28515625" bestFit="1" customWidth="1"/>
    <col min="4" max="4" width="12.28515625" customWidth="1"/>
    <col min="5" max="5" width="14" bestFit="1" customWidth="1"/>
    <col min="6" max="6" width="13.28515625" bestFit="1" customWidth="1"/>
    <col min="7" max="7" width="17" bestFit="1" customWidth="1"/>
    <col min="8" max="8" width="10.140625" bestFit="1" customWidth="1"/>
    <col min="9" max="9" width="9" bestFit="1" customWidth="1"/>
    <col min="10" max="10" width="43.140625" bestFit="1" customWidth="1"/>
    <col min="11" max="11" width="10.5703125" bestFit="1" customWidth="1"/>
    <col min="18" max="18" width="9.42578125" customWidth="1"/>
    <col min="19" max="19" width="8.85546875" customWidth="1"/>
    <col min="20" max="21" width="8.5703125" customWidth="1"/>
    <col min="23" max="23" width="8.140625" customWidth="1"/>
    <col min="30" max="30" width="10.5703125" bestFit="1" customWidth="1"/>
  </cols>
  <sheetData>
    <row r="1" spans="1:34">
      <c r="A1" t="s">
        <v>29</v>
      </c>
    </row>
    <row r="2" spans="1:34" ht="45">
      <c r="A2" t="s">
        <v>10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M2" s="289" t="s">
        <v>163</v>
      </c>
      <c r="N2" s="291" t="s">
        <v>164</v>
      </c>
      <c r="O2" s="291" t="s">
        <v>165</v>
      </c>
      <c r="P2" s="290" t="s">
        <v>166</v>
      </c>
      <c r="Q2" s="290" t="s">
        <v>167</v>
      </c>
      <c r="R2" s="291" t="s">
        <v>168</v>
      </c>
      <c r="S2" s="291" t="s">
        <v>169</v>
      </c>
      <c r="T2" s="290" t="s">
        <v>170</v>
      </c>
      <c r="U2" s="290" t="s">
        <v>171</v>
      </c>
      <c r="V2" s="290" t="s">
        <v>172</v>
      </c>
      <c r="W2" s="290" t="s">
        <v>173</v>
      </c>
      <c r="AA2" s="283">
        <v>45839</v>
      </c>
      <c r="AB2" s="280" t="s">
        <v>174</v>
      </c>
      <c r="AC2" s="282" t="s">
        <v>175</v>
      </c>
      <c r="AD2" s="280" t="s">
        <v>176</v>
      </c>
      <c r="AE2" s="280" t="s">
        <v>177</v>
      </c>
      <c r="AH2" t="s">
        <v>178</v>
      </c>
    </row>
    <row r="3" spans="1:34">
      <c r="A3">
        <v>1</v>
      </c>
      <c r="B3" s="1">
        <v>1799</v>
      </c>
      <c r="C3" s="274">
        <f>N3+O3</f>
        <v>69615</v>
      </c>
      <c r="D3" s="274">
        <v>0</v>
      </c>
      <c r="E3" s="1">
        <v>61873</v>
      </c>
      <c r="F3" s="1">
        <v>14026</v>
      </c>
      <c r="G3" s="274">
        <f>R3+S3</f>
        <v>82924</v>
      </c>
      <c r="H3" s="1">
        <v>2032</v>
      </c>
      <c r="I3" s="1">
        <v>5885</v>
      </c>
      <c r="J3" s="1">
        <v>4113</v>
      </c>
      <c r="K3">
        <f>SUM(B3:J3)</f>
        <v>242267</v>
      </c>
      <c r="M3" s="289">
        <v>0</v>
      </c>
      <c r="N3" s="289">
        <v>61133</v>
      </c>
      <c r="O3" s="289">
        <v>8482</v>
      </c>
      <c r="P3" s="274">
        <f>N3/Production2!N3</f>
        <v>21.256258692628652</v>
      </c>
      <c r="Q3" s="274">
        <f>O3/Production2!Q3</f>
        <v>36.084403981962055</v>
      </c>
      <c r="R3" s="289">
        <v>32418</v>
      </c>
      <c r="S3" s="289">
        <v>50506</v>
      </c>
      <c r="T3" s="275">
        <f>R3/'Daily CEM-1'!AX4</f>
        <v>58.622061482820975</v>
      </c>
      <c r="U3" s="275">
        <f>S3/'Daily  CEM - 2'!AU4</f>
        <v>34.498633879781423</v>
      </c>
      <c r="V3" s="275">
        <f>F34/Production2!U3</f>
        <v>1297.4255319148936</v>
      </c>
      <c r="W3" s="275">
        <f>E3/Production2!Z3</f>
        <v>31.40761421319797</v>
      </c>
      <c r="Z3" t="e">
        <f>#REF!/Clinker!EK3</f>
        <v>#REF!</v>
      </c>
      <c r="AA3" s="280">
        <v>1</v>
      </c>
      <c r="AB3" s="280">
        <f>Clinker!EK3</f>
        <v>1970</v>
      </c>
      <c r="AC3" s="280">
        <f>Production2!V3</f>
        <v>287</v>
      </c>
      <c r="AD3" s="281">
        <f>'1'!Q53</f>
        <v>5472</v>
      </c>
      <c r="AE3" s="281">
        <f>'1'!Q54</f>
        <v>797.18984771573605</v>
      </c>
      <c r="AH3" s="52">
        <f>Production2!V3/Production2!Z3</f>
        <v>0.14568527918781726</v>
      </c>
    </row>
    <row r="4" spans="1:34">
      <c r="A4">
        <v>2</v>
      </c>
      <c r="B4" s="1">
        <v>1799</v>
      </c>
      <c r="C4" s="274">
        <f>N4+O4</f>
        <v>69615</v>
      </c>
      <c r="D4" s="274">
        <v>0</v>
      </c>
      <c r="E4" s="1">
        <v>61873</v>
      </c>
      <c r="F4" s="1">
        <v>14026</v>
      </c>
      <c r="G4" s="274">
        <f t="shared" ref="G4:G33" si="0">R4+S4</f>
        <v>82924</v>
      </c>
      <c r="H4" s="1">
        <v>2032</v>
      </c>
      <c r="I4" s="1">
        <v>5885</v>
      </c>
      <c r="J4" s="1">
        <v>4113</v>
      </c>
      <c r="K4">
        <f>SUM(B4:J4)</f>
        <v>242267</v>
      </c>
      <c r="M4" s="289">
        <v>0</v>
      </c>
      <c r="N4" s="289">
        <v>61133</v>
      </c>
      <c r="O4" s="289">
        <v>8482</v>
      </c>
      <c r="P4" s="274">
        <f>N4/Production2!N4</f>
        <v>38.232020012507817</v>
      </c>
      <c r="Q4" s="274">
        <f>O4/Production2!Q4</f>
        <v>47.130077235094738</v>
      </c>
      <c r="R4" s="289">
        <v>32418</v>
      </c>
      <c r="S4" s="289">
        <v>50506</v>
      </c>
      <c r="T4" s="275">
        <f>R4/'Daily CEM-1'!AX5</f>
        <v>29.497725204731573</v>
      </c>
      <c r="U4" s="275">
        <f>S4/'Daily  CEM - 2'!AU5</f>
        <v>43.020442930153322</v>
      </c>
      <c r="V4" s="275">
        <f>F4/Production2!U4</f>
        <v>56.103999999999999</v>
      </c>
      <c r="W4" s="275">
        <f>E4/Production2!Z4</f>
        <v>38.311455108359134</v>
      </c>
      <c r="Z4">
        <f>E3/Clinker!EK4</f>
        <v>38.311455108359134</v>
      </c>
      <c r="AA4" s="280">
        <v>2</v>
      </c>
      <c r="AB4" s="280">
        <f>Clinker!EK4</f>
        <v>1615</v>
      </c>
      <c r="AC4" s="280">
        <f>Production2!V4</f>
        <v>247</v>
      </c>
      <c r="AD4" s="281">
        <f>'2'!$Q$53</f>
        <v>5408</v>
      </c>
      <c r="AE4" s="281">
        <f>'2'!$Q$54</f>
        <v>827.10588235294131</v>
      </c>
      <c r="AH4" s="52">
        <f>Production2!V4/Production2!Z4</f>
        <v>0.15294117647058825</v>
      </c>
    </row>
    <row r="5" spans="1:34">
      <c r="A5">
        <v>3</v>
      </c>
      <c r="B5" s="1">
        <v>1578</v>
      </c>
      <c r="C5" s="274">
        <f t="shared" ref="C5:C33" si="1">N5+O5</f>
        <v>56399</v>
      </c>
      <c r="D5" s="274">
        <v>0</v>
      </c>
      <c r="E5" s="1">
        <v>48596</v>
      </c>
      <c r="F5" s="1">
        <v>11111</v>
      </c>
      <c r="G5" s="274">
        <f t="shared" si="0"/>
        <v>113616</v>
      </c>
      <c r="H5" s="1">
        <v>2127</v>
      </c>
      <c r="I5" s="1">
        <v>5734</v>
      </c>
      <c r="J5" s="1">
        <v>4664</v>
      </c>
      <c r="K5">
        <f>SUM(B5:J5)</f>
        <v>243825</v>
      </c>
      <c r="M5" s="289">
        <v>0</v>
      </c>
      <c r="N5" s="289">
        <v>49215</v>
      </c>
      <c r="O5" s="289">
        <v>7184</v>
      </c>
      <c r="P5" s="274">
        <f>N5/Production2!N5</f>
        <v>22.109164420485175</v>
      </c>
      <c r="Q5" s="274">
        <f>O5/Production2!Q5</f>
        <v>38.767470724731531</v>
      </c>
      <c r="R5" s="289">
        <v>61669</v>
      </c>
      <c r="S5" s="289">
        <v>51947</v>
      </c>
      <c r="T5" s="275">
        <f>R5/'Daily CEM-1'!AX6</f>
        <v>39.684041184041185</v>
      </c>
      <c r="U5" s="275">
        <f>S5/'Daily  CEM - 2'!AU6</f>
        <v>37.561099060014463</v>
      </c>
      <c r="V5" s="275">
        <f>F5/Production2!U5</f>
        <v>51.655044165504421</v>
      </c>
      <c r="W5" s="275">
        <f>E5/Production2!Z5</f>
        <v>34.514204545454547</v>
      </c>
      <c r="Z5">
        <f>E4/Clinker!EK5</f>
        <v>43.943892045454547</v>
      </c>
      <c r="AA5" s="280">
        <v>3</v>
      </c>
      <c r="AB5" s="280">
        <f>Clinker!EK5</f>
        <v>1408</v>
      </c>
      <c r="AC5" s="280">
        <f>Production2!V5</f>
        <v>232</v>
      </c>
      <c r="AD5" s="281">
        <f>'3'!$Q$53</f>
        <v>5324</v>
      </c>
      <c r="AE5" s="281">
        <f>'3'!$Q$54</f>
        <v>877.25</v>
      </c>
      <c r="AH5" s="52">
        <f>Production2!V5/Production2!Z5</f>
        <v>0.16477272727272727</v>
      </c>
    </row>
    <row r="6" spans="1:34">
      <c r="A6">
        <v>4</v>
      </c>
      <c r="B6" s="1">
        <v>1056</v>
      </c>
      <c r="C6" s="274">
        <f t="shared" si="1"/>
        <v>71852</v>
      </c>
      <c r="D6" s="274">
        <v>0</v>
      </c>
      <c r="E6" s="1">
        <v>57126</v>
      </c>
      <c r="F6" s="1">
        <v>14323</v>
      </c>
      <c r="G6" s="274">
        <f t="shared" si="0"/>
        <v>103893</v>
      </c>
      <c r="H6" s="1">
        <v>2271</v>
      </c>
      <c r="I6" s="1">
        <v>6242</v>
      </c>
      <c r="J6" s="1">
        <v>4962</v>
      </c>
      <c r="K6">
        <f>SUM(B6:J6)</f>
        <v>261725</v>
      </c>
      <c r="M6" s="289">
        <v>0</v>
      </c>
      <c r="N6" s="289">
        <v>62902</v>
      </c>
      <c r="O6" s="289">
        <v>8950</v>
      </c>
      <c r="P6" s="274">
        <f>N6/Production2!N6</f>
        <v>22.865139949109416</v>
      </c>
      <c r="Q6" s="274">
        <f>O6/Production2!Q6</f>
        <v>43.22418622621462</v>
      </c>
      <c r="R6" s="289">
        <v>58514</v>
      </c>
      <c r="S6" s="289">
        <v>45379</v>
      </c>
      <c r="T6" s="275">
        <f>R6/'Daily CEM-1'!AX7</f>
        <v>49.884057971014492</v>
      </c>
      <c r="U6" s="275">
        <f>S6/'Daily  CEM - 2'!AU7</f>
        <v>37.78434637801832</v>
      </c>
      <c r="V6" s="275">
        <f>F6/Production2!U6</f>
        <v>50.256140350877196</v>
      </c>
      <c r="W6" s="275">
        <f>E6/Production2!Z6</f>
        <v>31.913966480446927</v>
      </c>
      <c r="Z6">
        <f>E6/Clinker!EK6</f>
        <v>31.913966480446927</v>
      </c>
      <c r="AA6" s="280">
        <v>4</v>
      </c>
      <c r="AB6" s="280">
        <f>Clinker!EK6</f>
        <v>1790</v>
      </c>
      <c r="AC6" s="280">
        <f>Production2!V6</f>
        <v>265</v>
      </c>
      <c r="AD6" s="281">
        <f>'4'!$Q$53</f>
        <v>5430</v>
      </c>
      <c r="AE6" s="281">
        <f>'4'!$Q$54</f>
        <v>803.8826815642459</v>
      </c>
      <c r="AH6" s="52">
        <f>Production2!V6/Production2!Z6</f>
        <v>0.14804469273743018</v>
      </c>
    </row>
    <row r="7" spans="1:34">
      <c r="A7">
        <v>5</v>
      </c>
      <c r="B7" s="1">
        <v>1554</v>
      </c>
      <c r="C7" s="274">
        <f t="shared" si="1"/>
        <v>52872</v>
      </c>
      <c r="D7" s="274">
        <v>0</v>
      </c>
      <c r="E7" s="1">
        <v>59192</v>
      </c>
      <c r="F7" s="1">
        <v>13215</v>
      </c>
      <c r="G7" s="274">
        <f>R7+S7</f>
        <v>95946</v>
      </c>
      <c r="H7" s="1">
        <v>2021</v>
      </c>
      <c r="I7" s="1">
        <v>6052</v>
      </c>
      <c r="J7" s="1">
        <v>4952</v>
      </c>
      <c r="K7">
        <f>SUM(B7:J7)</f>
        <v>235804</v>
      </c>
      <c r="M7" s="289">
        <v>0</v>
      </c>
      <c r="N7" s="289">
        <v>45066</v>
      </c>
      <c r="O7" s="289">
        <v>7806</v>
      </c>
      <c r="P7" s="274">
        <f>N7/Production2!N7</f>
        <v>18.477244772447726</v>
      </c>
      <c r="Q7" s="274">
        <f>O7/Production2!Q7</f>
        <v>43.272908697821393</v>
      </c>
      <c r="R7" s="289">
        <v>61657</v>
      </c>
      <c r="S7" s="289">
        <v>34289</v>
      </c>
      <c r="T7" s="275">
        <f>R7/'Daily CEM-1'!AX8</f>
        <v>42.173050615595074</v>
      </c>
      <c r="U7" s="275">
        <f>S7/'Daily  CEM - 2'!AU8</f>
        <v>38.183741648106903</v>
      </c>
      <c r="V7" s="275">
        <f>F7/Production2!U7</f>
        <v>50.247148288973385</v>
      </c>
      <c r="W7" s="275">
        <f>E7/Production2!Z7</f>
        <v>35.024852071005917</v>
      </c>
      <c r="Z7">
        <f>E7/Clinker!EK7</f>
        <v>35.024852071005917</v>
      </c>
      <c r="AA7" s="280">
        <v>5</v>
      </c>
      <c r="AB7" s="280">
        <f>Clinker!EK7</f>
        <v>1690</v>
      </c>
      <c r="AC7" s="280">
        <f>Production2!V7</f>
        <v>252</v>
      </c>
      <c r="AD7" s="281">
        <f>'5'!$Q$53</f>
        <v>5410</v>
      </c>
      <c r="AE7" s="281">
        <f>'5'!$Q$54</f>
        <v>806.69822485207101</v>
      </c>
      <c r="AH7" s="52">
        <f>Production2!V7/Production2!Z7</f>
        <v>0.14911242603550295</v>
      </c>
    </row>
    <row r="8" spans="1:34">
      <c r="A8">
        <v>6</v>
      </c>
      <c r="B8" s="1">
        <v>1512</v>
      </c>
      <c r="C8" s="274">
        <f t="shared" si="1"/>
        <v>55292</v>
      </c>
      <c r="D8" s="274">
        <v>0</v>
      </c>
      <c r="E8" s="1">
        <v>53826</v>
      </c>
      <c r="F8" s="1">
        <v>12803</v>
      </c>
      <c r="G8" s="274">
        <f t="shared" si="0"/>
        <v>94859</v>
      </c>
      <c r="H8" s="1">
        <v>1984</v>
      </c>
      <c r="I8" s="1">
        <v>6162</v>
      </c>
      <c r="J8" s="1">
        <v>4683</v>
      </c>
      <c r="K8" s="175">
        <f t="shared" ref="K8:K10" si="2">SUM(B8:J8)</f>
        <v>231121</v>
      </c>
      <c r="M8" s="289">
        <v>0</v>
      </c>
      <c r="N8" s="289">
        <v>48315</v>
      </c>
      <c r="O8" s="289">
        <v>6977</v>
      </c>
      <c r="P8" s="274">
        <f>N8/Production2!N8</f>
        <v>22.704417293233082</v>
      </c>
      <c r="Q8" s="274">
        <f>O8/Production2!Q8</f>
        <v>61.223236223236228</v>
      </c>
      <c r="R8" s="289">
        <v>66362</v>
      </c>
      <c r="S8" s="289">
        <v>28497</v>
      </c>
      <c r="T8" s="275">
        <f>R8/'Daily CEM-1'!AX9</f>
        <v>49.672155688622752</v>
      </c>
      <c r="U8" s="275">
        <f>S8/'Daily  CEM - 2'!AU9</f>
        <v>47.653846153846153</v>
      </c>
      <c r="V8" s="275">
        <f>F8/Production2!U8</f>
        <v>53.569037656903767</v>
      </c>
      <c r="W8" s="275">
        <f>E8/Production2!Z8</f>
        <v>35.764784053156149</v>
      </c>
      <c r="Z8">
        <f>E8/Clinker!EK8</f>
        <v>35.764784053156149</v>
      </c>
      <c r="AA8" s="280">
        <v>6</v>
      </c>
      <c r="AB8" s="280">
        <f>Clinker!EK8</f>
        <v>1505</v>
      </c>
      <c r="AC8" s="280">
        <f>Production2!V8</f>
        <v>240</v>
      </c>
      <c r="AD8" s="281">
        <f>'6'!$Q$53</f>
        <v>5370</v>
      </c>
      <c r="AE8" s="281">
        <f>'6'!$Q$54</f>
        <v>856.34551495016615</v>
      </c>
      <c r="AH8" s="52">
        <f>Production2!V8/Production2!Z8</f>
        <v>0.15946843853820597</v>
      </c>
    </row>
    <row r="9" spans="1:34">
      <c r="A9">
        <v>7</v>
      </c>
      <c r="B9" s="1">
        <v>1280</v>
      </c>
      <c r="C9" s="274">
        <f t="shared" si="1"/>
        <v>55984</v>
      </c>
      <c r="D9" s="274">
        <v>0</v>
      </c>
      <c r="E9" s="1">
        <v>53979</v>
      </c>
      <c r="F9" s="1">
        <v>12877</v>
      </c>
      <c r="G9" s="274">
        <f t="shared" si="0"/>
        <v>60288</v>
      </c>
      <c r="H9" s="1">
        <v>1632</v>
      </c>
      <c r="I9" s="1">
        <v>6100</v>
      </c>
      <c r="J9" s="1">
        <v>4222</v>
      </c>
      <c r="K9">
        <f>SUM(B9:J9)</f>
        <v>196362</v>
      </c>
      <c r="M9" s="289">
        <v>0</v>
      </c>
      <c r="N9" s="289">
        <v>50068</v>
      </c>
      <c r="O9" s="289">
        <v>5916</v>
      </c>
      <c r="P9" s="274">
        <f>N9/Production2!N9</f>
        <v>22.966972477064221</v>
      </c>
      <c r="Q9" s="274">
        <f>O9/Production2!Q9</f>
        <v>45.539219459625897</v>
      </c>
      <c r="R9" s="289">
        <v>56959</v>
      </c>
      <c r="S9" s="289">
        <v>3329</v>
      </c>
      <c r="T9" s="275">
        <f>R9/'Daily CEM-1'!AX10</f>
        <v>44.154263565891476</v>
      </c>
      <c r="U9" s="275" t="e">
        <f>S9/'Daily  CEM - 2'!AU10</f>
        <v>#DIV/0!</v>
      </c>
      <c r="V9" s="275">
        <f>F9/Production2!U9</f>
        <v>57.231111111111112</v>
      </c>
      <c r="W9" s="275">
        <f>E9/Production2!Z9</f>
        <v>36.472297297297295</v>
      </c>
      <c r="Z9">
        <f>E9/Clinker!EK9</f>
        <v>36.472297297297295</v>
      </c>
      <c r="AA9" s="280">
        <v>7</v>
      </c>
      <c r="AB9" s="280">
        <f>Clinker!EK9</f>
        <v>1480</v>
      </c>
      <c r="AC9" s="280">
        <f>Production2!V9</f>
        <v>225</v>
      </c>
      <c r="AD9" s="281">
        <f>'7'!$Q$53</f>
        <v>5470</v>
      </c>
      <c r="AE9" s="281">
        <f>'7'!$Q$54</f>
        <v>831.58783783783792</v>
      </c>
      <c r="AH9" s="52">
        <f>Production2!V9/Production2!Z9</f>
        <v>0.15202702702702703</v>
      </c>
    </row>
    <row r="10" spans="1:34">
      <c r="A10">
        <v>8</v>
      </c>
      <c r="B10" s="1">
        <v>1593</v>
      </c>
      <c r="C10" s="274">
        <f t="shared" si="1"/>
        <v>57797</v>
      </c>
      <c r="D10" s="274">
        <v>0</v>
      </c>
      <c r="E10" s="1">
        <v>52258</v>
      </c>
      <c r="F10" s="1">
        <v>11696</v>
      </c>
      <c r="G10" s="274">
        <f t="shared" si="0"/>
        <v>67347</v>
      </c>
      <c r="H10" s="1">
        <v>1688</v>
      </c>
      <c r="I10" s="1">
        <v>5574</v>
      </c>
      <c r="J10" s="1">
        <v>4550</v>
      </c>
      <c r="K10">
        <f t="shared" si="2"/>
        <v>202503</v>
      </c>
      <c r="M10" s="289">
        <v>0</v>
      </c>
      <c r="N10" s="289">
        <v>50035</v>
      </c>
      <c r="O10" s="289">
        <v>7762</v>
      </c>
      <c r="P10" s="274">
        <f>N10/Production2!N10</f>
        <v>25.193856998992949</v>
      </c>
      <c r="Q10" s="274">
        <f>O10/Production2!Q10</f>
        <v>51.808837271392342</v>
      </c>
      <c r="R10" s="289">
        <v>64287</v>
      </c>
      <c r="S10" s="289">
        <v>3060</v>
      </c>
      <c r="T10" s="275">
        <f>R10/'Daily CEM-1'!AX11</f>
        <v>47.655300222386956</v>
      </c>
      <c r="U10" s="275" t="e">
        <f>S10/'Daily  CEM - 2'!AU11</f>
        <v>#DIV/0!</v>
      </c>
      <c r="V10" s="275">
        <f>F10/Production2!U10</f>
        <v>55.695238095238096</v>
      </c>
      <c r="W10" s="275">
        <f>E10/Production2!Z10</f>
        <v>37.595683453237413</v>
      </c>
      <c r="Z10">
        <f>E10/Clinker!EK10</f>
        <v>37.595683453237413</v>
      </c>
      <c r="AA10" s="280">
        <v>8</v>
      </c>
      <c r="AB10" s="280">
        <f>Clinker!EK10</f>
        <v>1390</v>
      </c>
      <c r="AC10" s="280">
        <f>Production2!V10</f>
        <v>212</v>
      </c>
      <c r="AD10" s="281">
        <f>'8'!$Q$53</f>
        <v>5648</v>
      </c>
      <c r="AE10" s="281">
        <f>'8'!$Q$54</f>
        <v>861.42158273381301</v>
      </c>
      <c r="AH10" s="52">
        <f>Production2!V10/Production2!Z10</f>
        <v>0.15251798561151078</v>
      </c>
    </row>
    <row r="11" spans="1:34">
      <c r="A11">
        <v>9</v>
      </c>
      <c r="B11" s="1">
        <v>1393</v>
      </c>
      <c r="C11" s="274">
        <f t="shared" si="1"/>
        <v>60606</v>
      </c>
      <c r="D11" s="274">
        <v>0</v>
      </c>
      <c r="E11" s="1">
        <v>50960</v>
      </c>
      <c r="F11" s="1">
        <v>12297</v>
      </c>
      <c r="G11" s="274">
        <f t="shared" ref="G11:G15" si="3">R11+S11</f>
        <v>70911</v>
      </c>
      <c r="H11" s="1">
        <v>1815</v>
      </c>
      <c r="I11" s="1">
        <v>5153</v>
      </c>
      <c r="J11" s="1">
        <v>4305</v>
      </c>
      <c r="K11">
        <f>SUM(B11:J11)</f>
        <v>207440</v>
      </c>
      <c r="M11" s="289">
        <v>0</v>
      </c>
      <c r="N11" s="289">
        <v>51757</v>
      </c>
      <c r="O11" s="289">
        <v>8849</v>
      </c>
      <c r="P11" s="274">
        <f>N11/Production2!N11</f>
        <v>25.609599208312716</v>
      </c>
      <c r="Q11" s="274">
        <f>O11/Production2!Q11</f>
        <v>45.335314309134688</v>
      </c>
      <c r="R11" s="289">
        <v>64376</v>
      </c>
      <c r="S11" s="289">
        <v>6535</v>
      </c>
      <c r="T11" s="275">
        <f>R11/'Daily CEM-1'!AX12</f>
        <v>41.240230621396542</v>
      </c>
      <c r="U11" s="275">
        <f>S11/'Daily  CEM - 2'!AU12</f>
        <v>76.882352941176464</v>
      </c>
      <c r="V11" s="275">
        <f>F11/Production2!U11</f>
        <v>54.653333333333336</v>
      </c>
      <c r="W11" s="275">
        <f>E11/Production2!Z11</f>
        <v>35.636363636363633</v>
      </c>
      <c r="Z11">
        <f>E11/Clinker!EK11</f>
        <v>35.636363636363633</v>
      </c>
      <c r="AA11" s="280">
        <v>9</v>
      </c>
      <c r="AB11" s="280">
        <f>Clinker!EK11</f>
        <v>1430</v>
      </c>
      <c r="AC11" s="280">
        <f>Production2!V11</f>
        <v>225</v>
      </c>
      <c r="AD11" s="281">
        <f>'9'!$Q$53</f>
        <v>5563</v>
      </c>
      <c r="AE11" s="281">
        <f>'9'!$Q$54</f>
        <v>875.29720279720277</v>
      </c>
      <c r="AH11" s="52">
        <f>Production2!V11/Production2!Z11</f>
        <v>0.15734265734265734</v>
      </c>
    </row>
    <row r="12" spans="1:34">
      <c r="A12">
        <v>10</v>
      </c>
      <c r="B12" s="1">
        <v>1585</v>
      </c>
      <c r="C12" s="274">
        <f t="shared" si="1"/>
        <v>64020</v>
      </c>
      <c r="D12" s="274">
        <v>0</v>
      </c>
      <c r="E12" s="1">
        <v>51669</v>
      </c>
      <c r="F12" s="1">
        <v>13833</v>
      </c>
      <c r="G12" s="274">
        <f t="shared" si="3"/>
        <v>104271</v>
      </c>
      <c r="H12" s="1">
        <v>2093</v>
      </c>
      <c r="I12" s="1">
        <v>5545</v>
      </c>
      <c r="J12" s="1">
        <v>4241</v>
      </c>
      <c r="K12">
        <f t="shared" ref="K12:K33" si="4">SUM(B12:J12)</f>
        <v>247257</v>
      </c>
      <c r="M12" s="289">
        <v>0</v>
      </c>
      <c r="N12" s="289">
        <v>56127</v>
      </c>
      <c r="O12" s="289">
        <v>7893</v>
      </c>
      <c r="P12" s="274">
        <f>N12/Production2!N12</f>
        <v>20.935098843715032</v>
      </c>
      <c r="Q12" s="274">
        <f>O12/Production2!Q12</f>
        <v>46.828834173835652</v>
      </c>
      <c r="R12" s="289">
        <v>60568</v>
      </c>
      <c r="S12" s="289">
        <v>43703</v>
      </c>
      <c r="T12" s="275">
        <f>R12/'Daily CEM-1'!AX13</f>
        <v>48.845161290322579</v>
      </c>
      <c r="U12" s="275">
        <f>S12/'Daily  CEM - 2'!AU13</f>
        <v>40.242173112338861</v>
      </c>
      <c r="V12" s="275">
        <f>F12/Production2!U12</f>
        <v>59.115384615384613</v>
      </c>
      <c r="W12" s="275">
        <f>E12/Production2!Z12</f>
        <v>34.217880794701983</v>
      </c>
      <c r="Z12">
        <f>E12/Clinker!EK12</f>
        <v>34.217880794701983</v>
      </c>
      <c r="AA12" s="280">
        <v>10</v>
      </c>
      <c r="AB12" s="280">
        <f>Clinker!EK12</f>
        <v>1510</v>
      </c>
      <c r="AC12" s="280">
        <f>Production2!V12</f>
        <v>233</v>
      </c>
      <c r="AD12" s="281">
        <f>'10'!$Q$53</f>
        <v>5374</v>
      </c>
      <c r="AE12" s="281">
        <f>'10'!$Q$54</f>
        <v>829.23311258278147</v>
      </c>
      <c r="AH12" s="52">
        <f>Production2!V12/Production2!Z12</f>
        <v>0.1543046357615894</v>
      </c>
    </row>
    <row r="13" spans="1:34">
      <c r="A13">
        <v>11</v>
      </c>
      <c r="B13" s="1">
        <v>1576</v>
      </c>
      <c r="C13" s="274">
        <f t="shared" si="1"/>
        <v>58083</v>
      </c>
      <c r="D13" s="274">
        <v>0</v>
      </c>
      <c r="E13" s="1">
        <v>48676</v>
      </c>
      <c r="F13" s="1">
        <v>12040</v>
      </c>
      <c r="G13" s="274">
        <f t="shared" si="3"/>
        <v>114466</v>
      </c>
      <c r="H13" s="1">
        <v>2129</v>
      </c>
      <c r="I13" s="1">
        <v>6465</v>
      </c>
      <c r="J13" s="1">
        <v>3791</v>
      </c>
      <c r="K13">
        <f t="shared" si="4"/>
        <v>247226</v>
      </c>
      <c r="M13" s="289">
        <v>0</v>
      </c>
      <c r="N13" s="289">
        <v>50444</v>
      </c>
      <c r="O13" s="289">
        <v>7639</v>
      </c>
      <c r="P13" s="274">
        <f>N13/Production2!N13</f>
        <v>27.534934497816593</v>
      </c>
      <c r="Q13" s="274">
        <f>O13/Production2!Q13</f>
        <v>42.649768298810784</v>
      </c>
      <c r="R13" s="289">
        <v>64483</v>
      </c>
      <c r="S13" s="289">
        <v>49983</v>
      </c>
      <c r="T13" s="275">
        <f>R13/'Daily CEM-1'!AX14</f>
        <v>57.064601769911505</v>
      </c>
      <c r="U13" s="275">
        <f>S13/'Daily  CEM - 2'!AU14</f>
        <v>35.958992805755393</v>
      </c>
      <c r="V13" s="275">
        <f>F13/Production2!U13</f>
        <v>62.222222222222221</v>
      </c>
      <c r="W13" s="275">
        <f>E13/Production2!Z13</f>
        <v>37.733333333333334</v>
      </c>
      <c r="Z13">
        <f>E13/Clinker!EK13</f>
        <v>37.733333333333334</v>
      </c>
      <c r="AA13" s="280">
        <v>11</v>
      </c>
      <c r="AB13" s="280">
        <f>Clinker!EK13</f>
        <v>1290</v>
      </c>
      <c r="AC13" s="280">
        <f>Production2!V13</f>
        <v>202</v>
      </c>
      <c r="AD13" s="281">
        <f>'11'!$Q$53</f>
        <v>5420</v>
      </c>
      <c r="AE13" s="281">
        <f>'11'!$Q$54</f>
        <v>848.71317829457371</v>
      </c>
      <c r="AH13" s="52">
        <f>Production2!V13/Production2!Z13</f>
        <v>0.15658914728682172</v>
      </c>
    </row>
    <row r="14" spans="1:34">
      <c r="A14">
        <v>12</v>
      </c>
      <c r="B14" s="1">
        <v>2326</v>
      </c>
      <c r="C14" s="274">
        <f t="shared" si="1"/>
        <v>58729</v>
      </c>
      <c r="D14" s="274">
        <v>0</v>
      </c>
      <c r="E14" s="1">
        <v>52513</v>
      </c>
      <c r="F14" s="1">
        <v>12909</v>
      </c>
      <c r="G14" s="274">
        <f t="shared" si="3"/>
        <v>105366</v>
      </c>
      <c r="H14" s="1">
        <v>2101</v>
      </c>
      <c r="I14" s="1">
        <v>6250</v>
      </c>
      <c r="J14" s="1">
        <v>4131</v>
      </c>
      <c r="K14" s="175">
        <f t="shared" si="4"/>
        <v>244325</v>
      </c>
      <c r="M14" s="289">
        <v>0</v>
      </c>
      <c r="N14" s="289">
        <v>50602</v>
      </c>
      <c r="O14" s="289">
        <v>8127</v>
      </c>
      <c r="P14" s="274">
        <f>N14/Production2!N14</f>
        <v>21.83002588438309</v>
      </c>
      <c r="Q14" s="274">
        <f>O14/Production2!Q14</f>
        <v>50.052349571965266</v>
      </c>
      <c r="R14" s="289">
        <v>56052</v>
      </c>
      <c r="S14" s="289">
        <v>49314</v>
      </c>
      <c r="T14" s="275">
        <f>R14/'Daily CEM-1'!AX15</f>
        <v>55.497029702970295</v>
      </c>
      <c r="U14" s="275">
        <f>S14/'Daily  CEM - 2'!AU15</f>
        <v>36.801492537313436</v>
      </c>
      <c r="V14" s="275">
        <f>F14/Production2!U14</f>
        <v>50.034883720930232</v>
      </c>
      <c r="W14" s="275">
        <f>E14/Production2!Z14</f>
        <v>30.709356725146201</v>
      </c>
      <c r="Z14">
        <f>E14/Clinker!EK14</f>
        <v>30.709356725146201</v>
      </c>
      <c r="AA14" s="280">
        <v>12</v>
      </c>
      <c r="AB14" s="280">
        <f>Clinker!EK14</f>
        <v>1710</v>
      </c>
      <c r="AC14" s="280">
        <f>Production2!V14</f>
        <v>252</v>
      </c>
      <c r="AD14" s="281">
        <f>'12'!$Q$53</f>
        <v>5452</v>
      </c>
      <c r="AE14" s="281">
        <f>'12'!$Q$54</f>
        <v>803.45263157894715</v>
      </c>
      <c r="AH14" s="52">
        <f>Production2!V14/Production2!Z14</f>
        <v>0.14736842105263157</v>
      </c>
    </row>
    <row r="15" spans="1:34">
      <c r="A15">
        <v>13</v>
      </c>
      <c r="B15" s="1">
        <v>2618</v>
      </c>
      <c r="C15" s="274">
        <f t="shared" si="1"/>
        <v>46833</v>
      </c>
      <c r="D15" s="274">
        <v>0</v>
      </c>
      <c r="E15" s="1">
        <v>48614</v>
      </c>
      <c r="F15" s="1">
        <v>12491</v>
      </c>
      <c r="G15" s="274">
        <f t="shared" si="3"/>
        <v>112881</v>
      </c>
      <c r="H15" s="1">
        <v>2017</v>
      </c>
      <c r="I15" s="1">
        <v>6571</v>
      </c>
      <c r="J15" s="1">
        <v>3515</v>
      </c>
      <c r="K15">
        <f t="shared" si="4"/>
        <v>235540</v>
      </c>
      <c r="M15" s="289">
        <v>0</v>
      </c>
      <c r="N15" s="289">
        <v>39203</v>
      </c>
      <c r="O15" s="289">
        <v>7630</v>
      </c>
      <c r="P15" s="274">
        <f>N15/Production2!N15</f>
        <v>21.540109890109889</v>
      </c>
      <c r="Q15" s="274">
        <f>O15/Production2!Q15</f>
        <v>56.401537551744532</v>
      </c>
      <c r="R15" s="289">
        <v>64682</v>
      </c>
      <c r="S15" s="289">
        <v>48199</v>
      </c>
      <c r="T15" s="275">
        <f>R15/'Daily CEM-1'!AX16</f>
        <v>45.422752808988761</v>
      </c>
      <c r="U15" s="275">
        <f>S15/'Daily  CEM - 2'!AU16</f>
        <v>39.122564935064936</v>
      </c>
      <c r="V15" s="275">
        <f>F15/Production2!U15</f>
        <v>57.298165137614681</v>
      </c>
      <c r="W15" s="275">
        <f>E15/Production2!Z15</f>
        <v>37.280674846625764</v>
      </c>
      <c r="Z15">
        <f>E15/Clinker!EK15</f>
        <v>37.280674846625764</v>
      </c>
      <c r="AA15" s="280">
        <v>13</v>
      </c>
      <c r="AB15" s="280">
        <f>Clinker!EK15</f>
        <v>1304</v>
      </c>
      <c r="AC15" s="280">
        <f>Production2!V15</f>
        <v>218</v>
      </c>
      <c r="AD15" s="281">
        <f>'13'!$Q$53</f>
        <v>5367</v>
      </c>
      <c r="AE15" s="281">
        <f>'13'!$Q$54</f>
        <v>897.2438650306749</v>
      </c>
      <c r="AH15" s="52">
        <f>Production2!V15/Production2!Z15</f>
        <v>0.16717791411042945</v>
      </c>
    </row>
    <row r="16" spans="1:34">
      <c r="A16">
        <v>14</v>
      </c>
      <c r="B16" s="1">
        <v>2719</v>
      </c>
      <c r="C16" s="274">
        <f t="shared" si="1"/>
        <v>54864</v>
      </c>
      <c r="D16" s="274">
        <v>0</v>
      </c>
      <c r="E16" s="1">
        <v>49643</v>
      </c>
      <c r="F16" s="1">
        <v>12528</v>
      </c>
      <c r="G16" s="274">
        <f t="shared" si="0"/>
        <v>103322</v>
      </c>
      <c r="H16" s="1">
        <v>2001</v>
      </c>
      <c r="I16" s="1">
        <v>5615</v>
      </c>
      <c r="J16" s="1">
        <v>3626</v>
      </c>
      <c r="K16">
        <f t="shared" si="4"/>
        <v>234318</v>
      </c>
      <c r="M16" s="289">
        <v>0</v>
      </c>
      <c r="N16" s="289">
        <v>46524</v>
      </c>
      <c r="O16" s="289">
        <v>8340</v>
      </c>
      <c r="P16" s="274">
        <f>N16/Production2!N16</f>
        <v>24.986036519871107</v>
      </c>
      <c r="Q16" s="274">
        <f>O16/Production2!Q16</f>
        <v>52.017713465976421</v>
      </c>
      <c r="R16" s="289">
        <v>57662</v>
      </c>
      <c r="S16" s="289">
        <v>45660</v>
      </c>
      <c r="T16" s="275">
        <f>R16/'Daily CEM-1'!AX17</f>
        <v>46.277688603531303</v>
      </c>
      <c r="U16" s="275">
        <f>S16/'Daily  CEM - 2'!AU17</f>
        <v>35.952755905511808</v>
      </c>
      <c r="V16" s="275">
        <f>F16/Production2!U16</f>
        <v>61.112195121951217</v>
      </c>
      <c r="W16" s="275">
        <f>E16/Production2!Z16</f>
        <v>38.040613026819926</v>
      </c>
      <c r="Z16">
        <f>E16/Clinker!EK16</f>
        <v>38.040613026819926</v>
      </c>
      <c r="AA16" s="280">
        <v>14</v>
      </c>
      <c r="AB16" s="280">
        <f>Clinker!EK16</f>
        <v>1305</v>
      </c>
      <c r="AC16" s="280">
        <f>Production2!V16</f>
        <v>202</v>
      </c>
      <c r="AD16" s="281">
        <f>'14'!$Q$53</f>
        <v>5472</v>
      </c>
      <c r="AE16" s="281">
        <f>'14'!$Q$54</f>
        <v>847.00689655172425</v>
      </c>
      <c r="AH16" s="52">
        <f>Production2!V16/Production2!Z16</f>
        <v>0.15478927203065135</v>
      </c>
    </row>
    <row r="17" spans="1:34">
      <c r="A17">
        <v>15</v>
      </c>
      <c r="B17" s="1">
        <v>2101</v>
      </c>
      <c r="C17" s="274">
        <f t="shared" si="1"/>
        <v>61832</v>
      </c>
      <c r="D17" s="274">
        <v>0</v>
      </c>
      <c r="E17" s="1">
        <v>51884</v>
      </c>
      <c r="F17" s="1">
        <v>12543</v>
      </c>
      <c r="G17" s="274">
        <f t="shared" si="0"/>
        <v>96901</v>
      </c>
      <c r="H17" s="1">
        <v>1992</v>
      </c>
      <c r="I17" s="1">
        <v>5778</v>
      </c>
      <c r="J17" s="1">
        <v>3973</v>
      </c>
      <c r="K17">
        <f t="shared" si="4"/>
        <v>237004</v>
      </c>
      <c r="M17" s="289">
        <v>0</v>
      </c>
      <c r="N17" s="289">
        <v>57991</v>
      </c>
      <c r="O17" s="289">
        <v>3841</v>
      </c>
      <c r="P17" s="274">
        <f>N17/Production2!N17</f>
        <v>25.808188696039164</v>
      </c>
      <c r="Q17" s="274">
        <f>O17/Production2!Q17</f>
        <v>59.744905895162539</v>
      </c>
      <c r="R17" s="289">
        <v>50454</v>
      </c>
      <c r="S17" s="289">
        <v>46447</v>
      </c>
      <c r="T17" s="275">
        <f>R17/'Daily CEM-1'!AX18</f>
        <v>47.823696682464458</v>
      </c>
      <c r="U17" s="275">
        <f>S17/'Daily  CEM - 2'!AU18</f>
        <v>36.57244094488189</v>
      </c>
      <c r="V17" s="275">
        <f>F17/Production2!U17</f>
        <v>59.728571428571428</v>
      </c>
      <c r="W17" s="275">
        <f>E17/Production2!Z17</f>
        <v>38.432592592592592</v>
      </c>
      <c r="Z17">
        <f>E17/Clinker!EK17</f>
        <v>38.432592592592592</v>
      </c>
      <c r="AA17" s="280">
        <v>15</v>
      </c>
      <c r="AB17" s="280">
        <f>Clinker!EK17</f>
        <v>1350</v>
      </c>
      <c r="AC17" s="280">
        <f>Production2!V17</f>
        <v>211</v>
      </c>
      <c r="AD17" s="281">
        <f>'15'!$Q$53</f>
        <v>5741</v>
      </c>
      <c r="AE17" s="281">
        <f>'15'!$Q$54</f>
        <v>897.29703703703706</v>
      </c>
      <c r="AH17" s="52">
        <f>Production2!V17/Production2!Z17</f>
        <v>0.15629629629629629</v>
      </c>
    </row>
    <row r="18" spans="1:34">
      <c r="A18">
        <v>16</v>
      </c>
      <c r="B18" s="1">
        <v>1561</v>
      </c>
      <c r="C18" s="274">
        <f t="shared" si="1"/>
        <v>61601</v>
      </c>
      <c r="D18" s="274">
        <v>0</v>
      </c>
      <c r="E18" s="1">
        <v>50832</v>
      </c>
      <c r="F18" s="1">
        <v>13367</v>
      </c>
      <c r="G18" s="274">
        <f t="shared" si="0"/>
        <v>115611</v>
      </c>
      <c r="H18" s="1">
        <v>2231</v>
      </c>
      <c r="I18" s="1">
        <v>5608</v>
      </c>
      <c r="J18" s="1">
        <v>3804</v>
      </c>
      <c r="K18">
        <f t="shared" si="4"/>
        <v>254615</v>
      </c>
      <c r="M18" s="289">
        <v>0</v>
      </c>
      <c r="N18" s="289">
        <v>60778</v>
      </c>
      <c r="O18" s="289">
        <v>823</v>
      </c>
      <c r="P18" s="274">
        <f>N18/Production2!N18</f>
        <v>25.222645518454886</v>
      </c>
      <c r="Q18" s="274" t="e">
        <f>O18/Production2!Q18</f>
        <v>#DIV/0!</v>
      </c>
      <c r="R18" s="289">
        <v>65194</v>
      </c>
      <c r="S18" s="289">
        <v>50417</v>
      </c>
      <c r="T18" s="275">
        <f>R18/'Daily CEM-1'!AX19</f>
        <v>41.472010178117046</v>
      </c>
      <c r="U18" s="275">
        <f>S18/'Daily  CEM - 2'!AU19</f>
        <v>44.14798598949212</v>
      </c>
      <c r="V18" s="275">
        <f>F18/Production2!U18</f>
        <v>60.759090909090908</v>
      </c>
      <c r="W18" s="275">
        <f>E18/Production2!Z18</f>
        <v>36.569784172661869</v>
      </c>
      <c r="Z18">
        <f>E18/Clinker!EK18</f>
        <v>36.569784172661869</v>
      </c>
      <c r="AA18" s="280">
        <v>16</v>
      </c>
      <c r="AB18" s="280">
        <f>Clinker!EK18</f>
        <v>1390</v>
      </c>
      <c r="AC18" s="280">
        <f>Production2!V18</f>
        <v>220</v>
      </c>
      <c r="AD18" s="281">
        <f>'16'!$Q$53</f>
        <v>5423</v>
      </c>
      <c r="AE18" s="281">
        <f>'16'!$Q$54</f>
        <v>858.31654676258984</v>
      </c>
      <c r="AH18" s="52">
        <f>Production2!V18/Production2!Z18</f>
        <v>0.15827338129496402</v>
      </c>
    </row>
    <row r="19" spans="1:34">
      <c r="A19">
        <v>17</v>
      </c>
      <c r="B19" s="1">
        <v>1391</v>
      </c>
      <c r="C19" s="274">
        <f t="shared" si="1"/>
        <v>42315</v>
      </c>
      <c r="D19" s="274">
        <v>0</v>
      </c>
      <c r="E19" s="1">
        <v>53856</v>
      </c>
      <c r="F19" s="1">
        <v>13434</v>
      </c>
      <c r="G19" s="274">
        <f t="shared" si="0"/>
        <v>110044</v>
      </c>
      <c r="H19" s="1">
        <v>1887</v>
      </c>
      <c r="I19" s="1">
        <v>5858</v>
      </c>
      <c r="J19" s="1">
        <v>4054</v>
      </c>
      <c r="K19">
        <f t="shared" si="4"/>
        <v>232839</v>
      </c>
      <c r="M19" s="289">
        <v>0</v>
      </c>
      <c r="N19" s="289">
        <v>41794</v>
      </c>
      <c r="O19" s="289">
        <v>521</v>
      </c>
      <c r="P19" s="274">
        <f>N19/Production2!N19</f>
        <v>25.804977741555067</v>
      </c>
      <c r="Q19" s="274" t="e">
        <f>O19/Production2!Q19</f>
        <v>#DIV/0!</v>
      </c>
      <c r="R19" s="289">
        <v>62922</v>
      </c>
      <c r="S19" s="289">
        <v>47122</v>
      </c>
      <c r="T19" s="275">
        <f>R19/'Daily CEM-1'!AX20</f>
        <v>55.194736842105264</v>
      </c>
      <c r="U19" s="275">
        <f>S19/'Daily  CEM - 2'!AU20</f>
        <v>37.547410358565735</v>
      </c>
      <c r="V19" s="275">
        <f>F19/Production2!U19</f>
        <v>61.063636363636363</v>
      </c>
      <c r="W19" s="275">
        <f>E19/Production2!Z19</f>
        <v>37.793684210526315</v>
      </c>
      <c r="AA19" s="280">
        <v>17</v>
      </c>
      <c r="AB19" s="280">
        <f>Clinker!EK19</f>
        <v>1425</v>
      </c>
      <c r="AC19" s="280">
        <f>Production2!V19</f>
        <v>222</v>
      </c>
      <c r="AD19" s="281">
        <f>'17'!$Q$53</f>
        <v>5416</v>
      </c>
      <c r="AE19" s="281">
        <f>'17'!$Q$54</f>
        <v>843.75578947368422</v>
      </c>
      <c r="AH19" s="52">
        <f>Production2!V19/Production2!Z19</f>
        <v>0.15578947368421053</v>
      </c>
    </row>
    <row r="20" spans="1:34">
      <c r="A20">
        <v>18</v>
      </c>
      <c r="B20" s="1">
        <v>1393</v>
      </c>
      <c r="C20" s="274">
        <f t="shared" si="1"/>
        <v>52431</v>
      </c>
      <c r="D20" s="274">
        <v>0</v>
      </c>
      <c r="E20" s="1">
        <v>52866</v>
      </c>
      <c r="F20" s="1">
        <v>12758</v>
      </c>
      <c r="G20" s="274">
        <f t="shared" si="0"/>
        <v>112313</v>
      </c>
      <c r="H20" s="1">
        <v>2109</v>
      </c>
      <c r="I20" s="1">
        <v>6666</v>
      </c>
      <c r="J20" s="1">
        <v>4526</v>
      </c>
      <c r="K20">
        <f t="shared" si="4"/>
        <v>245062</v>
      </c>
      <c r="M20" s="289">
        <v>0</v>
      </c>
      <c r="N20" s="289">
        <v>52306</v>
      </c>
      <c r="O20" s="289">
        <v>125</v>
      </c>
      <c r="P20" s="274">
        <f>N20/Production2!N20</f>
        <v>25.138171996501246</v>
      </c>
      <c r="Q20" s="274" t="e">
        <f>O20/Production2!Q20</f>
        <v>#DIV/0!</v>
      </c>
      <c r="R20" s="289">
        <v>65707</v>
      </c>
      <c r="S20" s="289">
        <v>46606</v>
      </c>
      <c r="T20" s="275">
        <f>R20/'Daily CEM-1'!AX21</f>
        <v>41.586708860759494</v>
      </c>
      <c r="U20" s="275">
        <f>S20/'Daily  CEM - 2'!AU21</f>
        <v>47.076767676767673</v>
      </c>
      <c r="V20" s="275">
        <f>F20/Production2!U20</f>
        <v>59.616822429906541</v>
      </c>
      <c r="W20" s="275">
        <f>E20/Production2!Z20</f>
        <v>39.159999999999997</v>
      </c>
      <c r="AA20" s="280">
        <v>18</v>
      </c>
      <c r="AB20" s="280">
        <f>Clinker!EK20</f>
        <v>1350</v>
      </c>
      <c r="AC20" s="280">
        <f>Production2!V20</f>
        <v>209</v>
      </c>
      <c r="AD20" s="281">
        <f>'18'!$Q$53</f>
        <v>5435</v>
      </c>
      <c r="AE20" s="281">
        <f>'18'!$Q$54</f>
        <v>841.41851851851857</v>
      </c>
      <c r="AH20" s="52">
        <f>Production2!V20/Production2!Z20</f>
        <v>0.15481481481481482</v>
      </c>
    </row>
    <row r="21" spans="1:34">
      <c r="A21">
        <v>19</v>
      </c>
      <c r="B21" s="1">
        <v>1763</v>
      </c>
      <c r="C21" s="274">
        <f t="shared" si="1"/>
        <v>52287</v>
      </c>
      <c r="D21" s="274">
        <v>0</v>
      </c>
      <c r="E21" s="1">
        <v>52485</v>
      </c>
      <c r="F21" s="1">
        <v>12504</v>
      </c>
      <c r="G21" s="274">
        <f t="shared" si="0"/>
        <v>116865</v>
      </c>
      <c r="H21" s="1">
        <v>2159</v>
      </c>
      <c r="I21" s="1">
        <v>7999</v>
      </c>
      <c r="J21" s="1">
        <v>3919</v>
      </c>
      <c r="K21">
        <f t="shared" si="4"/>
        <v>249981</v>
      </c>
      <c r="M21" s="289">
        <v>0</v>
      </c>
      <c r="N21" s="289">
        <v>52233</v>
      </c>
      <c r="O21" s="289">
        <v>54</v>
      </c>
      <c r="P21" s="274">
        <f>N21/Production2!N21</f>
        <v>27.588337822848995</v>
      </c>
      <c r="Q21" s="274" t="e">
        <f>O21/Production2!Q21</f>
        <v>#DIV/0!</v>
      </c>
      <c r="R21" s="289">
        <v>64813</v>
      </c>
      <c r="S21" s="289">
        <v>52052</v>
      </c>
      <c r="T21" s="275">
        <f>R21/'Daily CEM-1'!AX22</f>
        <v>47.903178122690321</v>
      </c>
      <c r="U21" s="275">
        <f>S21/'Daily  CEM - 2'!AU22</f>
        <v>52.052</v>
      </c>
      <c r="V21" s="275">
        <f>F21/Production2!U21</f>
        <v>58.70422535211268</v>
      </c>
      <c r="W21" s="275">
        <f>E21/Production2!Z21</f>
        <v>39.314606741573037</v>
      </c>
      <c r="AA21" s="280">
        <v>19</v>
      </c>
      <c r="AB21" s="280">
        <f>Clinker!EK21</f>
        <v>1335</v>
      </c>
      <c r="AC21" s="280">
        <f>Production2!V21</f>
        <v>206</v>
      </c>
      <c r="AD21" s="281">
        <f>'19'!$Q$53</f>
        <v>5546</v>
      </c>
      <c r="AE21" s="281">
        <f>'19'!$Q$54</f>
        <v>855.78726591760312</v>
      </c>
      <c r="AH21" s="52">
        <f>Production2!V21/Production2!Z21</f>
        <v>0.15430711610486891</v>
      </c>
    </row>
    <row r="22" spans="1:34">
      <c r="A22">
        <v>20</v>
      </c>
      <c r="B22" s="1">
        <v>1097</v>
      </c>
      <c r="C22" s="274">
        <f t="shared" si="1"/>
        <v>42790</v>
      </c>
      <c r="D22" s="274">
        <v>0</v>
      </c>
      <c r="E22" s="1">
        <v>52601</v>
      </c>
      <c r="F22" s="1">
        <v>12664</v>
      </c>
      <c r="G22" s="274">
        <f t="shared" si="0"/>
        <v>117200</v>
      </c>
      <c r="H22" s="1">
        <v>2031</v>
      </c>
      <c r="I22" s="1">
        <v>7865</v>
      </c>
      <c r="J22" s="1">
        <v>3064</v>
      </c>
      <c r="K22">
        <f t="shared" si="4"/>
        <v>239312</v>
      </c>
      <c r="M22" s="289">
        <v>0</v>
      </c>
      <c r="N22" s="289">
        <v>42724</v>
      </c>
      <c r="O22" s="289">
        <v>66</v>
      </c>
      <c r="P22" s="274">
        <f>N22/Production2!N22</f>
        <v>26.501420472167428</v>
      </c>
      <c r="Q22" s="274" t="e">
        <f>O22/Production2!Q22</f>
        <v>#DIV/0!</v>
      </c>
      <c r="R22" s="289">
        <v>65545</v>
      </c>
      <c r="S22" s="289">
        <v>51655</v>
      </c>
      <c r="T22" s="275">
        <f>R22/'Daily CEM-1'!AX23</f>
        <v>47.019368723098992</v>
      </c>
      <c r="U22" s="275">
        <f>S22/'Daily  CEM - 2'!AU23</f>
        <v>36.686789772727273</v>
      </c>
      <c r="V22" s="275">
        <f>F22/Production2!U22</f>
        <v>61.775609756097559</v>
      </c>
      <c r="W22" s="275">
        <f>E22/Production2!Z22</f>
        <v>41.418110236220471</v>
      </c>
      <c r="AA22" s="280">
        <v>20</v>
      </c>
      <c r="AB22" s="280">
        <f>Clinker!EK22</f>
        <v>1270</v>
      </c>
      <c r="AC22" s="280">
        <f>Production2!V22</f>
        <v>208</v>
      </c>
      <c r="AD22" s="281">
        <f>'20'!Q53</f>
        <v>5320</v>
      </c>
      <c r="AE22" s="281">
        <f>'20'!$Q$54</f>
        <v>871.30708661417316</v>
      </c>
      <c r="AH22" s="52">
        <f>'20'!Q52</f>
        <v>16.377952755905511</v>
      </c>
    </row>
    <row r="23" spans="1:34">
      <c r="A23">
        <v>21</v>
      </c>
      <c r="B23" s="1">
        <v>1811</v>
      </c>
      <c r="C23" s="274">
        <f t="shared" si="1"/>
        <v>47133</v>
      </c>
      <c r="D23" s="274">
        <v>0</v>
      </c>
      <c r="E23" s="1">
        <v>45581</v>
      </c>
      <c r="F23" s="1">
        <v>11135</v>
      </c>
      <c r="G23" s="274">
        <f t="shared" si="0"/>
        <v>114213</v>
      </c>
      <c r="H23" s="1">
        <v>1992</v>
      </c>
      <c r="I23" s="1">
        <v>7697</v>
      </c>
      <c r="J23" s="1">
        <v>3481</v>
      </c>
      <c r="K23">
        <f t="shared" si="4"/>
        <v>233043</v>
      </c>
      <c r="M23" s="289">
        <v>0</v>
      </c>
      <c r="N23" s="289">
        <v>47045</v>
      </c>
      <c r="O23" s="289">
        <v>88</v>
      </c>
      <c r="P23" s="274">
        <f>N23/Production2!N23</f>
        <v>25.992287122367344</v>
      </c>
      <c r="Q23" s="274" t="e">
        <f>O23/Production2!Q23</f>
        <v>#DIV/0!</v>
      </c>
      <c r="R23" s="289">
        <v>63816</v>
      </c>
      <c r="S23" s="289">
        <v>50397</v>
      </c>
      <c r="T23" s="275">
        <f>R23/'Daily CEM-1'!AX24</f>
        <v>57.491891891891889</v>
      </c>
      <c r="U23" s="275">
        <f>S23/'Daily  CEM - 2'!AU24</f>
        <v>35.490845070422537</v>
      </c>
      <c r="V23" s="275">
        <f>F23/Production2!U23</f>
        <v>58.60526315789474</v>
      </c>
      <c r="W23" s="275">
        <f>E23/Production2!Z23</f>
        <v>39.293965517241382</v>
      </c>
      <c r="AA23" s="280">
        <v>21</v>
      </c>
      <c r="AB23" s="280">
        <f>Clinker!EK23</f>
        <v>1160</v>
      </c>
      <c r="AC23" s="280">
        <f>Production2!V23</f>
        <v>190</v>
      </c>
      <c r="AD23" s="281">
        <f>'21'!$Q$53</f>
        <v>5420</v>
      </c>
      <c r="AE23" s="281">
        <f>'21'!Q54</f>
        <v>887.75862068965523</v>
      </c>
      <c r="AH23" s="52" t="e">
        <f>#REF!</f>
        <v>#REF!</v>
      </c>
    </row>
    <row r="24" spans="1:34">
      <c r="A24">
        <v>22</v>
      </c>
      <c r="B24" s="1">
        <v>1717</v>
      </c>
      <c r="C24" s="274">
        <f t="shared" ref="C24:C25" si="5">N24+O24</f>
        <v>41457</v>
      </c>
      <c r="D24" s="274">
        <v>0</v>
      </c>
      <c r="E24" s="1">
        <v>43246</v>
      </c>
      <c r="F24" s="1">
        <v>10642</v>
      </c>
      <c r="G24" s="274">
        <f t="shared" ref="G24:G25" si="6">R24+S24</f>
        <v>120269</v>
      </c>
      <c r="H24" s="1">
        <v>1919</v>
      </c>
      <c r="I24" s="1">
        <v>8003</v>
      </c>
      <c r="J24" s="1">
        <v>3659</v>
      </c>
      <c r="K24">
        <f t="shared" ref="K24" si="7">SUM(B24:J24)</f>
        <v>230912</v>
      </c>
      <c r="M24" s="289">
        <v>0</v>
      </c>
      <c r="N24" s="289">
        <v>41102</v>
      </c>
      <c r="O24" s="289">
        <v>355</v>
      </c>
      <c r="P24" s="274">
        <f>N24/Production2!N24</f>
        <v>27.226538953253446</v>
      </c>
      <c r="Q24" s="274" t="e">
        <f>O24/Production2!Q24</f>
        <v>#DIV/0!</v>
      </c>
      <c r="R24" s="289">
        <v>67244</v>
      </c>
      <c r="S24" s="289">
        <v>53025</v>
      </c>
      <c r="T24" s="275">
        <f>R24/'Daily CEM-1'!AX25</f>
        <v>51.607060629316962</v>
      </c>
      <c r="U24" s="275">
        <f>S24/'Daily  CEM - 2'!AU25</f>
        <v>37.341549295774648</v>
      </c>
      <c r="V24" s="275">
        <f>F24/Production2!U24</f>
        <v>69.967126890203815</v>
      </c>
      <c r="W24" s="275">
        <f>E24/Production2!Z24</f>
        <v>43.030845771144278</v>
      </c>
      <c r="AA24" s="280">
        <v>22</v>
      </c>
      <c r="AB24" s="280">
        <f>Clinker!EK24</f>
        <v>1005</v>
      </c>
      <c r="AC24" s="280">
        <f>Production2!V24</f>
        <v>161</v>
      </c>
      <c r="AD24" s="281">
        <f>'22'!$Q$53</f>
        <v>5355</v>
      </c>
      <c r="AE24" s="281">
        <f>'22'!$Q$54</f>
        <v>857.8656716417911</v>
      </c>
      <c r="AH24" s="52" t="e">
        <f>#REF!</f>
        <v>#REF!</v>
      </c>
    </row>
    <row r="25" spans="1:34">
      <c r="A25">
        <v>23</v>
      </c>
      <c r="B25" s="1">
        <v>1714</v>
      </c>
      <c r="C25" s="274">
        <f t="shared" si="5"/>
        <v>3895</v>
      </c>
      <c r="D25" s="274">
        <v>0</v>
      </c>
      <c r="E25" s="1">
        <v>16228</v>
      </c>
      <c r="F25" s="1">
        <v>2663</v>
      </c>
      <c r="G25" s="274">
        <f t="shared" si="6"/>
        <v>115619</v>
      </c>
      <c r="H25" s="1">
        <v>1336</v>
      </c>
      <c r="I25" s="1">
        <v>7671</v>
      </c>
      <c r="J25" s="1">
        <v>3755</v>
      </c>
      <c r="K25">
        <f>SUM(B25:J25)</f>
        <v>152881</v>
      </c>
      <c r="M25" s="289">
        <v>0</v>
      </c>
      <c r="N25" s="289">
        <v>3270</v>
      </c>
      <c r="O25" s="289">
        <v>625</v>
      </c>
      <c r="P25" s="274" t="e">
        <f>N25/Production2!N25</f>
        <v>#DIV/0!</v>
      </c>
      <c r="Q25" s="274" t="e">
        <f>O25/Production2!Q25</f>
        <v>#DIV/0!</v>
      </c>
      <c r="R25" s="289">
        <v>64151</v>
      </c>
      <c r="S25" s="289">
        <v>51468</v>
      </c>
      <c r="T25" s="275">
        <f>R25/'Daily CEM-1'!AX26</f>
        <v>42.204605263157895</v>
      </c>
      <c r="U25" s="275">
        <f>S25/'Daily  CEM - 2'!AU26</f>
        <v>46.118279569892472</v>
      </c>
      <c r="V25" s="275">
        <f>F25/Production2!U25</f>
        <v>211.34920634920636</v>
      </c>
      <c r="W25" s="275">
        <f>E25/Production2!Z25</f>
        <v>216.37333333333333</v>
      </c>
      <c r="AA25" s="280">
        <v>23</v>
      </c>
      <c r="AB25" s="280">
        <f>Clinker!EK25</f>
        <v>75</v>
      </c>
      <c r="AC25" s="280">
        <f>Production2!V25</f>
        <v>17</v>
      </c>
      <c r="AD25" s="281">
        <f>'23'!$Q$53</f>
        <v>0</v>
      </c>
      <c r="AE25" s="281">
        <f>'23'!$Q$54</f>
        <v>0</v>
      </c>
      <c r="AH25" s="52" t="e">
        <f>#REF!</f>
        <v>#REF!</v>
      </c>
    </row>
    <row r="26" spans="1:34">
      <c r="A26">
        <v>24</v>
      </c>
      <c r="B26" s="1">
        <v>1303</v>
      </c>
      <c r="C26" s="274">
        <f t="shared" si="1"/>
        <v>31900</v>
      </c>
      <c r="D26" s="274">
        <v>0</v>
      </c>
      <c r="E26" s="1">
        <v>32706</v>
      </c>
      <c r="F26" s="1">
        <v>8159</v>
      </c>
      <c r="G26" s="274">
        <f t="shared" si="0"/>
        <v>118353</v>
      </c>
      <c r="H26" s="1">
        <v>1773</v>
      </c>
      <c r="I26" s="1">
        <v>7506</v>
      </c>
      <c r="J26" s="1">
        <v>4087</v>
      </c>
      <c r="K26">
        <f>SUM(B26:J26)</f>
        <v>205787</v>
      </c>
      <c r="M26" s="289">
        <v>0</v>
      </c>
      <c r="N26" s="289">
        <v>31822</v>
      </c>
      <c r="O26" s="289">
        <v>78</v>
      </c>
      <c r="P26" s="274">
        <f>N26/Production2!N26</f>
        <v>20.936628243591766</v>
      </c>
      <c r="Q26" s="274" t="e">
        <f>O26/Production2!Q26</f>
        <v>#DIV/0!</v>
      </c>
      <c r="R26" s="289">
        <v>66192</v>
      </c>
      <c r="S26" s="289">
        <v>52161</v>
      </c>
      <c r="T26" s="275">
        <f>R26/'Daily CEM-1'!AX27</f>
        <v>42.981818181818184</v>
      </c>
      <c r="U26" s="275">
        <f>S26/'Daily  CEM - 2'!AU27</f>
        <v>51.138235294117649</v>
      </c>
      <c r="V26" s="275">
        <f>F26/Production2!U26</f>
        <v>51.803174603174604</v>
      </c>
      <c r="W26" s="275">
        <f>E26/Production2!Z26</f>
        <v>43.607999999999997</v>
      </c>
      <c r="AA26" s="280">
        <v>24</v>
      </c>
      <c r="AB26" s="280">
        <f>Clinker!EK26</f>
        <v>750</v>
      </c>
      <c r="AC26" s="280">
        <f>Production2!V26</f>
        <v>165</v>
      </c>
      <c r="AD26" s="281">
        <f>'24'!$Q$53</f>
        <v>5438</v>
      </c>
      <c r="AE26" s="281">
        <f>'24'!$Q$54</f>
        <v>1196.3599999999999</v>
      </c>
      <c r="AH26" s="52" t="e">
        <f>#REF!</f>
        <v>#REF!</v>
      </c>
    </row>
    <row r="27" spans="1:34">
      <c r="A27">
        <v>25</v>
      </c>
      <c r="B27" s="1">
        <v>1352</v>
      </c>
      <c r="C27" s="274">
        <f t="shared" si="1"/>
        <v>63878</v>
      </c>
      <c r="D27" s="274">
        <v>0</v>
      </c>
      <c r="E27" s="1">
        <v>54700</v>
      </c>
      <c r="F27" s="1">
        <v>13922</v>
      </c>
      <c r="G27" s="274">
        <f t="shared" si="0"/>
        <v>116006</v>
      </c>
      <c r="H27" s="1">
        <v>2335</v>
      </c>
      <c r="I27" s="1">
        <v>7863</v>
      </c>
      <c r="J27" s="1">
        <v>4118</v>
      </c>
      <c r="K27">
        <f t="shared" si="4"/>
        <v>264174</v>
      </c>
      <c r="M27" s="289">
        <v>0</v>
      </c>
      <c r="N27" s="289">
        <v>55849</v>
      </c>
      <c r="O27" s="289">
        <v>8029</v>
      </c>
      <c r="P27" s="274">
        <f>N27/Production2!N27</f>
        <v>25.021953405017921</v>
      </c>
      <c r="Q27" s="274">
        <f>O27/Production2!Q27</f>
        <v>41.19337129957416</v>
      </c>
      <c r="R27" s="289">
        <v>65744</v>
      </c>
      <c r="S27" s="289">
        <v>50262</v>
      </c>
      <c r="T27" s="275">
        <f>R27/'Daily CEM-1'!AX28</f>
        <v>41.40050377833753</v>
      </c>
      <c r="U27" s="275">
        <f>S27/'Daily  CEM - 2'!AU28</f>
        <v>50.111665004985042</v>
      </c>
      <c r="V27" s="275">
        <f>F27/Production2!U27</f>
        <v>56.870915032679733</v>
      </c>
      <c r="W27" s="275">
        <f>E27/Production2!Z27</f>
        <v>35.868852459016395</v>
      </c>
      <c r="AA27" s="280">
        <v>25</v>
      </c>
      <c r="AB27" s="280">
        <f>Clinker!EK27</f>
        <v>1525</v>
      </c>
      <c r="AC27" s="280">
        <f>Production2!V27</f>
        <v>230</v>
      </c>
      <c r="AD27" s="281">
        <f>'25'!$Q$53</f>
        <v>5379</v>
      </c>
      <c r="AE27" s="281">
        <f>'25'!$Q$54</f>
        <v>811.25901639344272</v>
      </c>
      <c r="AH27" s="52" t="e">
        <f>#REF!</f>
        <v>#REF!</v>
      </c>
    </row>
    <row r="28" spans="1:34">
      <c r="A28">
        <v>26</v>
      </c>
      <c r="B28" s="1">
        <v>1337</v>
      </c>
      <c r="C28" s="274">
        <f t="shared" si="1"/>
        <v>66080</v>
      </c>
      <c r="D28" s="274">
        <v>0</v>
      </c>
      <c r="E28" s="1">
        <v>54712</v>
      </c>
      <c r="F28" s="1">
        <v>12612</v>
      </c>
      <c r="G28" s="274">
        <f t="shared" si="0"/>
        <v>113883</v>
      </c>
      <c r="H28" s="1">
        <v>2193</v>
      </c>
      <c r="I28" s="1">
        <v>7696</v>
      </c>
      <c r="J28" s="1">
        <v>4241</v>
      </c>
      <c r="K28">
        <f t="shared" si="4"/>
        <v>262754</v>
      </c>
      <c r="M28" s="289">
        <v>0</v>
      </c>
      <c r="N28" s="289">
        <v>57131</v>
      </c>
      <c r="O28" s="289">
        <v>8949</v>
      </c>
      <c r="P28" s="274">
        <f>N28/Production2!N28</f>
        <v>24.625431034482759</v>
      </c>
      <c r="Q28" s="274">
        <f>O28/Production2!Q28</f>
        <v>50.777349069450743</v>
      </c>
      <c r="R28" s="289">
        <v>63331</v>
      </c>
      <c r="S28" s="289">
        <v>50552</v>
      </c>
      <c r="T28" s="275">
        <f>R28/'Daily CEM-1'!AX29</f>
        <v>41.177503250975292</v>
      </c>
      <c r="U28" s="275">
        <f>S28/'Daily  CEM - 2'!AU29</f>
        <v>49.3671875</v>
      </c>
      <c r="V28" s="275">
        <f>F28/Production2!U28</f>
        <v>52.55</v>
      </c>
      <c r="W28" s="275">
        <f>E28/Production2!Z28</f>
        <v>35.298064516129031</v>
      </c>
      <c r="AA28" s="280">
        <v>26</v>
      </c>
      <c r="AB28" s="280">
        <f>Clinker!EK28</f>
        <v>1550</v>
      </c>
      <c r="AC28" s="280">
        <f>Production2!V28</f>
        <v>238</v>
      </c>
      <c r="AD28" s="281">
        <f>'26'!$Q$53</f>
        <v>5511</v>
      </c>
      <c r="AE28" s="281">
        <f>'26'!$Q$54</f>
        <v>846.20516129032262</v>
      </c>
      <c r="AH28" s="52" t="e">
        <f>#REF!</f>
        <v>#REF!</v>
      </c>
    </row>
    <row r="29" spans="1:34">
      <c r="A29">
        <v>27</v>
      </c>
      <c r="B29" s="1">
        <v>1333</v>
      </c>
      <c r="C29" s="274">
        <f t="shared" si="1"/>
        <v>62236</v>
      </c>
      <c r="D29" s="274">
        <v>0</v>
      </c>
      <c r="E29" s="1">
        <v>52712</v>
      </c>
      <c r="F29" s="1">
        <v>13600</v>
      </c>
      <c r="G29" s="274">
        <f t="shared" si="0"/>
        <v>100053</v>
      </c>
      <c r="H29" s="1">
        <v>2108</v>
      </c>
      <c r="I29" s="1">
        <v>7669</v>
      </c>
      <c r="J29" s="1">
        <v>4019</v>
      </c>
      <c r="K29">
        <f>SUM(B29:J29)</f>
        <v>243730</v>
      </c>
      <c r="M29" s="289">
        <v>0</v>
      </c>
      <c r="N29" s="289">
        <v>53585</v>
      </c>
      <c r="O29" s="289">
        <v>8651</v>
      </c>
      <c r="P29" s="274">
        <f>N29/Production2!N29</f>
        <v>28.054973821989527</v>
      </c>
      <c r="Q29" s="274">
        <f>O29/Production2!Q29</f>
        <v>61.665122246774544</v>
      </c>
      <c r="R29" s="289">
        <v>53600</v>
      </c>
      <c r="S29" s="289">
        <v>46453</v>
      </c>
      <c r="T29" s="275">
        <f>R29/'Daily CEM-1'!AX30</f>
        <v>56.184486373165619</v>
      </c>
      <c r="U29" s="275">
        <f>S29/'Daily  CEM - 2'!AU30</f>
        <v>46.084325396825399</v>
      </c>
      <c r="V29" s="275">
        <f>F29/Production2!U29</f>
        <v>61.81818181818182</v>
      </c>
      <c r="W29" s="275">
        <f>E29/Production2!Z29</f>
        <v>35.001328021248341</v>
      </c>
      <c r="AA29" s="280">
        <v>27</v>
      </c>
      <c r="AB29" s="280">
        <f>Clinker!EK29</f>
        <v>1506</v>
      </c>
      <c r="AC29" s="280">
        <f>Production2!V29</f>
        <v>226</v>
      </c>
      <c r="AD29" s="281">
        <f>'27'!$Q$53</f>
        <v>5463</v>
      </c>
      <c r="AE29" s="281">
        <f>'27'!$Q$54</f>
        <v>819.81274900398409</v>
      </c>
      <c r="AH29" s="52" t="e">
        <f>#REF!</f>
        <v>#REF!</v>
      </c>
    </row>
    <row r="30" spans="1:34">
      <c r="A30">
        <v>28</v>
      </c>
      <c r="B30" s="1">
        <v>1658</v>
      </c>
      <c r="C30" s="274">
        <f t="shared" si="1"/>
        <v>59052</v>
      </c>
      <c r="D30" s="274">
        <v>0</v>
      </c>
      <c r="E30" s="1">
        <v>51010</v>
      </c>
      <c r="F30" s="1">
        <v>12743</v>
      </c>
      <c r="G30" s="274">
        <f>R30+S30</f>
        <v>103153</v>
      </c>
      <c r="H30" s="1">
        <v>2048</v>
      </c>
      <c r="I30" s="1">
        <v>7933</v>
      </c>
      <c r="J30" s="1">
        <v>3904</v>
      </c>
      <c r="K30">
        <f>SUM(B30:J30)</f>
        <v>241501</v>
      </c>
      <c r="M30" s="289">
        <v>0</v>
      </c>
      <c r="N30" s="289">
        <v>51433</v>
      </c>
      <c r="O30" s="289">
        <v>7619</v>
      </c>
      <c r="P30" s="274">
        <f>N30/Production2!N30</f>
        <v>23.272850678733032</v>
      </c>
      <c r="Q30" s="274">
        <f>O30/Production2!Q30</f>
        <v>44.012477615389052</v>
      </c>
      <c r="R30" s="289">
        <v>52340</v>
      </c>
      <c r="S30" s="289">
        <v>50813</v>
      </c>
      <c r="T30" s="275">
        <f>R30/'Daily CEM-1'!AX31</f>
        <v>43.835845896147404</v>
      </c>
      <c r="U30" s="275">
        <f>S30/'Daily  CEM - 2'!AU31</f>
        <v>41.311382113821139</v>
      </c>
      <c r="V30" s="275">
        <f>F30/Production2!U30</f>
        <v>60.680952380952384</v>
      </c>
      <c r="W30" s="275">
        <f>E30/Production2!Z30</f>
        <v>37.23357664233577</v>
      </c>
      <c r="AA30" s="280">
        <v>28</v>
      </c>
      <c r="AB30" s="280">
        <f>Clinker!EK30</f>
        <v>1370</v>
      </c>
      <c r="AC30" s="280">
        <f>Production2!V30</f>
        <v>212</v>
      </c>
      <c r="AD30" s="281">
        <f>'28'!$Q$53</f>
        <v>5478</v>
      </c>
      <c r="AE30" s="281">
        <f>'28'!$Q$54</f>
        <v>847.69051094890517</v>
      </c>
      <c r="AH30" s="52" t="e">
        <f>#REF!</f>
        <v>#REF!</v>
      </c>
    </row>
    <row r="31" spans="1:34">
      <c r="A31">
        <v>29</v>
      </c>
      <c r="B31" s="1">
        <v>1720</v>
      </c>
      <c r="C31" s="274">
        <f t="shared" si="1"/>
        <v>69785</v>
      </c>
      <c r="D31" s="274">
        <v>0</v>
      </c>
      <c r="E31" s="1">
        <v>56655</v>
      </c>
      <c r="F31" s="1">
        <v>12311</v>
      </c>
      <c r="G31" s="274">
        <f t="shared" si="0"/>
        <v>101603</v>
      </c>
      <c r="H31" s="1">
        <v>2085</v>
      </c>
      <c r="I31" s="1">
        <v>7908</v>
      </c>
      <c r="J31" s="1">
        <v>4444</v>
      </c>
      <c r="K31">
        <f t="shared" si="4"/>
        <v>256511</v>
      </c>
      <c r="M31" s="289">
        <v>0</v>
      </c>
      <c r="N31" s="289">
        <v>61447</v>
      </c>
      <c r="O31" s="289">
        <v>8338</v>
      </c>
      <c r="P31" s="274">
        <f>N31/Production2!N31</f>
        <v>26.485775862068966</v>
      </c>
      <c r="Q31" s="274">
        <f>O31/Production2!Q31</f>
        <v>54.931154885038545</v>
      </c>
      <c r="R31" s="289">
        <v>56080</v>
      </c>
      <c r="S31" s="289">
        <v>45523</v>
      </c>
      <c r="T31" s="275">
        <f>R31/'Daily CEM-1'!AX32</f>
        <v>49.366197183098592</v>
      </c>
      <c r="U31" s="275">
        <f>S31/'Daily  CEM - 2'!AU32</f>
        <v>45.890120967741936</v>
      </c>
      <c r="V31" s="275">
        <f>F31/Production2!U31</f>
        <v>55.605239385727188</v>
      </c>
      <c r="W31" s="275">
        <f>E31/Production2!Z31</f>
        <v>38.023489932885909</v>
      </c>
      <c r="AA31" s="280">
        <v>29</v>
      </c>
      <c r="AB31" s="280">
        <f>Clinker!EK31</f>
        <v>1490</v>
      </c>
      <c r="AC31" s="280">
        <f>Production2!V31</f>
        <v>226</v>
      </c>
      <c r="AD31" s="281">
        <f>'29'!$Q$53</f>
        <v>5542</v>
      </c>
      <c r="AE31" s="281">
        <f>'29'!$Q$54</f>
        <v>840.59865771812076</v>
      </c>
      <c r="AH31" s="52" t="e">
        <f>#REF!</f>
        <v>#REF!</v>
      </c>
    </row>
    <row r="32" spans="1:34">
      <c r="A32">
        <v>30</v>
      </c>
      <c r="B32" s="1">
        <v>1957</v>
      </c>
      <c r="C32" s="274">
        <f t="shared" si="1"/>
        <v>44943</v>
      </c>
      <c r="D32" s="274">
        <v>0</v>
      </c>
      <c r="E32" s="1">
        <v>34810</v>
      </c>
      <c r="F32" s="1">
        <v>10642</v>
      </c>
      <c r="G32" s="274">
        <f t="shared" si="0"/>
        <v>113396</v>
      </c>
      <c r="H32" s="1">
        <v>1882</v>
      </c>
      <c r="I32" s="1">
        <v>6966</v>
      </c>
      <c r="J32" s="1">
        <v>3601</v>
      </c>
      <c r="K32">
        <f t="shared" si="4"/>
        <v>218197</v>
      </c>
      <c r="M32" s="289">
        <v>0</v>
      </c>
      <c r="N32" s="289">
        <v>41102</v>
      </c>
      <c r="O32" s="289">
        <v>3841</v>
      </c>
      <c r="P32" s="274">
        <f>N32/Production2!N32</f>
        <v>27.846883468834687</v>
      </c>
      <c r="Q32" s="274">
        <f>O32/Production2!Q32</f>
        <v>43.519147971901198</v>
      </c>
      <c r="R32" s="289">
        <v>60623</v>
      </c>
      <c r="S32" s="289">
        <v>52773</v>
      </c>
      <c r="T32" s="275">
        <f>R32/'Daily CEM-1'!AX33</f>
        <v>41.808965517241383</v>
      </c>
      <c r="U32" s="275">
        <f>S32/'Daily  CEM - 2'!AU33</f>
        <v>75.39</v>
      </c>
      <c r="V32" s="275">
        <f>F32/Production2!U32</f>
        <v>69.555555555555557</v>
      </c>
      <c r="W32" s="275">
        <f>E32/Production2!Z32</f>
        <v>40.952941176470588</v>
      </c>
      <c r="AA32" s="280">
        <v>30</v>
      </c>
      <c r="AB32" s="280">
        <f>Clinker!EK32</f>
        <v>850</v>
      </c>
      <c r="AC32" s="280">
        <f>Production2!V32</f>
        <v>144</v>
      </c>
      <c r="AD32" s="281">
        <f>'30'!$Q$53</f>
        <v>5420</v>
      </c>
      <c r="AE32" s="281">
        <f>'30'!$Q$54</f>
        <v>918.21176470588239</v>
      </c>
      <c r="AH32" s="52" t="e">
        <f>#REF!</f>
        <v>#REF!</v>
      </c>
    </row>
    <row r="33" spans="1:46">
      <c r="A33">
        <v>31</v>
      </c>
      <c r="B33" s="1">
        <v>0</v>
      </c>
      <c r="C33" s="274">
        <f t="shared" si="1"/>
        <v>0</v>
      </c>
      <c r="D33" s="274">
        <v>0</v>
      </c>
      <c r="E33" s="1">
        <v>0</v>
      </c>
      <c r="F33" s="1">
        <v>0</v>
      </c>
      <c r="G33" s="274">
        <f t="shared" si="0"/>
        <v>0</v>
      </c>
      <c r="H33" s="1">
        <v>0</v>
      </c>
      <c r="I33" s="1">
        <v>0</v>
      </c>
      <c r="J33" s="1">
        <v>0</v>
      </c>
      <c r="K33">
        <f t="shared" si="4"/>
        <v>0</v>
      </c>
      <c r="M33" s="289">
        <v>0</v>
      </c>
      <c r="N33" s="289">
        <v>0</v>
      </c>
      <c r="O33" s="289">
        <v>0</v>
      </c>
      <c r="P33" s="274" t="e">
        <f>N33/Production2!N33</f>
        <v>#DIV/0!</v>
      </c>
      <c r="Q33" s="274" t="e">
        <f>O33/Production2!Q33</f>
        <v>#DIV/0!</v>
      </c>
      <c r="R33" s="289">
        <v>0</v>
      </c>
      <c r="S33" s="289">
        <v>0</v>
      </c>
      <c r="T33" s="275" t="e">
        <f>R33/'Daily CEM-1'!AX34</f>
        <v>#DIV/0!</v>
      </c>
      <c r="U33" s="275" t="e">
        <f>S33/'Daily  CEM - 2'!AU34</f>
        <v>#DIV/0!</v>
      </c>
      <c r="V33" s="275" t="e">
        <f>F33/Production2!U33</f>
        <v>#DIV/0!</v>
      </c>
      <c r="W33" s="275" t="e">
        <f>E33/Production2!Z33</f>
        <v>#DIV/0!</v>
      </c>
      <c r="AA33" s="280" t="s">
        <v>162</v>
      </c>
      <c r="AB33" s="280">
        <f>SUM(AB3:AB32)</f>
        <v>40798</v>
      </c>
      <c r="AC33" s="280">
        <f>SUM(AC3:AC32)</f>
        <v>6377</v>
      </c>
      <c r="AD33" s="281">
        <f>AVERAGE(AD3:AD24,AD26:AD32)</f>
        <v>5450.5862068965516</v>
      </c>
      <c r="AE33" s="281">
        <f>(AC33/AB33)*AD33</f>
        <v>851.96304332024386</v>
      </c>
      <c r="AH33" s="52" t="e">
        <f>#REF!</f>
        <v>#REF!</v>
      </c>
    </row>
    <row r="34" spans="1:46">
      <c r="A34" s="17" t="s">
        <v>179</v>
      </c>
      <c r="B34" s="17">
        <f>SUM(B3:B33)</f>
        <v>49596</v>
      </c>
      <c r="C34" s="17">
        <f t="shared" ref="C34:K34" si="8">SUM(C3:C33)</f>
        <v>1636176</v>
      </c>
      <c r="D34" s="17"/>
      <c r="E34" s="17">
        <f t="shared" si="8"/>
        <v>1507682</v>
      </c>
      <c r="F34" s="17">
        <f t="shared" si="8"/>
        <v>365874</v>
      </c>
      <c r="G34" s="17">
        <f>SUM(G3:G33)</f>
        <v>3098496</v>
      </c>
      <c r="H34" s="17">
        <f t="shared" si="8"/>
        <v>60023</v>
      </c>
      <c r="I34" s="17">
        <f t="shared" si="8"/>
        <v>199919</v>
      </c>
      <c r="J34" s="17">
        <f t="shared" si="8"/>
        <v>122517</v>
      </c>
      <c r="K34" s="17">
        <f t="shared" si="8"/>
        <v>7040283</v>
      </c>
      <c r="L34" t="s">
        <v>27</v>
      </c>
      <c r="N34" s="17">
        <f>SUM(N3:N33)</f>
        <v>1474136</v>
      </c>
      <c r="O34" s="17">
        <f>SUM(O3:O33)</f>
        <v>162040</v>
      </c>
      <c r="P34" s="17">
        <f>N34/Production2!N34</f>
        <v>24.614486543095758</v>
      </c>
      <c r="Q34">
        <f>O34/Production2!Q34</f>
        <v>48.065970574276221</v>
      </c>
      <c r="R34">
        <f>SUM(R3:R33)</f>
        <v>1789863</v>
      </c>
      <c r="S34">
        <f>SUM(S3:S33)</f>
        <v>1308633</v>
      </c>
      <c r="T34">
        <f>R34/'Daily CEM-1'!AX40</f>
        <v>46.06637669223246</v>
      </c>
      <c r="U34">
        <f>S34/'Daily  CEM - 2'!AU41</f>
        <v>42.052540248722643</v>
      </c>
      <c r="AD34" s="52">
        <f>AVERAGE(AD3:AD24,AD26:AD32)</f>
        <v>5450.5862068965516</v>
      </c>
      <c r="AE34" s="52">
        <f>AD34*(Production2!V34/Production2!Z34)</f>
        <v>851.96304332024386</v>
      </c>
      <c r="AH34" s="52" t="e">
        <f>AVERAGE(AH3:AH25,AH27:AH33)</f>
        <v>#REF!</v>
      </c>
    </row>
    <row r="36" spans="1:46">
      <c r="A36" t="s">
        <v>180</v>
      </c>
      <c r="B36">
        <f>B34/Production2!D34</f>
        <v>0.57992136286898999</v>
      </c>
      <c r="C36">
        <f>C34/(Production2!N34+Production2!Q34)</f>
        <v>25.86424062158553</v>
      </c>
      <c r="E36">
        <f>E34/Production2!Z34</f>
        <v>36.954801705965977</v>
      </c>
      <c r="F36">
        <f>F34/Production2!U34</f>
        <v>57.293141246476658</v>
      </c>
    </row>
    <row r="37" spans="1:46">
      <c r="A37" t="s">
        <v>181</v>
      </c>
      <c r="B37">
        <f>B36*('30'!J9/'30'!G20)</f>
        <v>0.95306503894805894</v>
      </c>
      <c r="C37">
        <f>C36*1.55</f>
        <v>40.08957296345757</v>
      </c>
      <c r="E37">
        <f>E36</f>
        <v>36.954801705965977</v>
      </c>
      <c r="F37">
        <f>F36*(Production2!V34/Production2!Z34)</f>
        <v>8.9553007924109416</v>
      </c>
      <c r="J37">
        <f>SUM(B37:I37)</f>
        <v>86.952740500782554</v>
      </c>
      <c r="AA37">
        <v>794.94736842105249</v>
      </c>
      <c r="AB37">
        <v>794.94736842105249</v>
      </c>
      <c r="AC37">
        <v>809.3608695652174</v>
      </c>
      <c r="AD37">
        <v>807.18081395348838</v>
      </c>
      <c r="AE37">
        <v>760.84911242603539</v>
      </c>
      <c r="AF37">
        <v>770.6467836257309</v>
      </c>
      <c r="AG37">
        <v>796.54437869822493</v>
      </c>
      <c r="AH37">
        <v>793.07109826589601</v>
      </c>
      <c r="AI37">
        <v>795.79303797468344</v>
      </c>
      <c r="AJ37">
        <v>790.85679012345679</v>
      </c>
      <c r="AK37">
        <v>778.82000000000016</v>
      </c>
      <c r="AL37">
        <v>846.48674698795196</v>
      </c>
      <c r="AM37">
        <v>796.10557184750724</v>
      </c>
      <c r="AN37">
        <v>795.80887573964492</v>
      </c>
      <c r="AO37">
        <v>797.25301204819277</v>
      </c>
      <c r="AP37">
        <v>811.14074074074074</v>
      </c>
      <c r="AQ37">
        <v>798.53333333333342</v>
      </c>
      <c r="AR37">
        <v>794.31345029239776</v>
      </c>
      <c r="AS37">
        <v>792.61954022988505</v>
      </c>
      <c r="AT37">
        <v>793.10399999999993</v>
      </c>
    </row>
    <row r="38" spans="1:46">
      <c r="A38" t="s">
        <v>182</v>
      </c>
      <c r="B38">
        <f>B37*((Clinker!EL34+Clinker!EQ34)/Production2!CG34)</f>
        <v>0.75937583992124691</v>
      </c>
      <c r="C38">
        <f>C37*((Clinker!EL34+Clinker!EQ34)/Production2!CG34)</f>
        <v>31.942261962322196</v>
      </c>
      <c r="E38">
        <f>E37*((Clinker!EL34+Clinker!EQ34)/Production2!CG34)</f>
        <v>29.444563002295194</v>
      </c>
      <c r="F38">
        <f>F37*((Clinker!EL34+Clinker!EQ34)/Production2!CG34)</f>
        <v>7.1353357673159641</v>
      </c>
      <c r="G38">
        <f>G34/Production2!CG34</f>
        <v>39.810052420598211</v>
      </c>
      <c r="H38">
        <f>H34/Production2!CG34</f>
        <v>0.77118665844382772</v>
      </c>
      <c r="I38">
        <f>I34/Production2!CF34</f>
        <v>2.4598052619818902</v>
      </c>
      <c r="J38">
        <f>J34/Production2!CG34</f>
        <v>1.5741211840888067</v>
      </c>
      <c r="K38">
        <f>SUM(B38:J38)</f>
        <v>113.89670209696733</v>
      </c>
      <c r="AA38">
        <v>809.3608695652174</v>
      </c>
    </row>
    <row r="39" spans="1:46">
      <c r="AA39">
        <v>807.18081395348838</v>
      </c>
    </row>
    <row r="40" spans="1:46">
      <c r="AA40">
        <v>760.84911242603539</v>
      </c>
    </row>
    <row r="41" spans="1:46">
      <c r="AA41">
        <v>770.6467836257309</v>
      </c>
    </row>
    <row r="42" spans="1:46">
      <c r="AA42">
        <v>796.54437869822493</v>
      </c>
    </row>
    <row r="43" spans="1:46">
      <c r="AA43">
        <v>793.07109826589601</v>
      </c>
    </row>
    <row r="44" spans="1:46">
      <c r="AA44">
        <v>795.79303797468344</v>
      </c>
    </row>
    <row r="45" spans="1:46">
      <c r="AA45">
        <v>790.85679012345679</v>
      </c>
    </row>
    <row r="46" spans="1:46">
      <c r="AA46">
        <v>778.82000000000016</v>
      </c>
    </row>
    <row r="47" spans="1:46">
      <c r="AA47">
        <v>846.48674698795196</v>
      </c>
    </row>
    <row r="48" spans="1:46">
      <c r="AA48">
        <v>796.10557184750724</v>
      </c>
    </row>
    <row r="49" spans="27:27">
      <c r="AA49">
        <v>795.80887573964492</v>
      </c>
    </row>
    <row r="50" spans="27:27">
      <c r="AA50">
        <v>797.25301204819277</v>
      </c>
    </row>
    <row r="51" spans="27:27">
      <c r="AA51">
        <v>811.14074074074074</v>
      </c>
    </row>
    <row r="52" spans="27:27">
      <c r="AA52">
        <v>798.53333333333342</v>
      </c>
    </row>
    <row r="53" spans="27:27">
      <c r="AA53">
        <v>794.31345029239776</v>
      </c>
    </row>
    <row r="54" spans="27:27">
      <c r="AA54">
        <v>792.61954022988505</v>
      </c>
    </row>
    <row r="55" spans="27:27">
      <c r="AA55">
        <v>793.10399999999993</v>
      </c>
    </row>
  </sheetData>
  <pageMargins left="0.7" right="0.7" top="0.75" bottom="0.75" header="0.3" footer="0.3"/>
  <pageSetup paperSize="11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X52"/>
  <sheetViews>
    <sheetView zoomScale="70" zoomScaleNormal="70" workbookViewId="0">
      <pane ySplit="3" topLeftCell="A20" activePane="bottomLeft" state="frozen"/>
      <selection pane="bottomLeft" activeCell="A33" sqref="A33:XFD33"/>
    </sheetView>
  </sheetViews>
  <sheetFormatPr defaultRowHeight="15"/>
  <cols>
    <col min="3" max="3" width="9.140625" customWidth="1"/>
    <col min="7" max="7" width="10.7109375" customWidth="1"/>
    <col min="9" max="12" width="12.7109375" customWidth="1"/>
    <col min="13" max="17" width="9.140625" customWidth="1"/>
    <col min="18" max="18" width="17.28515625" bestFit="1" customWidth="1"/>
    <col min="19" max="19" width="14.42578125" bestFit="1" customWidth="1"/>
    <col min="20" max="20" width="17.28515625" bestFit="1" customWidth="1"/>
    <col min="21" max="21" width="14.42578125" bestFit="1" customWidth="1"/>
    <col min="22" max="22" width="22.5703125" customWidth="1"/>
    <col min="23" max="27" width="14.42578125" customWidth="1"/>
    <col min="28" max="28" width="15.7109375" customWidth="1"/>
    <col min="29" max="32" width="16.140625" customWidth="1"/>
    <col min="33" max="33" width="16.7109375" customWidth="1"/>
    <col min="34" max="34" width="12.85546875" customWidth="1"/>
    <col min="35" max="35" width="10.42578125" bestFit="1" customWidth="1"/>
    <col min="36" max="36" width="14.5703125" customWidth="1"/>
    <col min="37" max="37" width="10.140625" bestFit="1" customWidth="1"/>
    <col min="39" max="39" width="13" bestFit="1" customWidth="1"/>
  </cols>
  <sheetData>
    <row r="1" spans="2:50"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</row>
    <row r="2" spans="2:50">
      <c r="B2" s="30" t="s">
        <v>29</v>
      </c>
      <c r="C2" s="600" t="s">
        <v>183</v>
      </c>
      <c r="D2" s="623"/>
      <c r="E2" s="601"/>
      <c r="F2" s="193"/>
      <c r="G2" s="193"/>
      <c r="H2" s="620" t="s">
        <v>112</v>
      </c>
      <c r="I2" s="621"/>
      <c r="J2" s="622"/>
      <c r="K2" s="196"/>
      <c r="L2" s="196"/>
      <c r="M2" s="30" t="s">
        <v>184</v>
      </c>
      <c r="N2" s="30" t="s">
        <v>185</v>
      </c>
      <c r="O2" s="30" t="s">
        <v>186</v>
      </c>
      <c r="P2" s="30" t="s">
        <v>187</v>
      </c>
      <c r="Q2" s="1" t="s">
        <v>188</v>
      </c>
      <c r="R2" s="30" t="s">
        <v>189</v>
      </c>
      <c r="S2" s="30" t="s">
        <v>190</v>
      </c>
      <c r="T2" s="30" t="s">
        <v>191</v>
      </c>
      <c r="U2" s="30" t="s">
        <v>192</v>
      </c>
      <c r="V2" s="30" t="s">
        <v>193</v>
      </c>
      <c r="W2" s="30" t="s">
        <v>194</v>
      </c>
      <c r="X2" s="30" t="s">
        <v>195</v>
      </c>
      <c r="Y2" s="30" t="s">
        <v>196</v>
      </c>
      <c r="Z2" s="30" t="s">
        <v>197</v>
      </c>
      <c r="AA2" s="30" t="s">
        <v>198</v>
      </c>
      <c r="AB2" s="30" t="s">
        <v>199</v>
      </c>
      <c r="AC2" s="30" t="s">
        <v>200</v>
      </c>
      <c r="AD2" s="430" t="s">
        <v>201</v>
      </c>
      <c r="AE2" s="233" t="s">
        <v>202</v>
      </c>
      <c r="AF2" s="233" t="s">
        <v>203</v>
      </c>
      <c r="AG2" t="s">
        <v>204</v>
      </c>
      <c r="AH2" t="s">
        <v>205</v>
      </c>
      <c r="AI2" t="s">
        <v>206</v>
      </c>
      <c r="AJ2" t="s">
        <v>207</v>
      </c>
      <c r="AK2" t="s">
        <v>208</v>
      </c>
      <c r="AL2" t="s">
        <v>209</v>
      </c>
      <c r="AM2" t="s">
        <v>210</v>
      </c>
      <c r="AN2">
        <v>42.5</v>
      </c>
      <c r="AO2">
        <v>32.5</v>
      </c>
      <c r="AP2" t="s">
        <v>211</v>
      </c>
      <c r="AX2" t="s">
        <v>212</v>
      </c>
    </row>
    <row r="3" spans="2:50">
      <c r="B3" s="1" t="s">
        <v>213</v>
      </c>
      <c r="C3" s="1">
        <v>42.5</v>
      </c>
      <c r="D3" s="1">
        <v>32.5</v>
      </c>
      <c r="E3" s="1" t="s">
        <v>211</v>
      </c>
      <c r="F3" s="1" t="s">
        <v>187</v>
      </c>
      <c r="G3" s="1" t="s">
        <v>188</v>
      </c>
      <c r="H3" s="186">
        <v>42.5</v>
      </c>
      <c r="I3" s="186">
        <v>32.5</v>
      </c>
      <c r="J3" s="186" t="s">
        <v>211</v>
      </c>
      <c r="K3" s="186" t="s">
        <v>187</v>
      </c>
      <c r="L3" s="1" t="s">
        <v>188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f>F4*0.05</f>
        <v>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50">
      <c r="B4" s="1">
        <v>1</v>
      </c>
      <c r="C4" s="1">
        <v>553</v>
      </c>
      <c r="D4" s="1">
        <v>0</v>
      </c>
      <c r="E4" s="1">
        <v>0</v>
      </c>
      <c r="F4" s="1">
        <v>0</v>
      </c>
      <c r="G4" s="1">
        <v>0</v>
      </c>
      <c r="H4" s="1">
        <v>8.3800000000000008</v>
      </c>
      <c r="I4" s="1">
        <v>0</v>
      </c>
      <c r="J4" s="1">
        <v>0</v>
      </c>
      <c r="K4" s="1">
        <v>0</v>
      </c>
      <c r="L4" s="1">
        <v>0</v>
      </c>
      <c r="M4" s="1">
        <f t="shared" ref="M4" si="0">C4/H4</f>
        <v>65.990453460620515</v>
      </c>
      <c r="N4" s="1" t="e">
        <f t="shared" ref="N4" si="1">D4/I4</f>
        <v>#DIV/0!</v>
      </c>
      <c r="O4" s="1" t="e">
        <f t="shared" ref="O4" si="2">E4/J4</f>
        <v>#DIV/0!</v>
      </c>
      <c r="P4" s="1" t="e">
        <f>F4/K4</f>
        <v>#DIV/0!</v>
      </c>
      <c r="Q4" s="1" t="e">
        <f>G4/L4</f>
        <v>#DIV/0!</v>
      </c>
      <c r="R4" s="1">
        <f>C4*(0.188888888888888*0.9)</f>
        <v>94.009999999999565</v>
      </c>
      <c r="S4" s="1">
        <f>C4*0.05</f>
        <v>27.650000000000002</v>
      </c>
      <c r="T4" s="1">
        <f>D4*(0.288888888888888*0.9)</f>
        <v>0</v>
      </c>
      <c r="U4" s="1">
        <f>D4*0.05</f>
        <v>0</v>
      </c>
      <c r="V4" s="1">
        <f>E4*(0.277777777777777*0.9)</f>
        <v>0</v>
      </c>
      <c r="W4" s="1">
        <f>E4*0.05</f>
        <v>0</v>
      </c>
      <c r="X4" s="1"/>
      <c r="Y4" s="1">
        <f>F5*0.05</f>
        <v>0</v>
      </c>
      <c r="Z4" s="1">
        <f>G4*(0.277777777777777*0.9)</f>
        <v>0</v>
      </c>
      <c r="AA4" s="1">
        <f>G4*0.05</f>
        <v>0</v>
      </c>
      <c r="AB4" s="44">
        <f>C4-R4-S4</f>
        <v>431.34000000000049</v>
      </c>
      <c r="AC4" s="42">
        <f>D4-T4-U4</f>
        <v>0</v>
      </c>
      <c r="AD4" s="42">
        <f>E4-V4-W4</f>
        <v>0</v>
      </c>
      <c r="AE4" s="274">
        <f t="shared" ref="AE4:AE34" si="3">F4-Y4</f>
        <v>0</v>
      </c>
      <c r="AF4" s="274">
        <f t="shared" ref="AF4:AF37" si="4">G4-Z4-AA4</f>
        <v>0</v>
      </c>
      <c r="AG4" s="43">
        <f>AB4+AC4+AD4+AE4+AF4</f>
        <v>431.34000000000049</v>
      </c>
      <c r="AH4" s="42">
        <f t="shared" ref="AH4:AH26" si="5">R4+T4+V4+Z4</f>
        <v>94.009999999999565</v>
      </c>
      <c r="AI4" s="44">
        <f t="shared" ref="AI4:AI35" si="6">S4+U4+W4+Y4+AA4</f>
        <v>27.650000000000002</v>
      </c>
      <c r="AJ4" s="1">
        <v>0</v>
      </c>
      <c r="AK4" s="6">
        <v>0</v>
      </c>
      <c r="AL4" s="45">
        <f t="shared" ref="AL4:AL24" si="7">AG4/(C4+D4)*100</f>
        <v>78.000000000000085</v>
      </c>
      <c r="AM4" s="44">
        <f>AG4+AH4+AI4</f>
        <v>553</v>
      </c>
      <c r="AN4">
        <f>(R4)/C4*100</f>
        <v>16.999999999999922</v>
      </c>
      <c r="AO4" t="e">
        <f>(T4)/D4*100</f>
        <v>#DIV/0!</v>
      </c>
      <c r="AP4" t="e">
        <f>Z4/G4</f>
        <v>#DIV/0!</v>
      </c>
      <c r="AR4">
        <f>H4+I4+K4+L4</f>
        <v>8.3800000000000008</v>
      </c>
      <c r="AS4">
        <f t="shared" ref="AS4:AS33" si="8">C4+D4+E4</f>
        <v>553</v>
      </c>
      <c r="AT4">
        <f t="shared" ref="AT4:AT29" si="9">AB4/C4</f>
        <v>0.78000000000000091</v>
      </c>
      <c r="AU4" t="e">
        <f t="shared" ref="AU4:AU34" si="10">AC4/D4</f>
        <v>#DIV/0!</v>
      </c>
      <c r="AV4" t="e">
        <f t="shared" ref="AV4:AV12" si="11">AD4/E4</f>
        <v>#DIV/0!</v>
      </c>
      <c r="AW4" t="e">
        <f t="shared" ref="AW4:AW29" si="12">AE4/F4</f>
        <v>#DIV/0!</v>
      </c>
      <c r="AX4">
        <f t="shared" ref="AX4:AX36" si="13">C4+D4+E4+F4</f>
        <v>553</v>
      </c>
    </row>
    <row r="5" spans="2:50" ht="13.5" customHeight="1">
      <c r="B5" s="1">
        <v>2</v>
      </c>
      <c r="C5" s="1">
        <v>1099</v>
      </c>
      <c r="D5" s="1">
        <v>0</v>
      </c>
      <c r="E5" s="1">
        <v>0</v>
      </c>
      <c r="F5" s="1">
        <v>0</v>
      </c>
      <c r="G5" s="1">
        <v>0</v>
      </c>
      <c r="H5" s="1">
        <v>16.920000000000002</v>
      </c>
      <c r="I5" s="1">
        <v>0</v>
      </c>
      <c r="J5" s="1">
        <v>0</v>
      </c>
      <c r="K5" s="1">
        <v>0</v>
      </c>
      <c r="L5" s="1">
        <v>0</v>
      </c>
      <c r="M5" s="1">
        <f t="shared" ref="M5:O6" si="14">C5/H5</f>
        <v>64.952718676122927</v>
      </c>
      <c r="N5" s="1" t="e">
        <f t="shared" si="14"/>
        <v>#DIV/0!</v>
      </c>
      <c r="O5" s="1" t="e">
        <f t="shared" si="14"/>
        <v>#DIV/0!</v>
      </c>
      <c r="P5" s="1" t="e">
        <f t="shared" ref="P5:P35" si="15">F5/K5</f>
        <v>#DIV/0!</v>
      </c>
      <c r="Q5" s="1" t="e">
        <f t="shared" ref="Q5:Q35" si="16">G5/L5</f>
        <v>#DIV/0!</v>
      </c>
      <c r="R5" s="1">
        <f>C5*(0.2*0.9)</f>
        <v>197.82000000000002</v>
      </c>
      <c r="S5" s="15">
        <f>C5*0.048</f>
        <v>52.752000000000002</v>
      </c>
      <c r="T5" s="1">
        <f>D5*(0.31111111111111*0.9)</f>
        <v>0</v>
      </c>
      <c r="U5" s="1">
        <f>D5*0.05</f>
        <v>0</v>
      </c>
      <c r="V5" s="1">
        <f>E5*(0.2905982909*0.9)</f>
        <v>0</v>
      </c>
      <c r="W5" s="1">
        <f>E5*0.04615384617</f>
        <v>0</v>
      </c>
      <c r="X5" s="1"/>
      <c r="Y5" s="1">
        <f>F6*0.05</f>
        <v>0</v>
      </c>
      <c r="Z5" s="1">
        <f>G5*(0.288800705*0.9)</f>
        <v>0</v>
      </c>
      <c r="AA5" s="1">
        <f t="shared" ref="AA5:AA38" si="17">G5*0.05</f>
        <v>0</v>
      </c>
      <c r="AB5" s="44">
        <f t="shared" ref="AB5:AB40" si="18">C5-R5-S5</f>
        <v>848.428</v>
      </c>
      <c r="AC5" s="42">
        <f t="shared" ref="AC5:AC40" si="19">D5-T5-U5</f>
        <v>0</v>
      </c>
      <c r="AD5" s="42">
        <f t="shared" ref="AD5:AD40" si="20">E5-V5-W5</f>
        <v>0</v>
      </c>
      <c r="AE5" s="274">
        <f t="shared" si="3"/>
        <v>0</v>
      </c>
      <c r="AF5" s="274">
        <f t="shared" si="4"/>
        <v>0</v>
      </c>
      <c r="AG5" s="43">
        <f t="shared" ref="AG5:AG36" si="21">AB5+AC5+AD5+AE5+AF5</f>
        <v>848.428</v>
      </c>
      <c r="AH5" s="42">
        <f t="shared" si="5"/>
        <v>197.82000000000002</v>
      </c>
      <c r="AI5" s="44">
        <f t="shared" si="6"/>
        <v>52.752000000000002</v>
      </c>
      <c r="AJ5" s="1">
        <v>0</v>
      </c>
      <c r="AK5" s="6">
        <v>0</v>
      </c>
      <c r="AL5" s="45">
        <f t="shared" si="7"/>
        <v>77.2</v>
      </c>
      <c r="AM5" s="44">
        <f t="shared" ref="AM5:AM39" si="22">AG5+AH5+AI5</f>
        <v>1099</v>
      </c>
      <c r="AN5">
        <f t="shared" ref="AN5:AN34" si="23">(R5)/C5*100</f>
        <v>18.000000000000004</v>
      </c>
      <c r="AO5" t="e">
        <f t="shared" ref="AO5:AO34" si="24">(T5)/D5*100</f>
        <v>#DIV/0!</v>
      </c>
      <c r="AP5" t="e">
        <f t="shared" ref="AP5:AP35" si="25">Z5/G5</f>
        <v>#DIV/0!</v>
      </c>
      <c r="AR5">
        <f t="shared" ref="AR5:AR22" si="26">H5+I5+K5+L5</f>
        <v>16.920000000000002</v>
      </c>
      <c r="AS5">
        <f t="shared" si="8"/>
        <v>1099</v>
      </c>
      <c r="AT5">
        <f t="shared" si="9"/>
        <v>0.77200000000000002</v>
      </c>
      <c r="AU5" t="e">
        <f t="shared" si="10"/>
        <v>#DIV/0!</v>
      </c>
      <c r="AV5" t="e">
        <f t="shared" si="11"/>
        <v>#DIV/0!</v>
      </c>
      <c r="AW5" t="e">
        <f t="shared" si="12"/>
        <v>#DIV/0!</v>
      </c>
      <c r="AX5">
        <f t="shared" si="13"/>
        <v>1099</v>
      </c>
    </row>
    <row r="6" spans="2:50">
      <c r="B6" s="1">
        <v>3</v>
      </c>
      <c r="C6" s="1">
        <v>1554</v>
      </c>
      <c r="D6" s="1">
        <v>0</v>
      </c>
      <c r="E6" s="1">
        <v>0</v>
      </c>
      <c r="F6" s="1">
        <v>0</v>
      </c>
      <c r="G6" s="1">
        <v>0</v>
      </c>
      <c r="H6" s="1">
        <v>23.2</v>
      </c>
      <c r="I6" s="1">
        <v>0</v>
      </c>
      <c r="J6" s="1">
        <v>0</v>
      </c>
      <c r="K6" s="1">
        <v>0</v>
      </c>
      <c r="L6" s="1">
        <v>0</v>
      </c>
      <c r="M6" s="1">
        <f t="shared" si="14"/>
        <v>66.982758620689651</v>
      </c>
      <c r="N6" s="1" t="e">
        <f t="shared" si="14"/>
        <v>#DIV/0!</v>
      </c>
      <c r="O6" s="1" t="e">
        <f t="shared" si="14"/>
        <v>#DIV/0!</v>
      </c>
      <c r="P6" s="1" t="e">
        <f t="shared" si="15"/>
        <v>#DIV/0!</v>
      </c>
      <c r="Q6" s="1" t="e">
        <f t="shared" si="16"/>
        <v>#DIV/0!</v>
      </c>
      <c r="R6" s="1">
        <f>C6*(0.2*0.9)</f>
        <v>279.72000000000003</v>
      </c>
      <c r="S6" s="1">
        <f>C6*0.055</f>
        <v>85.47</v>
      </c>
      <c r="T6" s="1">
        <f>D6*(0.302222222222222*0.9)</f>
        <v>0</v>
      </c>
      <c r="U6" s="1">
        <f>D6*0.05</f>
        <v>0</v>
      </c>
      <c r="V6" s="1">
        <f>E6*(0.2895148677*0.9)</f>
        <v>0</v>
      </c>
      <c r="W6" s="1">
        <f>E6*0.05</f>
        <v>0</v>
      </c>
      <c r="X6" s="1"/>
      <c r="Y6" s="1">
        <f>F7*0.05</f>
        <v>0</v>
      </c>
      <c r="Z6" s="1">
        <f>G6*(0.277777777*0.9)</f>
        <v>0</v>
      </c>
      <c r="AA6" s="1">
        <f t="shared" si="17"/>
        <v>0</v>
      </c>
      <c r="AB6" s="44">
        <f t="shared" si="18"/>
        <v>1188.81</v>
      </c>
      <c r="AC6" s="42">
        <f t="shared" si="19"/>
        <v>0</v>
      </c>
      <c r="AD6" s="42">
        <f t="shared" si="20"/>
        <v>0</v>
      </c>
      <c r="AE6" s="274">
        <f t="shared" si="3"/>
        <v>0</v>
      </c>
      <c r="AF6" s="274">
        <f t="shared" si="4"/>
        <v>0</v>
      </c>
      <c r="AG6" s="43">
        <f t="shared" si="21"/>
        <v>1188.81</v>
      </c>
      <c r="AH6" s="42">
        <f>R6+T6+V6+Z6</f>
        <v>279.72000000000003</v>
      </c>
      <c r="AI6" s="44">
        <f t="shared" si="6"/>
        <v>85.47</v>
      </c>
      <c r="AJ6" s="1">
        <v>0</v>
      </c>
      <c r="AK6" s="6">
        <v>0</v>
      </c>
      <c r="AL6" s="45">
        <f t="shared" si="7"/>
        <v>76.5</v>
      </c>
      <c r="AM6" s="44">
        <f t="shared" si="22"/>
        <v>1554</v>
      </c>
      <c r="AN6">
        <f t="shared" si="23"/>
        <v>18.000000000000004</v>
      </c>
      <c r="AO6" t="e">
        <f t="shared" si="24"/>
        <v>#DIV/0!</v>
      </c>
      <c r="AP6" t="e">
        <f t="shared" si="25"/>
        <v>#DIV/0!</v>
      </c>
      <c r="AR6">
        <f t="shared" si="26"/>
        <v>23.2</v>
      </c>
      <c r="AS6">
        <f t="shared" si="8"/>
        <v>1554</v>
      </c>
      <c r="AT6">
        <f t="shared" si="9"/>
        <v>0.76500000000000001</v>
      </c>
      <c r="AU6" t="e">
        <f t="shared" si="10"/>
        <v>#DIV/0!</v>
      </c>
      <c r="AV6" t="e">
        <f t="shared" si="11"/>
        <v>#DIV/0!</v>
      </c>
      <c r="AW6" t="e">
        <f t="shared" si="12"/>
        <v>#DIV/0!</v>
      </c>
      <c r="AX6">
        <f t="shared" si="13"/>
        <v>1554</v>
      </c>
    </row>
    <row r="7" spans="2:50" s="268" customFormat="1">
      <c r="B7" s="269">
        <v>4</v>
      </c>
      <c r="C7" s="1">
        <v>1173</v>
      </c>
      <c r="D7" s="1">
        <v>0</v>
      </c>
      <c r="E7" s="1">
        <v>0</v>
      </c>
      <c r="F7" s="1">
        <v>0</v>
      </c>
      <c r="G7" s="1">
        <v>212</v>
      </c>
      <c r="H7" s="1">
        <v>18.23</v>
      </c>
      <c r="I7" s="1">
        <v>0</v>
      </c>
      <c r="J7" s="1">
        <v>0</v>
      </c>
      <c r="K7" s="1">
        <v>0</v>
      </c>
      <c r="L7" s="1">
        <v>3</v>
      </c>
      <c r="M7" s="269">
        <f t="shared" ref="M7:M25" si="27">C7/H7</f>
        <v>64.344487109160724</v>
      </c>
      <c r="N7" s="269" t="e">
        <f t="shared" ref="N7:N33" si="28">D7/I7</f>
        <v>#DIV/0!</v>
      </c>
      <c r="O7" s="269" t="e">
        <f t="shared" ref="O7:O34" si="29">E7/J7</f>
        <v>#DIV/0!</v>
      </c>
      <c r="P7" s="1" t="e">
        <f t="shared" si="15"/>
        <v>#DIV/0!</v>
      </c>
      <c r="Q7" s="1">
        <f t="shared" si="16"/>
        <v>70.666666666666671</v>
      </c>
      <c r="R7" s="269">
        <f>C7*(0.188888888888888*0.9)</f>
        <v>199.40999999999906</v>
      </c>
      <c r="S7" s="269">
        <f>C7*0.05</f>
        <v>58.650000000000006</v>
      </c>
      <c r="T7" s="269">
        <f>D7*(0.311111111111111*0.9)</f>
        <v>0</v>
      </c>
      <c r="U7" s="269">
        <f>D7*0.05</f>
        <v>0</v>
      </c>
      <c r="V7" s="269">
        <f>E7*(0.288888888888888*0.9)</f>
        <v>0</v>
      </c>
      <c r="W7" s="269">
        <f>E7*0.05</f>
        <v>0</v>
      </c>
      <c r="X7" s="269"/>
      <c r="Y7" s="318">
        <f t="shared" ref="Y7:Y15" si="30">F7*0.05</f>
        <v>0</v>
      </c>
      <c r="Z7" s="1">
        <f>G7*(0.2777777778*0.9)</f>
        <v>53.00000000424</v>
      </c>
      <c r="AA7" s="1">
        <f>G7*0.05</f>
        <v>10.600000000000001</v>
      </c>
      <c r="AB7" s="44">
        <f t="shared" si="18"/>
        <v>914.94000000000096</v>
      </c>
      <c r="AC7" s="42">
        <f t="shared" si="19"/>
        <v>0</v>
      </c>
      <c r="AD7" s="42">
        <f t="shared" si="20"/>
        <v>0</v>
      </c>
      <c r="AE7" s="274">
        <f t="shared" si="3"/>
        <v>0</v>
      </c>
      <c r="AF7" s="274">
        <f t="shared" si="4"/>
        <v>148.39999999576</v>
      </c>
      <c r="AG7" s="43">
        <f t="shared" si="21"/>
        <v>1063.339999995761</v>
      </c>
      <c r="AH7" s="42">
        <f t="shared" si="5"/>
        <v>252.41000000423907</v>
      </c>
      <c r="AI7" s="44">
        <f>S7+U7+W7+Y7+AA7</f>
        <v>69.25</v>
      </c>
      <c r="AJ7" s="269">
        <v>0</v>
      </c>
      <c r="AK7" s="271">
        <v>0</v>
      </c>
      <c r="AL7" s="272">
        <f t="shared" si="7"/>
        <v>90.651321397763084</v>
      </c>
      <c r="AM7" s="44">
        <f t="shared" si="22"/>
        <v>1385</v>
      </c>
      <c r="AN7">
        <f t="shared" si="23"/>
        <v>16.999999999999922</v>
      </c>
      <c r="AO7" t="e">
        <f t="shared" si="24"/>
        <v>#DIV/0!</v>
      </c>
      <c r="AP7">
        <f t="shared" si="25"/>
        <v>0.25000000002</v>
      </c>
      <c r="AR7">
        <f t="shared" si="26"/>
        <v>21.23</v>
      </c>
      <c r="AS7" s="268">
        <f t="shared" si="8"/>
        <v>1173</v>
      </c>
      <c r="AT7" s="268">
        <f t="shared" si="9"/>
        <v>0.7800000000000008</v>
      </c>
      <c r="AU7" s="268" t="e">
        <f t="shared" si="10"/>
        <v>#DIV/0!</v>
      </c>
      <c r="AV7" s="268" t="e">
        <f t="shared" si="11"/>
        <v>#DIV/0!</v>
      </c>
      <c r="AW7" s="268" t="e">
        <f t="shared" si="12"/>
        <v>#DIV/0!</v>
      </c>
      <c r="AX7">
        <f t="shared" si="13"/>
        <v>1173</v>
      </c>
    </row>
    <row r="8" spans="2:50" s="258" customFormat="1">
      <c r="B8" s="274">
        <v>5</v>
      </c>
      <c r="C8" s="1">
        <v>1462</v>
      </c>
      <c r="D8" s="1">
        <v>0</v>
      </c>
      <c r="E8" s="1">
        <v>0</v>
      </c>
      <c r="F8" s="1">
        <v>0</v>
      </c>
      <c r="G8" s="1">
        <v>0</v>
      </c>
      <c r="H8" s="1">
        <v>22.2</v>
      </c>
      <c r="I8" s="1">
        <v>0</v>
      </c>
      <c r="J8" s="1">
        <v>0</v>
      </c>
      <c r="K8" s="1">
        <v>0</v>
      </c>
      <c r="L8" s="1">
        <v>0</v>
      </c>
      <c r="M8" s="274">
        <f t="shared" si="27"/>
        <v>65.855855855855864</v>
      </c>
      <c r="N8" s="274" t="e">
        <f>D8/I8</f>
        <v>#DIV/0!</v>
      </c>
      <c r="O8" s="274" t="e">
        <f t="shared" si="29"/>
        <v>#DIV/0!</v>
      </c>
      <c r="P8" s="1" t="e">
        <f t="shared" si="15"/>
        <v>#DIV/0!</v>
      </c>
      <c r="Q8" s="1" t="e">
        <f t="shared" si="16"/>
        <v>#DIV/0!</v>
      </c>
      <c r="R8" s="275">
        <f>C8*(0.194832041*0.9)</f>
        <v>256.35999954780004</v>
      </c>
      <c r="S8" s="279">
        <f>C8*0.050001367</f>
        <v>73.101998553999991</v>
      </c>
      <c r="T8" s="274">
        <f>D8*(0.3*0.9)</f>
        <v>0</v>
      </c>
      <c r="U8" s="274">
        <f>D8*0.05</f>
        <v>0</v>
      </c>
      <c r="V8" s="274">
        <f>E8*(0.288888888888888*0.9)</f>
        <v>0</v>
      </c>
      <c r="W8" s="274">
        <f>E8*0.05</f>
        <v>0</v>
      </c>
      <c r="X8" s="274"/>
      <c r="Y8" s="318">
        <f t="shared" si="30"/>
        <v>0</v>
      </c>
      <c r="Z8" s="1">
        <f>G8*(0.288888888888888*0.9)</f>
        <v>0</v>
      </c>
      <c r="AA8" s="1">
        <f>G8*0.05</f>
        <v>0</v>
      </c>
      <c r="AB8" s="44">
        <f t="shared" si="18"/>
        <v>1132.5380018982</v>
      </c>
      <c r="AC8" s="42">
        <f t="shared" si="19"/>
        <v>0</v>
      </c>
      <c r="AD8" s="42">
        <f t="shared" si="20"/>
        <v>0</v>
      </c>
      <c r="AE8" s="274">
        <f t="shared" si="3"/>
        <v>0</v>
      </c>
      <c r="AF8" s="274">
        <f t="shared" si="4"/>
        <v>0</v>
      </c>
      <c r="AG8" s="44">
        <f t="shared" si="21"/>
        <v>1132.5380018982</v>
      </c>
      <c r="AH8" s="438">
        <f t="shared" si="5"/>
        <v>256.35999954780004</v>
      </c>
      <c r="AI8" s="438">
        <f t="shared" si="6"/>
        <v>73.101998553999991</v>
      </c>
      <c r="AJ8" s="274">
        <v>0</v>
      </c>
      <c r="AK8" s="276">
        <v>0</v>
      </c>
      <c r="AL8" s="277">
        <f t="shared" si="7"/>
        <v>77.46497961</v>
      </c>
      <c r="AM8" s="44">
        <f t="shared" si="22"/>
        <v>1462</v>
      </c>
      <c r="AN8">
        <f t="shared" si="23"/>
        <v>17.534883690000001</v>
      </c>
      <c r="AO8" t="e">
        <f t="shared" si="24"/>
        <v>#DIV/0!</v>
      </c>
      <c r="AP8" t="e">
        <f t="shared" si="25"/>
        <v>#DIV/0!</v>
      </c>
      <c r="AR8">
        <f t="shared" si="26"/>
        <v>22.2</v>
      </c>
      <c r="AS8" s="258">
        <f t="shared" si="8"/>
        <v>1462</v>
      </c>
      <c r="AT8" s="258">
        <f t="shared" si="9"/>
        <v>0.77464979610000007</v>
      </c>
      <c r="AU8" s="258" t="e">
        <f t="shared" si="10"/>
        <v>#DIV/0!</v>
      </c>
      <c r="AV8" s="258" t="e">
        <f t="shared" si="11"/>
        <v>#DIV/0!</v>
      </c>
      <c r="AW8" s="258" t="e">
        <f t="shared" si="12"/>
        <v>#DIV/0!</v>
      </c>
      <c r="AX8">
        <f t="shared" si="13"/>
        <v>1462</v>
      </c>
    </row>
    <row r="9" spans="2:50" s="258" customFormat="1" ht="15.75" customHeight="1">
      <c r="B9" s="274">
        <v>6</v>
      </c>
      <c r="C9" s="1">
        <v>1129</v>
      </c>
      <c r="D9" s="1">
        <v>207</v>
      </c>
      <c r="E9" s="1">
        <v>0</v>
      </c>
      <c r="F9" s="1">
        <v>0</v>
      </c>
      <c r="G9" s="1">
        <v>344</v>
      </c>
      <c r="H9" s="1">
        <v>16</v>
      </c>
      <c r="I9" s="1">
        <v>3</v>
      </c>
      <c r="J9" s="1">
        <v>0</v>
      </c>
      <c r="K9" s="1">
        <v>0</v>
      </c>
      <c r="L9" s="1">
        <v>5</v>
      </c>
      <c r="M9" s="274">
        <f t="shared" si="27"/>
        <v>70.5625</v>
      </c>
      <c r="N9" s="274">
        <f t="shared" si="28"/>
        <v>69</v>
      </c>
      <c r="O9" s="274" t="e">
        <f t="shared" si="29"/>
        <v>#DIV/0!</v>
      </c>
      <c r="P9" s="1" t="e">
        <f t="shared" si="15"/>
        <v>#DIV/0!</v>
      </c>
      <c r="Q9" s="1">
        <f t="shared" si="16"/>
        <v>68.8</v>
      </c>
      <c r="R9" s="274">
        <f>C9*(0.2*0.9)</f>
        <v>203.22000000000003</v>
      </c>
      <c r="S9" s="279">
        <f>C9*0.050002657</f>
        <v>56.452999753</v>
      </c>
      <c r="T9" s="274">
        <f>D9*(0.279130434*0.9)</f>
        <v>52.001999854199994</v>
      </c>
      <c r="U9" s="274">
        <f>D9*0.050714975</f>
        <v>10.497999825000001</v>
      </c>
      <c r="V9" s="274">
        <f>E9*(0.254728304*0.9)</f>
        <v>0</v>
      </c>
      <c r="W9" s="274">
        <f>E9*0.051386861</f>
        <v>0</v>
      </c>
      <c r="X9" s="274"/>
      <c r="Y9" s="318">
        <f t="shared" si="30"/>
        <v>0</v>
      </c>
      <c r="Z9" s="1">
        <f>G9*(0.277787467*0.9)</f>
        <v>86.002999783200011</v>
      </c>
      <c r="AA9" s="1">
        <f>G9*0.051436046</f>
        <v>17.693999823999999</v>
      </c>
      <c r="AB9" s="44">
        <f t="shared" si="18"/>
        <v>869.327000247</v>
      </c>
      <c r="AC9" s="42">
        <f t="shared" si="19"/>
        <v>144.50000032080001</v>
      </c>
      <c r="AD9" s="42">
        <f t="shared" si="20"/>
        <v>0</v>
      </c>
      <c r="AE9" s="274">
        <f t="shared" si="3"/>
        <v>0</v>
      </c>
      <c r="AF9" s="274">
        <f t="shared" si="4"/>
        <v>240.30300039279996</v>
      </c>
      <c r="AG9" s="438">
        <f t="shared" si="21"/>
        <v>1254.1300009606</v>
      </c>
      <c r="AH9" s="42">
        <f t="shared" si="5"/>
        <v>341.22499963740006</v>
      </c>
      <c r="AI9" s="438">
        <f t="shared" si="6"/>
        <v>84.644999401999996</v>
      </c>
      <c r="AJ9" s="274">
        <v>0</v>
      </c>
      <c r="AK9" s="276">
        <v>0</v>
      </c>
      <c r="AL9" s="277">
        <f t="shared" si="7"/>
        <v>93.872006059925155</v>
      </c>
      <c r="AM9" s="44">
        <f t="shared" si="22"/>
        <v>1680</v>
      </c>
      <c r="AN9">
        <f t="shared" si="23"/>
        <v>18.000000000000004</v>
      </c>
      <c r="AO9">
        <f t="shared" si="24"/>
        <v>25.121739059999999</v>
      </c>
      <c r="AP9">
        <f t="shared" si="25"/>
        <v>0.25000872030000004</v>
      </c>
      <c r="AR9">
        <f t="shared" si="26"/>
        <v>24</v>
      </c>
      <c r="AS9" s="258">
        <f t="shared" si="8"/>
        <v>1336</v>
      </c>
      <c r="AT9" s="258">
        <f t="shared" si="9"/>
        <v>0.769997343</v>
      </c>
      <c r="AU9" s="258">
        <f t="shared" si="10"/>
        <v>0.69806763440000008</v>
      </c>
      <c r="AV9" s="258" t="e">
        <f t="shared" si="11"/>
        <v>#DIV/0!</v>
      </c>
      <c r="AW9" s="258" t="e">
        <f t="shared" si="12"/>
        <v>#DIV/0!</v>
      </c>
      <c r="AX9">
        <f t="shared" si="13"/>
        <v>1336</v>
      </c>
    </row>
    <row r="10" spans="2:50" s="258" customFormat="1">
      <c r="B10" s="274">
        <v>7</v>
      </c>
      <c r="C10" s="1">
        <v>1290</v>
      </c>
      <c r="D10" s="1">
        <v>0</v>
      </c>
      <c r="E10" s="1">
        <v>0</v>
      </c>
      <c r="F10" s="1">
        <v>0</v>
      </c>
      <c r="G10" s="1">
        <v>140</v>
      </c>
      <c r="H10" s="1">
        <v>18.899999999999999</v>
      </c>
      <c r="I10" s="1">
        <v>0</v>
      </c>
      <c r="J10" s="1">
        <v>0</v>
      </c>
      <c r="K10" s="1">
        <v>0</v>
      </c>
      <c r="L10" s="1">
        <v>2</v>
      </c>
      <c r="M10" s="274">
        <f t="shared" si="27"/>
        <v>68.253968253968253</v>
      </c>
      <c r="N10" s="274" t="e">
        <f t="shared" si="28"/>
        <v>#DIV/0!</v>
      </c>
      <c r="O10" s="274" t="e">
        <f t="shared" si="29"/>
        <v>#DIV/0!</v>
      </c>
      <c r="P10" s="1" t="e">
        <f t="shared" si="15"/>
        <v>#DIV/0!</v>
      </c>
      <c r="Q10" s="1">
        <f t="shared" si="16"/>
        <v>70</v>
      </c>
      <c r="R10" s="274">
        <f>C10*(0.2*0.9)</f>
        <v>232.20000000000002</v>
      </c>
      <c r="S10" s="449">
        <f>C10*0.0499968999999999</f>
        <v>64.496000999999865</v>
      </c>
      <c r="T10" s="274">
        <f>D10*(0.311111111111111*0.9)</f>
        <v>0</v>
      </c>
      <c r="U10" s="274">
        <f t="shared" ref="U10:U15" si="31">D10*0.05</f>
        <v>0</v>
      </c>
      <c r="V10" s="274">
        <f>E10*(0.288888888888888*0.9)</f>
        <v>0</v>
      </c>
      <c r="W10" s="274">
        <f>E10*0.05</f>
        <v>0</v>
      </c>
      <c r="X10" s="274"/>
      <c r="Y10" s="274">
        <f t="shared" si="30"/>
        <v>0</v>
      </c>
      <c r="Z10" s="1">
        <f>G10*(0.277777777777777*0.9)</f>
        <v>34.999999999999901</v>
      </c>
      <c r="AA10" s="1">
        <f>G10*0.0535714288</f>
        <v>7.500000032</v>
      </c>
      <c r="AB10" s="44">
        <f t="shared" si="18"/>
        <v>993.30399900000009</v>
      </c>
      <c r="AC10" s="42">
        <f t="shared" si="19"/>
        <v>0</v>
      </c>
      <c r="AD10" s="42">
        <f t="shared" si="20"/>
        <v>0</v>
      </c>
      <c r="AE10" s="274">
        <f t="shared" si="3"/>
        <v>0</v>
      </c>
      <c r="AF10" s="274">
        <f t="shared" si="4"/>
        <v>97.499999968000097</v>
      </c>
      <c r="AG10" s="43">
        <f t="shared" si="21"/>
        <v>1090.8039989680001</v>
      </c>
      <c r="AH10" s="42">
        <f t="shared" si="5"/>
        <v>267.19999999999993</v>
      </c>
      <c r="AI10" s="44">
        <f t="shared" si="6"/>
        <v>71.996001031999867</v>
      </c>
      <c r="AJ10" s="274">
        <v>0</v>
      </c>
      <c r="AK10" s="276">
        <v>0</v>
      </c>
      <c r="AL10" s="277">
        <f t="shared" si="7"/>
        <v>84.558449532403117</v>
      </c>
      <c r="AM10" s="44">
        <f t="shared" si="22"/>
        <v>1429.9999999999998</v>
      </c>
      <c r="AN10">
        <f t="shared" si="23"/>
        <v>18.000000000000004</v>
      </c>
      <c r="AO10" t="e">
        <f t="shared" si="24"/>
        <v>#DIV/0!</v>
      </c>
      <c r="AP10">
        <f t="shared" si="25"/>
        <v>0.24999999999999928</v>
      </c>
      <c r="AR10">
        <f t="shared" si="26"/>
        <v>20.9</v>
      </c>
      <c r="AS10" s="258">
        <f t="shared" si="8"/>
        <v>1290</v>
      </c>
      <c r="AT10" s="258">
        <f t="shared" si="9"/>
        <v>0.77000310000000005</v>
      </c>
      <c r="AU10" s="258" t="e">
        <f t="shared" si="10"/>
        <v>#DIV/0!</v>
      </c>
      <c r="AV10" s="258" t="e">
        <f t="shared" si="11"/>
        <v>#DIV/0!</v>
      </c>
      <c r="AW10" s="258" t="e">
        <f t="shared" si="12"/>
        <v>#DIV/0!</v>
      </c>
      <c r="AX10">
        <f t="shared" si="13"/>
        <v>1290</v>
      </c>
    </row>
    <row r="11" spans="2:50" s="258" customFormat="1">
      <c r="B11" s="274">
        <v>8</v>
      </c>
      <c r="C11" s="1">
        <v>1349</v>
      </c>
      <c r="D11" s="1">
        <v>0</v>
      </c>
      <c r="E11" s="1">
        <v>0</v>
      </c>
      <c r="F11" s="1">
        <v>0</v>
      </c>
      <c r="G11" s="1">
        <v>211</v>
      </c>
      <c r="H11" s="1">
        <v>20.02</v>
      </c>
      <c r="I11" s="1">
        <v>0</v>
      </c>
      <c r="J11" s="1">
        <v>0</v>
      </c>
      <c r="K11" s="1">
        <v>0</v>
      </c>
      <c r="L11" s="1">
        <v>3</v>
      </c>
      <c r="M11" s="274">
        <f t="shared" si="27"/>
        <v>67.382617382617383</v>
      </c>
      <c r="N11" s="274" t="e">
        <f t="shared" si="28"/>
        <v>#DIV/0!</v>
      </c>
      <c r="O11" s="274" t="e">
        <f t="shared" si="29"/>
        <v>#DIV/0!</v>
      </c>
      <c r="P11" s="1" t="e">
        <f t="shared" si="15"/>
        <v>#DIV/0!</v>
      </c>
      <c r="Q11" s="1">
        <f t="shared" si="16"/>
        <v>70.333333333333329</v>
      </c>
      <c r="R11" s="275">
        <f>C11*(0.185*0.9)</f>
        <v>224.60850000000002</v>
      </c>
      <c r="S11" s="275">
        <f>C11*0.05</f>
        <v>67.45</v>
      </c>
      <c r="T11" s="274">
        <f>D11*(0.3*0.9)</f>
        <v>0</v>
      </c>
      <c r="U11" s="274">
        <f t="shared" si="31"/>
        <v>0</v>
      </c>
      <c r="V11" s="274">
        <f>E11*(0.257309944*0.9)</f>
        <v>0</v>
      </c>
      <c r="W11" s="274">
        <f>E11*0.052631579</f>
        <v>0</v>
      </c>
      <c r="X11" s="274"/>
      <c r="Y11" s="274">
        <f t="shared" si="30"/>
        <v>0</v>
      </c>
      <c r="Z11" s="1">
        <f>G11*(0.277777777777777*0.9)</f>
        <v>52.749999999999851</v>
      </c>
      <c r="AA11" s="1">
        <f>G11*0.05236966827</f>
        <v>11.05000000497</v>
      </c>
      <c r="AB11" s="44">
        <f t="shared" si="18"/>
        <v>1056.9414999999999</v>
      </c>
      <c r="AC11" s="42">
        <f t="shared" si="19"/>
        <v>0</v>
      </c>
      <c r="AD11" s="42">
        <f t="shared" si="20"/>
        <v>0</v>
      </c>
      <c r="AE11" s="274">
        <f t="shared" si="3"/>
        <v>0</v>
      </c>
      <c r="AF11" s="274">
        <f t="shared" si="4"/>
        <v>147.19999999503014</v>
      </c>
      <c r="AG11" s="43">
        <f t="shared" si="21"/>
        <v>1204.14149999503</v>
      </c>
      <c r="AH11" s="42">
        <f t="shared" si="5"/>
        <v>277.35849999999988</v>
      </c>
      <c r="AI11" s="438">
        <f t="shared" si="6"/>
        <v>78.500000004970005</v>
      </c>
      <c r="AJ11" s="274">
        <v>0</v>
      </c>
      <c r="AK11" s="276">
        <v>0</v>
      </c>
      <c r="AL11" s="277">
        <f t="shared" si="7"/>
        <v>89.261786508156419</v>
      </c>
      <c r="AM11" s="44">
        <f t="shared" si="22"/>
        <v>1559.9999999999998</v>
      </c>
      <c r="AN11">
        <f t="shared" si="23"/>
        <v>16.650000000000002</v>
      </c>
      <c r="AO11" t="e">
        <f t="shared" si="24"/>
        <v>#DIV/0!</v>
      </c>
      <c r="AP11">
        <f t="shared" si="25"/>
        <v>0.24999999999999931</v>
      </c>
      <c r="AR11">
        <f t="shared" si="26"/>
        <v>23.02</v>
      </c>
      <c r="AS11" s="258">
        <f t="shared" si="8"/>
        <v>1349</v>
      </c>
      <c r="AT11" s="258">
        <f t="shared" si="9"/>
        <v>0.78349999999999997</v>
      </c>
      <c r="AU11" s="258" t="e">
        <f t="shared" si="10"/>
        <v>#DIV/0!</v>
      </c>
      <c r="AV11" s="258" t="e">
        <f t="shared" si="11"/>
        <v>#DIV/0!</v>
      </c>
      <c r="AW11" s="258" t="e">
        <f t="shared" si="12"/>
        <v>#DIV/0!</v>
      </c>
      <c r="AX11">
        <f t="shared" si="13"/>
        <v>1349</v>
      </c>
    </row>
    <row r="12" spans="2:50" s="325" customFormat="1">
      <c r="B12" s="322">
        <v>9</v>
      </c>
      <c r="C12" s="1">
        <v>1354</v>
      </c>
      <c r="D12" s="1">
        <v>142</v>
      </c>
      <c r="E12" s="1">
        <v>0</v>
      </c>
      <c r="F12" s="1">
        <v>65</v>
      </c>
      <c r="G12" s="1">
        <v>71</v>
      </c>
      <c r="H12" s="1">
        <v>20</v>
      </c>
      <c r="I12" s="1">
        <v>2</v>
      </c>
      <c r="J12" s="1">
        <v>0</v>
      </c>
      <c r="K12" s="1">
        <v>1</v>
      </c>
      <c r="L12" s="1">
        <v>1</v>
      </c>
      <c r="M12" s="322">
        <f t="shared" si="27"/>
        <v>67.7</v>
      </c>
      <c r="N12" s="322">
        <f t="shared" si="28"/>
        <v>71</v>
      </c>
      <c r="O12" s="322" t="e">
        <f t="shared" si="29"/>
        <v>#DIV/0!</v>
      </c>
      <c r="P12" s="320">
        <f t="shared" si="15"/>
        <v>65</v>
      </c>
      <c r="Q12" s="1">
        <f t="shared" si="16"/>
        <v>71</v>
      </c>
      <c r="R12" s="322">
        <f>C12*(0.177777777777777*0.9)</f>
        <v>216.63999999999908</v>
      </c>
      <c r="S12" s="450">
        <f>C12*0.05</f>
        <v>67.7</v>
      </c>
      <c r="T12" s="322">
        <f>D12*(0.255555555555555*0.9)</f>
        <v>32.659999999999926</v>
      </c>
      <c r="U12" s="322">
        <f>D12*0.05</f>
        <v>7.1000000000000005</v>
      </c>
      <c r="V12" s="322">
        <f>E12*(0.3003003*0.9)</f>
        <v>0</v>
      </c>
      <c r="W12" s="322">
        <f>E12*0.081081081</f>
        <v>0</v>
      </c>
      <c r="X12" s="322"/>
      <c r="Y12" s="322">
        <f>F12*0.047492307</f>
        <v>3.086999955</v>
      </c>
      <c r="Z12" s="1">
        <f>G12*(0.255555555555555*0.9)</f>
        <v>16.329999999999963</v>
      </c>
      <c r="AA12" s="1">
        <f t="shared" si="17"/>
        <v>3.5500000000000003</v>
      </c>
      <c r="AB12" s="44">
        <f t="shared" si="18"/>
        <v>1069.660000000001</v>
      </c>
      <c r="AC12" s="42">
        <f t="shared" si="19"/>
        <v>102.24000000000008</v>
      </c>
      <c r="AD12" s="42">
        <f t="shared" si="20"/>
        <v>0</v>
      </c>
      <c r="AE12" s="322">
        <f t="shared" si="3"/>
        <v>61.913000044999997</v>
      </c>
      <c r="AF12" s="274">
        <f t="shared" si="4"/>
        <v>51.12000000000004</v>
      </c>
      <c r="AG12" s="438">
        <f t="shared" si="21"/>
        <v>1284.9330000450011</v>
      </c>
      <c r="AH12" s="42">
        <f t="shared" si="5"/>
        <v>265.62999999999897</v>
      </c>
      <c r="AI12" s="438">
        <f t="shared" si="6"/>
        <v>81.43699995499999</v>
      </c>
      <c r="AJ12" s="322">
        <v>0</v>
      </c>
      <c r="AK12" s="326">
        <v>0</v>
      </c>
      <c r="AL12" s="327">
        <f t="shared" si="7"/>
        <v>85.891243318516118</v>
      </c>
      <c r="AM12" s="44">
        <f t="shared" si="22"/>
        <v>1632</v>
      </c>
      <c r="AN12">
        <f t="shared" si="23"/>
        <v>15.999999999999931</v>
      </c>
      <c r="AO12">
        <f t="shared" si="24"/>
        <v>22.999999999999947</v>
      </c>
      <c r="AP12">
        <f t="shared" si="25"/>
        <v>0.22999999999999948</v>
      </c>
      <c r="AR12">
        <f t="shared" si="26"/>
        <v>24</v>
      </c>
      <c r="AS12" s="325">
        <f t="shared" si="8"/>
        <v>1496</v>
      </c>
      <c r="AT12" s="325">
        <f t="shared" si="9"/>
        <v>0.7900000000000007</v>
      </c>
      <c r="AU12" s="325">
        <f t="shared" si="10"/>
        <v>0.72000000000000053</v>
      </c>
      <c r="AV12" s="325" t="e">
        <f t="shared" si="11"/>
        <v>#DIV/0!</v>
      </c>
      <c r="AW12" s="325">
        <f t="shared" si="12"/>
        <v>0.95250769299999993</v>
      </c>
      <c r="AX12" s="319">
        <f t="shared" si="13"/>
        <v>1561</v>
      </c>
    </row>
    <row r="13" spans="2:50" s="258" customFormat="1">
      <c r="B13" s="274">
        <v>10</v>
      </c>
      <c r="C13" s="1">
        <v>1100</v>
      </c>
      <c r="D13" s="1">
        <v>140</v>
      </c>
      <c r="E13" s="1">
        <v>0</v>
      </c>
      <c r="F13" s="1">
        <v>0</v>
      </c>
      <c r="G13" s="1">
        <v>211</v>
      </c>
      <c r="H13" s="1">
        <v>17.37</v>
      </c>
      <c r="I13" s="1">
        <v>2</v>
      </c>
      <c r="J13" s="1">
        <v>0</v>
      </c>
      <c r="K13" s="1">
        <v>0</v>
      </c>
      <c r="L13" s="1">
        <v>3</v>
      </c>
      <c r="M13" s="274">
        <f t="shared" si="27"/>
        <v>63.32757628094415</v>
      </c>
      <c r="N13" s="274">
        <f t="shared" si="28"/>
        <v>70</v>
      </c>
      <c r="O13" s="274" t="e">
        <f>E13/J13</f>
        <v>#DIV/0!</v>
      </c>
      <c r="P13" s="1" t="e">
        <f t="shared" si="15"/>
        <v>#DIV/0!</v>
      </c>
      <c r="Q13" s="1">
        <f t="shared" si="16"/>
        <v>70.333333333333329</v>
      </c>
      <c r="R13" s="274">
        <f>C13*(0.172222222222222*0.9)</f>
        <v>170.49999999999977</v>
      </c>
      <c r="S13" s="274">
        <f t="shared" ref="S13:S14" si="32">C13*0.05</f>
        <v>55</v>
      </c>
      <c r="T13" s="274">
        <f>D13*(0.277777777777777*0.9)</f>
        <v>34.999999999999901</v>
      </c>
      <c r="U13" s="274">
        <f>D13*0.05357142857</f>
        <v>7.4999999998</v>
      </c>
      <c r="V13" s="274">
        <f>E13*(0.222222222222222*0.9)</f>
        <v>0</v>
      </c>
      <c r="W13" s="274">
        <f>E13*0.05</f>
        <v>0</v>
      </c>
      <c r="X13" s="274"/>
      <c r="Y13" s="274">
        <f t="shared" si="30"/>
        <v>0</v>
      </c>
      <c r="Z13" s="1">
        <f>G13*(0.270300158*0.9)</f>
        <v>51.330000004200002</v>
      </c>
      <c r="AA13" s="1">
        <f>G13*0.052369668</f>
        <v>11.049999948</v>
      </c>
      <c r="AB13" s="44">
        <f t="shared" si="18"/>
        <v>874.50000000000023</v>
      </c>
      <c r="AC13" s="42">
        <f t="shared" si="19"/>
        <v>97.500000000200103</v>
      </c>
      <c r="AD13" s="42">
        <f t="shared" si="20"/>
        <v>0</v>
      </c>
      <c r="AE13" s="274">
        <f t="shared" si="3"/>
        <v>0</v>
      </c>
      <c r="AF13" s="274">
        <f t="shared" si="4"/>
        <v>148.6200000478</v>
      </c>
      <c r="AG13" s="43">
        <f t="shared" si="21"/>
        <v>1120.6200000480003</v>
      </c>
      <c r="AH13" s="42">
        <f t="shared" si="5"/>
        <v>256.83000000419963</v>
      </c>
      <c r="AI13" s="44">
        <f t="shared" si="6"/>
        <v>73.549999947799989</v>
      </c>
      <c r="AJ13" s="274">
        <v>0</v>
      </c>
      <c r="AK13" s="276">
        <v>0</v>
      </c>
      <c r="AL13" s="277">
        <f t="shared" si="7"/>
        <v>90.372580649032287</v>
      </c>
      <c r="AM13" s="44">
        <f t="shared" si="22"/>
        <v>1450.9999999999998</v>
      </c>
      <c r="AN13">
        <f t="shared" si="23"/>
        <v>15.49999999999998</v>
      </c>
      <c r="AO13">
        <f t="shared" si="24"/>
        <v>24.999999999999929</v>
      </c>
      <c r="AP13">
        <f t="shared" si="25"/>
        <v>0.24327014220000001</v>
      </c>
      <c r="AR13">
        <f t="shared" si="26"/>
        <v>22.37</v>
      </c>
      <c r="AS13" s="258">
        <f t="shared" si="8"/>
        <v>1240</v>
      </c>
      <c r="AT13" s="258">
        <f t="shared" si="9"/>
        <v>0.79500000000000026</v>
      </c>
      <c r="AU13" s="258">
        <f t="shared" si="10"/>
        <v>0.6964285714300007</v>
      </c>
      <c r="AV13" s="258">
        <f>AF13/G13</f>
        <v>0.70436018980000004</v>
      </c>
      <c r="AW13" s="258" t="e">
        <f t="shared" si="12"/>
        <v>#DIV/0!</v>
      </c>
      <c r="AX13">
        <f t="shared" si="13"/>
        <v>1240</v>
      </c>
    </row>
    <row r="14" spans="2:50" s="258" customFormat="1">
      <c r="B14" s="274">
        <v>11</v>
      </c>
      <c r="C14" s="1">
        <v>1130</v>
      </c>
      <c r="D14" s="1">
        <v>0</v>
      </c>
      <c r="E14" s="1">
        <v>0</v>
      </c>
      <c r="F14" s="1">
        <v>0</v>
      </c>
      <c r="G14" s="1">
        <v>400</v>
      </c>
      <c r="H14" s="1">
        <v>18</v>
      </c>
      <c r="I14" s="1">
        <v>0</v>
      </c>
      <c r="J14" s="1">
        <v>0</v>
      </c>
      <c r="K14" s="1">
        <v>0</v>
      </c>
      <c r="L14" s="1">
        <v>6</v>
      </c>
      <c r="M14" s="274">
        <f t="shared" si="27"/>
        <v>62.777777777777779</v>
      </c>
      <c r="N14" s="274" t="e">
        <f t="shared" ref="N14" si="33">D14/I14</f>
        <v>#DIV/0!</v>
      </c>
      <c r="O14" s="274" t="e">
        <f t="shared" ref="O14" si="34">E14/J14</f>
        <v>#DIV/0!</v>
      </c>
      <c r="P14" s="1" t="e">
        <f t="shared" si="15"/>
        <v>#DIV/0!</v>
      </c>
      <c r="Q14" s="1">
        <f t="shared" si="16"/>
        <v>66.666666666666671</v>
      </c>
      <c r="R14" s="274">
        <f>C14*(0.166666666666666*0.9)</f>
        <v>169.49999999999932</v>
      </c>
      <c r="S14" s="274">
        <f t="shared" si="32"/>
        <v>56.5</v>
      </c>
      <c r="T14" s="274">
        <f>D14*(0.3114478112*0.9)</f>
        <v>0</v>
      </c>
      <c r="U14" s="274">
        <f t="shared" si="31"/>
        <v>0</v>
      </c>
      <c r="V14" s="274">
        <f>E14*(0.2085470086*0.9)</f>
        <v>0</v>
      </c>
      <c r="W14" s="274">
        <f>E14*0.0492307693</f>
        <v>0</v>
      </c>
      <c r="X14" s="274"/>
      <c r="Y14" s="274">
        <f t="shared" si="30"/>
        <v>0</v>
      </c>
      <c r="Z14" s="1">
        <f>G14*(0.2555555555556*0.9)</f>
        <v>92.000000000016001</v>
      </c>
      <c r="AA14" s="1">
        <f t="shared" si="17"/>
        <v>20</v>
      </c>
      <c r="AB14" s="44">
        <f t="shared" si="18"/>
        <v>904.00000000000068</v>
      </c>
      <c r="AC14" s="42">
        <f t="shared" si="19"/>
        <v>0</v>
      </c>
      <c r="AD14" s="42">
        <f t="shared" si="20"/>
        <v>0</v>
      </c>
      <c r="AE14" s="274">
        <f t="shared" si="3"/>
        <v>0</v>
      </c>
      <c r="AF14" s="274">
        <f t="shared" si="4"/>
        <v>287.99999999998397</v>
      </c>
      <c r="AG14" s="43">
        <f t="shared" si="21"/>
        <v>1191.9999999999845</v>
      </c>
      <c r="AH14" s="42">
        <f t="shared" si="5"/>
        <v>261.50000000001535</v>
      </c>
      <c r="AI14" s="44">
        <f t="shared" si="6"/>
        <v>76.5</v>
      </c>
      <c r="AJ14" s="274">
        <v>0</v>
      </c>
      <c r="AK14" s="276">
        <v>0</v>
      </c>
      <c r="AL14" s="277">
        <f t="shared" si="7"/>
        <v>105.48672566371545</v>
      </c>
      <c r="AM14" s="44">
        <f t="shared" si="22"/>
        <v>1530</v>
      </c>
      <c r="AN14">
        <f t="shared" si="23"/>
        <v>14.999999999999938</v>
      </c>
      <c r="AO14" t="e">
        <f t="shared" si="24"/>
        <v>#DIV/0!</v>
      </c>
      <c r="AP14">
        <f t="shared" si="25"/>
        <v>0.23000000000004001</v>
      </c>
      <c r="AR14">
        <f t="shared" si="26"/>
        <v>24</v>
      </c>
      <c r="AS14" s="258">
        <f t="shared" si="8"/>
        <v>1130</v>
      </c>
      <c r="AT14" s="258">
        <f t="shared" si="9"/>
        <v>0.8000000000000006</v>
      </c>
      <c r="AU14" s="258" t="e">
        <f t="shared" si="10"/>
        <v>#DIV/0!</v>
      </c>
      <c r="AV14" s="258">
        <f t="shared" ref="AV14:AV35" si="35">AF14/G14</f>
        <v>0.71999999999995989</v>
      </c>
      <c r="AW14" s="258" t="e">
        <f t="shared" si="12"/>
        <v>#DIV/0!</v>
      </c>
      <c r="AX14">
        <f t="shared" si="13"/>
        <v>1130</v>
      </c>
    </row>
    <row r="15" spans="2:50" s="258" customFormat="1">
      <c r="B15" s="274">
        <v>12</v>
      </c>
      <c r="C15" s="1">
        <v>1010</v>
      </c>
      <c r="D15" s="1">
        <v>0</v>
      </c>
      <c r="E15" s="1">
        <v>0</v>
      </c>
      <c r="F15" s="1">
        <v>0</v>
      </c>
      <c r="G15" s="1">
        <v>300</v>
      </c>
      <c r="H15" s="1">
        <v>15.45</v>
      </c>
      <c r="I15" s="1">
        <v>0</v>
      </c>
      <c r="J15" s="1">
        <v>0</v>
      </c>
      <c r="K15" s="1">
        <v>0</v>
      </c>
      <c r="L15" s="1">
        <v>4.5</v>
      </c>
      <c r="M15" s="274">
        <f t="shared" si="27"/>
        <v>65.372168284789652</v>
      </c>
      <c r="N15" s="274" t="e">
        <f t="shared" si="28"/>
        <v>#DIV/0!</v>
      </c>
      <c r="O15" s="274" t="e">
        <f t="shared" si="29"/>
        <v>#DIV/0!</v>
      </c>
      <c r="P15" s="1" t="e">
        <f t="shared" si="15"/>
        <v>#DIV/0!</v>
      </c>
      <c r="Q15" s="1">
        <f t="shared" si="16"/>
        <v>66.666666666666671</v>
      </c>
      <c r="R15" s="274">
        <f>C15*(0.1740055*0.9)</f>
        <v>158.17099950000002</v>
      </c>
      <c r="S15" s="274">
        <f>C15*0.049998019</f>
        <v>50.497999189999994</v>
      </c>
      <c r="T15" s="274">
        <f>D15*(0.322222222222222*0.9)</f>
        <v>0</v>
      </c>
      <c r="U15" s="274">
        <f t="shared" si="31"/>
        <v>0</v>
      </c>
      <c r="V15" s="274">
        <f>E15*(0.297777777777777*0.9)</f>
        <v>0</v>
      </c>
      <c r="W15" s="274">
        <f>E15*0.052</f>
        <v>0</v>
      </c>
      <c r="X15" s="274"/>
      <c r="Y15" s="274">
        <f t="shared" si="30"/>
        <v>0</v>
      </c>
      <c r="Z15" s="1">
        <f>G15*(0.264*0.9)</f>
        <v>71.28</v>
      </c>
      <c r="AA15" s="1">
        <f>G15*0.05019</f>
        <v>15.057</v>
      </c>
      <c r="AB15" s="438">
        <f t="shared" si="18"/>
        <v>801.33100131000003</v>
      </c>
      <c r="AC15" s="42">
        <f t="shared" si="19"/>
        <v>0</v>
      </c>
      <c r="AD15" s="42">
        <f t="shared" si="20"/>
        <v>0</v>
      </c>
      <c r="AE15" s="274">
        <f t="shared" si="3"/>
        <v>0</v>
      </c>
      <c r="AF15" s="274">
        <f t="shared" si="4"/>
        <v>213.66300000000001</v>
      </c>
      <c r="AG15" s="438">
        <f t="shared" si="21"/>
        <v>1014.99400131</v>
      </c>
      <c r="AH15" s="438">
        <f t="shared" si="5"/>
        <v>229.45099950000002</v>
      </c>
      <c r="AI15" s="438">
        <f t="shared" si="6"/>
        <v>65.55499918999999</v>
      </c>
      <c r="AJ15" s="274">
        <v>0</v>
      </c>
      <c r="AK15" s="276">
        <v>0</v>
      </c>
      <c r="AL15" s="277">
        <f t="shared" si="7"/>
        <v>100.49445557524751</v>
      </c>
      <c r="AM15" s="44">
        <f t="shared" si="22"/>
        <v>1310</v>
      </c>
      <c r="AN15">
        <f t="shared" si="23"/>
        <v>15.660495000000003</v>
      </c>
      <c r="AO15" t="e">
        <f t="shared" si="24"/>
        <v>#DIV/0!</v>
      </c>
      <c r="AP15">
        <f t="shared" si="25"/>
        <v>0.23760000000000001</v>
      </c>
      <c r="AR15">
        <f t="shared" si="26"/>
        <v>19.95</v>
      </c>
      <c r="AS15" s="258">
        <f t="shared" si="8"/>
        <v>1010</v>
      </c>
      <c r="AT15" s="258">
        <f t="shared" si="9"/>
        <v>0.79339703100000003</v>
      </c>
      <c r="AU15" s="258" t="e">
        <f t="shared" si="10"/>
        <v>#DIV/0!</v>
      </c>
      <c r="AV15" s="258">
        <f t="shared" si="35"/>
        <v>0.71221000000000001</v>
      </c>
      <c r="AW15" s="258" t="e">
        <f t="shared" si="12"/>
        <v>#DIV/0!</v>
      </c>
      <c r="AX15">
        <f t="shared" si="13"/>
        <v>1010</v>
      </c>
    </row>
    <row r="16" spans="2:50" s="258" customFormat="1">
      <c r="B16" s="274">
        <v>13</v>
      </c>
      <c r="C16" s="1">
        <v>1284</v>
      </c>
      <c r="D16" s="1">
        <v>140</v>
      </c>
      <c r="E16" s="1">
        <v>0</v>
      </c>
      <c r="F16" s="1">
        <v>0</v>
      </c>
      <c r="G16" s="1">
        <v>136</v>
      </c>
      <c r="H16" s="1">
        <v>20</v>
      </c>
      <c r="I16" s="1">
        <v>2</v>
      </c>
      <c r="J16" s="1">
        <v>0</v>
      </c>
      <c r="K16" s="1">
        <v>0</v>
      </c>
      <c r="L16" s="1">
        <v>2</v>
      </c>
      <c r="M16" s="274">
        <f t="shared" si="27"/>
        <v>64.2</v>
      </c>
      <c r="N16" s="274">
        <f t="shared" si="28"/>
        <v>70</v>
      </c>
      <c r="O16" s="274" t="e">
        <f t="shared" si="29"/>
        <v>#DIV/0!</v>
      </c>
      <c r="P16" s="1" t="e">
        <f t="shared" si="15"/>
        <v>#DIV/0!</v>
      </c>
      <c r="Q16" s="1">
        <f t="shared" si="16"/>
        <v>68</v>
      </c>
      <c r="R16" s="295">
        <f>C16*(0.187175493*0.9)</f>
        <v>216.29999971079999</v>
      </c>
      <c r="S16" s="295">
        <f>C16*0.049529595</f>
        <v>63.595999980000002</v>
      </c>
      <c r="T16" s="274">
        <f>D16*(0.255555555*0.9)</f>
        <v>32.199999929999997</v>
      </c>
      <c r="U16" s="274">
        <f t="shared" ref="U16:U22" si="36">D16*0.05</f>
        <v>7</v>
      </c>
      <c r="V16" s="274">
        <f>E16*(0.3*0.9)</f>
        <v>0</v>
      </c>
      <c r="W16" s="274">
        <f>E16*0.06</f>
        <v>0</v>
      </c>
      <c r="X16" s="274"/>
      <c r="Y16" s="274"/>
      <c r="Z16" s="1">
        <f>G16*(0.255555555*0.9)</f>
        <v>31.279999931999999</v>
      </c>
      <c r="AA16" s="1">
        <f>G16*0.050007352</f>
        <v>6.8009998719999993</v>
      </c>
      <c r="AB16" s="44">
        <f t="shared" si="18"/>
        <v>1004.1040003092</v>
      </c>
      <c r="AC16" s="42">
        <f t="shared" si="19"/>
        <v>100.80000007000001</v>
      </c>
      <c r="AD16" s="42">
        <f t="shared" si="20"/>
        <v>0</v>
      </c>
      <c r="AE16" s="274">
        <f t="shared" si="3"/>
        <v>0</v>
      </c>
      <c r="AF16" s="274">
        <f t="shared" si="4"/>
        <v>97.919000195999999</v>
      </c>
      <c r="AG16" s="451">
        <f t="shared" si="21"/>
        <v>1202.8230005752002</v>
      </c>
      <c r="AH16" s="438">
        <f t="shared" si="5"/>
        <v>279.77999957279997</v>
      </c>
      <c r="AI16" s="451">
        <f t="shared" si="6"/>
        <v>77.396999852000008</v>
      </c>
      <c r="AJ16" s="274">
        <v>0</v>
      </c>
      <c r="AK16" s="276">
        <v>0</v>
      </c>
      <c r="AL16" s="277">
        <f t="shared" si="7"/>
        <v>84.467907343764054</v>
      </c>
      <c r="AM16" s="44">
        <f t="shared" si="22"/>
        <v>1560.0000000000002</v>
      </c>
      <c r="AN16">
        <f t="shared" si="23"/>
        <v>16.84579437</v>
      </c>
      <c r="AO16">
        <f t="shared" si="24"/>
        <v>22.999999949999996</v>
      </c>
      <c r="AP16">
        <f t="shared" si="25"/>
        <v>0.2299999995</v>
      </c>
      <c r="AR16">
        <f t="shared" si="26"/>
        <v>24</v>
      </c>
      <c r="AS16" s="258">
        <f t="shared" si="8"/>
        <v>1424</v>
      </c>
      <c r="AT16" s="258">
        <f t="shared" si="9"/>
        <v>0.78201246130000002</v>
      </c>
      <c r="AU16" s="258">
        <f t="shared" si="10"/>
        <v>0.72000000050000013</v>
      </c>
      <c r="AV16" s="258">
        <f t="shared" si="35"/>
        <v>0.7199926485</v>
      </c>
      <c r="AW16" s="258" t="e">
        <f t="shared" si="12"/>
        <v>#DIV/0!</v>
      </c>
      <c r="AX16">
        <f t="shared" si="13"/>
        <v>1424</v>
      </c>
    </row>
    <row r="17" spans="2:50">
      <c r="B17" s="1">
        <v>14</v>
      </c>
      <c r="C17" s="1">
        <v>1178</v>
      </c>
      <c r="D17" s="1">
        <v>68</v>
      </c>
      <c r="E17" s="1">
        <v>0</v>
      </c>
      <c r="F17" s="1">
        <v>0</v>
      </c>
      <c r="G17" s="1">
        <v>139</v>
      </c>
      <c r="H17" s="1">
        <v>18.329999999999998</v>
      </c>
      <c r="I17" s="1">
        <v>1</v>
      </c>
      <c r="J17" s="1">
        <v>0</v>
      </c>
      <c r="K17" s="1">
        <v>0</v>
      </c>
      <c r="L17" s="1">
        <v>2</v>
      </c>
      <c r="M17" s="1">
        <f t="shared" si="27"/>
        <v>64.266230223677042</v>
      </c>
      <c r="N17" s="1">
        <f t="shared" si="28"/>
        <v>68</v>
      </c>
      <c r="O17" s="1" t="e">
        <f t="shared" si="29"/>
        <v>#DIV/0!</v>
      </c>
      <c r="P17" s="1" t="e">
        <f t="shared" si="15"/>
        <v>#DIV/0!</v>
      </c>
      <c r="Q17" s="1">
        <f t="shared" si="16"/>
        <v>69.5</v>
      </c>
      <c r="R17" s="1">
        <f>C17*(0.177777777777777*0.9)</f>
        <v>188.47999999999919</v>
      </c>
      <c r="S17" s="1">
        <f>C17*0.05</f>
        <v>58.900000000000006</v>
      </c>
      <c r="T17" s="1">
        <f>D17*(0.2555555556*0.9)</f>
        <v>15.640000002719999</v>
      </c>
      <c r="U17" s="1">
        <f t="shared" si="36"/>
        <v>3.4000000000000004</v>
      </c>
      <c r="V17" s="1">
        <f>E17*(0.288888888888888*0.9)</f>
        <v>0</v>
      </c>
      <c r="W17" s="1">
        <f>E17*0.05</f>
        <v>0</v>
      </c>
      <c r="X17" s="1"/>
      <c r="Y17" s="1"/>
      <c r="Z17" s="1">
        <f>G17*(0.2501998401*0.9)</f>
        <v>31.299999996510003</v>
      </c>
      <c r="AA17" s="1">
        <f>G17*0.0503597123</f>
        <v>7.0000000096999999</v>
      </c>
      <c r="AB17" s="44">
        <f t="shared" si="18"/>
        <v>930.6200000000008</v>
      </c>
      <c r="AC17" s="42">
        <f t="shared" si="19"/>
        <v>48.959999997280001</v>
      </c>
      <c r="AD17" s="42">
        <f t="shared" si="20"/>
        <v>0</v>
      </c>
      <c r="AE17" s="274">
        <f t="shared" si="3"/>
        <v>0</v>
      </c>
      <c r="AF17" s="274">
        <f t="shared" si="4"/>
        <v>100.69999999379</v>
      </c>
      <c r="AG17" s="43">
        <f t="shared" si="21"/>
        <v>1080.2799999910708</v>
      </c>
      <c r="AH17" s="42">
        <f t="shared" si="5"/>
        <v>235.41999999922919</v>
      </c>
      <c r="AI17" s="44">
        <f t="shared" si="6"/>
        <v>69.3000000097</v>
      </c>
      <c r="AJ17" s="1">
        <v>0</v>
      </c>
      <c r="AK17" s="6">
        <v>0</v>
      </c>
      <c r="AL17" s="32">
        <f t="shared" si="7"/>
        <v>86.6998394856397</v>
      </c>
      <c r="AM17" s="44">
        <f t="shared" si="22"/>
        <v>1385</v>
      </c>
      <c r="AN17">
        <f t="shared" si="23"/>
        <v>15.999999999999931</v>
      </c>
      <c r="AO17">
        <f t="shared" si="24"/>
        <v>23.000000004</v>
      </c>
      <c r="AP17">
        <f t="shared" si="25"/>
        <v>0.22517985609000002</v>
      </c>
      <c r="AR17">
        <f t="shared" si="26"/>
        <v>21.33</v>
      </c>
      <c r="AS17">
        <f t="shared" si="8"/>
        <v>1246</v>
      </c>
      <c r="AT17">
        <f t="shared" si="9"/>
        <v>0.7900000000000007</v>
      </c>
      <c r="AU17">
        <f t="shared" si="10"/>
        <v>0.71999999995999997</v>
      </c>
      <c r="AV17" s="258">
        <f t="shared" si="35"/>
        <v>0.72446043160999996</v>
      </c>
      <c r="AW17" t="e">
        <f t="shared" si="12"/>
        <v>#DIV/0!</v>
      </c>
      <c r="AX17">
        <f t="shared" si="13"/>
        <v>1246</v>
      </c>
    </row>
    <row r="18" spans="2:50" s="319" customFormat="1">
      <c r="B18" s="320">
        <v>15</v>
      </c>
      <c r="C18" s="1">
        <v>1055</v>
      </c>
      <c r="D18" s="1">
        <v>0</v>
      </c>
      <c r="E18" s="1">
        <v>0</v>
      </c>
      <c r="F18" s="1">
        <v>0</v>
      </c>
      <c r="G18" s="1">
        <v>136</v>
      </c>
      <c r="H18" s="1">
        <v>16</v>
      </c>
      <c r="I18" s="1">
        <v>0</v>
      </c>
      <c r="J18" s="1">
        <v>0</v>
      </c>
      <c r="K18" s="1">
        <v>0</v>
      </c>
      <c r="L18" s="1">
        <v>2</v>
      </c>
      <c r="M18" s="320">
        <f t="shared" si="27"/>
        <v>65.9375</v>
      </c>
      <c r="N18" s="320" t="e">
        <f t="shared" si="28"/>
        <v>#DIV/0!</v>
      </c>
      <c r="O18" s="320" t="e">
        <f t="shared" si="29"/>
        <v>#DIV/0!</v>
      </c>
      <c r="P18" s="320" t="e">
        <f t="shared" si="15"/>
        <v>#DIV/0!</v>
      </c>
      <c r="Q18" s="1">
        <f t="shared" si="16"/>
        <v>68</v>
      </c>
      <c r="R18" s="320">
        <f>C18*(0.177777777777777*0.9)</f>
        <v>168.79999999999927</v>
      </c>
      <c r="S18" s="320">
        <f>C18*0.05</f>
        <v>52.75</v>
      </c>
      <c r="T18" s="320">
        <f>D18*(0.322222222222222*0.9)</f>
        <v>0</v>
      </c>
      <c r="U18" s="320">
        <f t="shared" si="36"/>
        <v>0</v>
      </c>
      <c r="V18" s="320">
        <f>E18*(0.288888888888888*0.9)</f>
        <v>0</v>
      </c>
      <c r="W18" s="320">
        <f>E18*0.05</f>
        <v>0</v>
      </c>
      <c r="X18" s="320">
        <f>F18*(0*0.9)</f>
        <v>0</v>
      </c>
      <c r="Y18" s="320">
        <f>F18*0.05</f>
        <v>0</v>
      </c>
      <c r="Z18" s="1">
        <f>G18*(0.261111111111111*0.9)</f>
        <v>31.95999999999999</v>
      </c>
      <c r="AA18" s="1">
        <f t="shared" si="17"/>
        <v>6.8000000000000007</v>
      </c>
      <c r="AB18" s="44">
        <f t="shared" si="18"/>
        <v>833.45000000000073</v>
      </c>
      <c r="AC18" s="42">
        <f t="shared" si="19"/>
        <v>0</v>
      </c>
      <c r="AD18" s="42">
        <f t="shared" si="20"/>
        <v>0</v>
      </c>
      <c r="AE18" s="322">
        <f t="shared" si="3"/>
        <v>0</v>
      </c>
      <c r="AF18" s="274">
        <f t="shared" si="4"/>
        <v>97.240000000000009</v>
      </c>
      <c r="AG18" s="43">
        <f t="shared" si="21"/>
        <v>930.69000000000074</v>
      </c>
      <c r="AH18" s="42">
        <f t="shared" si="5"/>
        <v>200.75999999999925</v>
      </c>
      <c r="AI18" s="438">
        <f t="shared" si="6"/>
        <v>59.55</v>
      </c>
      <c r="AJ18" s="320">
        <v>0</v>
      </c>
      <c r="AK18" s="323">
        <v>0</v>
      </c>
      <c r="AL18" s="324">
        <f t="shared" si="7"/>
        <v>88.217061611374476</v>
      </c>
      <c r="AM18" s="44">
        <f t="shared" si="22"/>
        <v>1191</v>
      </c>
      <c r="AN18">
        <f t="shared" si="23"/>
        <v>15.999999999999931</v>
      </c>
      <c r="AO18" t="e">
        <f t="shared" si="24"/>
        <v>#DIV/0!</v>
      </c>
      <c r="AP18">
        <f t="shared" si="25"/>
        <v>0.23499999999999993</v>
      </c>
      <c r="AR18">
        <f t="shared" si="26"/>
        <v>18</v>
      </c>
      <c r="AS18" s="319">
        <f t="shared" si="8"/>
        <v>1055</v>
      </c>
      <c r="AT18" s="319">
        <f t="shared" si="9"/>
        <v>0.7900000000000007</v>
      </c>
      <c r="AU18" s="319" t="e">
        <f t="shared" si="10"/>
        <v>#DIV/0!</v>
      </c>
      <c r="AV18" s="258">
        <f t="shared" si="35"/>
        <v>0.71500000000000008</v>
      </c>
      <c r="AW18" s="319" t="e">
        <f t="shared" si="12"/>
        <v>#DIV/0!</v>
      </c>
      <c r="AX18" s="319">
        <f t="shared" si="13"/>
        <v>1055</v>
      </c>
    </row>
    <row r="19" spans="2:50" s="319" customFormat="1">
      <c r="B19" s="320">
        <v>16</v>
      </c>
      <c r="C19" s="1">
        <v>1432</v>
      </c>
      <c r="D19" s="1">
        <v>140</v>
      </c>
      <c r="E19" s="1">
        <v>0</v>
      </c>
      <c r="F19" s="1">
        <v>0</v>
      </c>
      <c r="G19" s="1">
        <v>0</v>
      </c>
      <c r="H19" s="1">
        <v>22</v>
      </c>
      <c r="I19" s="1">
        <v>2</v>
      </c>
      <c r="J19" s="1">
        <v>0</v>
      </c>
      <c r="K19" s="1">
        <v>0</v>
      </c>
      <c r="L19" s="1">
        <v>0</v>
      </c>
      <c r="M19" s="320">
        <f t="shared" si="27"/>
        <v>65.090909090909093</v>
      </c>
      <c r="N19" s="320">
        <f>D19/I19</f>
        <v>70</v>
      </c>
      <c r="O19" s="320" t="e">
        <f t="shared" si="29"/>
        <v>#DIV/0!</v>
      </c>
      <c r="P19" s="320" t="e">
        <f t="shared" si="15"/>
        <v>#DIV/0!</v>
      </c>
      <c r="Q19" s="1" t="e">
        <f t="shared" si="16"/>
        <v>#DIV/0!</v>
      </c>
      <c r="R19" s="320">
        <f>C19*(0.172222222222222*0.9)</f>
        <v>221.95999999999972</v>
      </c>
      <c r="S19" s="320">
        <f>C19*0.05</f>
        <v>71.600000000000009</v>
      </c>
      <c r="T19" s="320">
        <f>D19*(0.266666666666666*0.9)</f>
        <v>33.599999999999916</v>
      </c>
      <c r="U19" s="320">
        <f t="shared" si="36"/>
        <v>7</v>
      </c>
      <c r="V19" s="320">
        <f>E19*(0.271416455*0.9)</f>
        <v>0</v>
      </c>
      <c r="W19" s="320">
        <f>E19*0.0480916033</f>
        <v>0</v>
      </c>
      <c r="X19" s="320"/>
      <c r="Y19" s="320">
        <f>F19*0.05</f>
        <v>0</v>
      </c>
      <c r="Z19" s="1">
        <f>G19*(0.311111111*0.9)</f>
        <v>0</v>
      </c>
      <c r="AA19" s="1">
        <f t="shared" si="17"/>
        <v>0</v>
      </c>
      <c r="AB19" s="44">
        <f t="shared" si="18"/>
        <v>1138.4400000000003</v>
      </c>
      <c r="AC19" s="42">
        <f t="shared" si="19"/>
        <v>99.400000000000091</v>
      </c>
      <c r="AD19" s="42">
        <f t="shared" si="20"/>
        <v>0</v>
      </c>
      <c r="AE19" s="322">
        <f t="shared" si="3"/>
        <v>0</v>
      </c>
      <c r="AF19" s="274">
        <f t="shared" si="4"/>
        <v>0</v>
      </c>
      <c r="AG19" s="43">
        <f t="shared" si="21"/>
        <v>1237.8400000000004</v>
      </c>
      <c r="AH19" s="438">
        <f>R19+T19+V19+Z19</f>
        <v>255.55999999999963</v>
      </c>
      <c r="AI19" s="438">
        <f t="shared" si="6"/>
        <v>78.600000000000009</v>
      </c>
      <c r="AJ19" s="320">
        <v>0</v>
      </c>
      <c r="AK19" s="323">
        <v>0</v>
      </c>
      <c r="AL19" s="324">
        <f t="shared" si="7"/>
        <v>78.74300254452929</v>
      </c>
      <c r="AM19" s="44">
        <f t="shared" si="22"/>
        <v>1572</v>
      </c>
      <c r="AN19">
        <f t="shared" si="23"/>
        <v>15.49999999999998</v>
      </c>
      <c r="AO19">
        <f t="shared" si="24"/>
        <v>23.99999999999994</v>
      </c>
      <c r="AP19" t="e">
        <f t="shared" si="25"/>
        <v>#DIV/0!</v>
      </c>
      <c r="AR19">
        <f t="shared" si="26"/>
        <v>24</v>
      </c>
      <c r="AS19" s="319">
        <f t="shared" si="8"/>
        <v>1572</v>
      </c>
      <c r="AT19" s="319">
        <f t="shared" si="9"/>
        <v>0.79500000000000015</v>
      </c>
      <c r="AU19" s="319">
        <f t="shared" si="10"/>
        <v>0.71000000000000063</v>
      </c>
      <c r="AV19" s="258" t="e">
        <f t="shared" si="35"/>
        <v>#DIV/0!</v>
      </c>
      <c r="AW19" s="319" t="e">
        <f t="shared" si="12"/>
        <v>#DIV/0!</v>
      </c>
      <c r="AX19" s="319">
        <f t="shared" si="13"/>
        <v>1572</v>
      </c>
    </row>
    <row r="20" spans="2:50" s="331" customFormat="1" ht="17.25" customHeight="1">
      <c r="B20" s="332">
        <v>17</v>
      </c>
      <c r="C20" s="1">
        <v>1140</v>
      </c>
      <c r="D20" s="1">
        <v>0</v>
      </c>
      <c r="E20" s="1">
        <v>0</v>
      </c>
      <c r="F20" s="1">
        <v>0</v>
      </c>
      <c r="G20" s="1">
        <v>420</v>
      </c>
      <c r="H20" s="1">
        <v>17.649999999999999</v>
      </c>
      <c r="I20" s="1">
        <v>0</v>
      </c>
      <c r="J20" s="1">
        <v>0</v>
      </c>
      <c r="K20" s="1">
        <v>0</v>
      </c>
      <c r="L20" s="1">
        <v>6</v>
      </c>
      <c r="M20" s="332">
        <f t="shared" si="27"/>
        <v>64.589235127478759</v>
      </c>
      <c r="N20" s="332" t="e">
        <f t="shared" si="28"/>
        <v>#DIV/0!</v>
      </c>
      <c r="O20" s="332" t="e">
        <f t="shared" si="29"/>
        <v>#DIV/0!</v>
      </c>
      <c r="P20" s="320" t="e">
        <f t="shared" si="15"/>
        <v>#DIV/0!</v>
      </c>
      <c r="Q20" s="1">
        <f t="shared" si="16"/>
        <v>70</v>
      </c>
      <c r="R20" s="332">
        <f>C20*(0.172222222222222*0.9)</f>
        <v>176.69999999999979</v>
      </c>
      <c r="S20" s="332">
        <f t="shared" ref="S20" si="37">C20*0.05</f>
        <v>57</v>
      </c>
      <c r="T20" s="332">
        <f>D20*(0.3*0.9)</f>
        <v>0</v>
      </c>
      <c r="U20" s="332">
        <f t="shared" si="36"/>
        <v>0</v>
      </c>
      <c r="V20" s="332">
        <f>E20*(0.29436152566678*0.9)</f>
        <v>0</v>
      </c>
      <c r="W20" s="332">
        <f>E20*0.05</f>
        <v>0</v>
      </c>
      <c r="X20" s="332"/>
      <c r="Y20" s="333">
        <f>F20*0.0583333333333333</f>
        <v>0</v>
      </c>
      <c r="Z20" s="1">
        <f>G20*(0.257407407407*0.9)</f>
        <v>97.299999999846008</v>
      </c>
      <c r="AA20" s="1">
        <f t="shared" si="17"/>
        <v>21</v>
      </c>
      <c r="AB20" s="44">
        <f t="shared" si="18"/>
        <v>906.30000000000018</v>
      </c>
      <c r="AC20" s="42">
        <f t="shared" si="19"/>
        <v>0</v>
      </c>
      <c r="AD20" s="42">
        <f t="shared" si="20"/>
        <v>0</v>
      </c>
      <c r="AE20" s="322">
        <f t="shared" si="3"/>
        <v>0</v>
      </c>
      <c r="AF20" s="274">
        <f t="shared" si="4"/>
        <v>301.70000000015398</v>
      </c>
      <c r="AG20" s="43">
        <f t="shared" si="21"/>
        <v>1208.0000000001542</v>
      </c>
      <c r="AH20" s="42">
        <f t="shared" si="5"/>
        <v>273.99999999984578</v>
      </c>
      <c r="AI20" s="44">
        <f t="shared" si="6"/>
        <v>78</v>
      </c>
      <c r="AJ20" s="332">
        <v>0</v>
      </c>
      <c r="AK20" s="334">
        <v>0</v>
      </c>
      <c r="AL20" s="335">
        <f t="shared" si="7"/>
        <v>105.96491228071527</v>
      </c>
      <c r="AM20" s="44">
        <f t="shared" si="22"/>
        <v>1560</v>
      </c>
      <c r="AN20">
        <f t="shared" si="23"/>
        <v>15.49999999999998</v>
      </c>
      <c r="AO20" t="e">
        <f t="shared" si="24"/>
        <v>#DIV/0!</v>
      </c>
      <c r="AP20">
        <f t="shared" si="25"/>
        <v>0.23166666666630001</v>
      </c>
      <c r="AR20">
        <f t="shared" si="26"/>
        <v>23.65</v>
      </c>
      <c r="AS20" s="331">
        <f t="shared" si="8"/>
        <v>1140</v>
      </c>
      <c r="AT20" s="331">
        <f t="shared" si="9"/>
        <v>0.79500000000000015</v>
      </c>
      <c r="AU20" s="319" t="e">
        <f t="shared" si="10"/>
        <v>#DIV/0!</v>
      </c>
      <c r="AV20" s="258">
        <f t="shared" si="35"/>
        <v>0.71833333333369997</v>
      </c>
      <c r="AW20" s="319" t="e">
        <f t="shared" si="12"/>
        <v>#DIV/0!</v>
      </c>
      <c r="AX20" s="319">
        <f t="shared" si="13"/>
        <v>1140</v>
      </c>
    </row>
    <row r="21" spans="2:50" s="342" customFormat="1">
      <c r="B21" s="343">
        <v>18</v>
      </c>
      <c r="C21" s="1">
        <v>1580</v>
      </c>
      <c r="D21" s="1">
        <v>0</v>
      </c>
      <c r="E21" s="1">
        <v>0</v>
      </c>
      <c r="F21" s="1">
        <v>0</v>
      </c>
      <c r="G21" s="1">
        <v>0</v>
      </c>
      <c r="H21" s="1">
        <v>24</v>
      </c>
      <c r="I21" s="1">
        <v>0</v>
      </c>
      <c r="J21" s="1">
        <v>0</v>
      </c>
      <c r="K21" s="1">
        <v>0</v>
      </c>
      <c r="L21" s="1">
        <v>0</v>
      </c>
      <c r="M21" s="343">
        <f t="shared" si="27"/>
        <v>65.833333333333329</v>
      </c>
      <c r="N21" s="343" t="e">
        <f>D21/I21</f>
        <v>#DIV/0!</v>
      </c>
      <c r="O21" s="343" t="e">
        <f t="shared" si="29"/>
        <v>#DIV/0!</v>
      </c>
      <c r="P21" s="320" t="e">
        <f t="shared" si="15"/>
        <v>#DIV/0!</v>
      </c>
      <c r="Q21" s="1" t="e">
        <f t="shared" si="16"/>
        <v>#DIV/0!</v>
      </c>
      <c r="R21" s="343">
        <f>C21*(0.166666666666666*0.9)</f>
        <v>236.99999999999903</v>
      </c>
      <c r="S21" s="455">
        <f>C21*0.05</f>
        <v>79</v>
      </c>
      <c r="T21" s="343">
        <f>D21*(0.288888888888888*0.9)</f>
        <v>0</v>
      </c>
      <c r="U21" s="343">
        <f t="shared" si="36"/>
        <v>0</v>
      </c>
      <c r="V21" s="343">
        <f>E21*(0.188034188*0.9)</f>
        <v>0</v>
      </c>
      <c r="W21" s="343">
        <f>E21*0.046153846</f>
        <v>0</v>
      </c>
      <c r="X21" s="343"/>
      <c r="Y21" s="333">
        <f>F21*0.055</f>
        <v>0</v>
      </c>
      <c r="Z21" s="1">
        <f>G21*(0.277777777777777*0.9)</f>
        <v>0</v>
      </c>
      <c r="AA21" s="1">
        <f>G21*0.05</f>
        <v>0</v>
      </c>
      <c r="AB21" s="44">
        <f t="shared" si="18"/>
        <v>1264.0000000000009</v>
      </c>
      <c r="AC21" s="42">
        <f t="shared" si="19"/>
        <v>0</v>
      </c>
      <c r="AD21" s="42">
        <f t="shared" si="20"/>
        <v>0</v>
      </c>
      <c r="AE21" s="322">
        <f t="shared" si="3"/>
        <v>0</v>
      </c>
      <c r="AF21" s="274">
        <f t="shared" si="4"/>
        <v>0</v>
      </c>
      <c r="AG21" s="43">
        <f t="shared" si="21"/>
        <v>1264.0000000000009</v>
      </c>
      <c r="AH21" s="42">
        <f t="shared" si="5"/>
        <v>236.99999999999903</v>
      </c>
      <c r="AI21" s="44">
        <f t="shared" si="6"/>
        <v>79</v>
      </c>
      <c r="AJ21" s="343">
        <v>0</v>
      </c>
      <c r="AK21" s="344">
        <v>0</v>
      </c>
      <c r="AL21" s="345">
        <f t="shared" si="7"/>
        <v>80.000000000000057</v>
      </c>
      <c r="AM21" s="44">
        <f t="shared" si="22"/>
        <v>1580</v>
      </c>
      <c r="AN21">
        <f t="shared" si="23"/>
        <v>14.999999999999938</v>
      </c>
      <c r="AO21" t="e">
        <f t="shared" si="24"/>
        <v>#DIV/0!</v>
      </c>
      <c r="AP21" t="e">
        <f t="shared" si="25"/>
        <v>#DIV/0!</v>
      </c>
      <c r="AR21">
        <f t="shared" si="26"/>
        <v>24</v>
      </c>
      <c r="AS21" s="342">
        <f t="shared" si="8"/>
        <v>1580</v>
      </c>
      <c r="AT21" s="342">
        <f t="shared" si="9"/>
        <v>0.8000000000000006</v>
      </c>
      <c r="AU21" s="319" t="e">
        <f t="shared" si="10"/>
        <v>#DIV/0!</v>
      </c>
      <c r="AV21" s="258" t="e">
        <f t="shared" si="35"/>
        <v>#DIV/0!</v>
      </c>
      <c r="AW21" s="319" t="e">
        <f t="shared" si="12"/>
        <v>#DIV/0!</v>
      </c>
      <c r="AX21" s="319">
        <f t="shared" si="13"/>
        <v>1580</v>
      </c>
    </row>
    <row r="22" spans="2:50" s="319" customFormat="1">
      <c r="B22" s="320">
        <v>19</v>
      </c>
      <c r="C22" s="1">
        <v>1353</v>
      </c>
      <c r="D22" s="1">
        <v>0</v>
      </c>
      <c r="E22" s="1">
        <v>0</v>
      </c>
      <c r="F22" s="1">
        <v>0</v>
      </c>
      <c r="G22" s="1">
        <v>207</v>
      </c>
      <c r="H22" s="1">
        <v>21</v>
      </c>
      <c r="I22" s="1">
        <v>0</v>
      </c>
      <c r="J22" s="1">
        <v>0</v>
      </c>
      <c r="K22" s="1">
        <v>0</v>
      </c>
      <c r="L22" s="1">
        <v>3</v>
      </c>
      <c r="M22" s="320">
        <f t="shared" si="27"/>
        <v>64.428571428571431</v>
      </c>
      <c r="N22" s="320" t="e">
        <f t="shared" si="28"/>
        <v>#DIV/0!</v>
      </c>
      <c r="O22" s="320" t="e">
        <f t="shared" si="29"/>
        <v>#DIV/0!</v>
      </c>
      <c r="P22" s="320" t="e">
        <f>F22/K22</f>
        <v>#DIV/0!</v>
      </c>
      <c r="Q22" s="1">
        <f t="shared" si="16"/>
        <v>69</v>
      </c>
      <c r="R22" s="321">
        <f>C22*(0.153862199*0.9)</f>
        <v>187.35799972230001</v>
      </c>
      <c r="S22" s="321">
        <f>C22*0.049951219</f>
        <v>67.583999306999999</v>
      </c>
      <c r="T22" s="320">
        <f>D22*(0.333333333333333*0.9)</f>
        <v>0</v>
      </c>
      <c r="U22" s="320">
        <f t="shared" si="36"/>
        <v>0</v>
      </c>
      <c r="V22" s="320">
        <f>E22*(0.277777777777777*0.9)</f>
        <v>0</v>
      </c>
      <c r="W22" s="320">
        <f>E22*0.05</f>
        <v>0</v>
      </c>
      <c r="X22" s="320"/>
      <c r="Y22" s="320">
        <f>F22*0.111111111111111</f>
        <v>0</v>
      </c>
      <c r="Z22" s="1">
        <f>G22*(0.261111111*0.9)</f>
        <v>48.644999979300003</v>
      </c>
      <c r="AA22" s="436">
        <f t="shared" si="17"/>
        <v>10.350000000000001</v>
      </c>
      <c r="AB22" s="438">
        <f t="shared" si="18"/>
        <v>1098.0580009707</v>
      </c>
      <c r="AC22" s="42">
        <f t="shared" si="19"/>
        <v>0</v>
      </c>
      <c r="AD22" s="42">
        <f t="shared" si="20"/>
        <v>0</v>
      </c>
      <c r="AE22" s="322">
        <f t="shared" si="3"/>
        <v>0</v>
      </c>
      <c r="AF22" s="274">
        <f t="shared" si="4"/>
        <v>148.00500002070001</v>
      </c>
      <c r="AG22" s="438">
        <f t="shared" si="21"/>
        <v>1246.0630009914</v>
      </c>
      <c r="AH22" s="42">
        <f t="shared" si="5"/>
        <v>236.0029997016</v>
      </c>
      <c r="AI22" s="438">
        <f t="shared" si="6"/>
        <v>77.933999306999993</v>
      </c>
      <c r="AJ22" s="320">
        <v>0</v>
      </c>
      <c r="AK22" s="323">
        <v>0</v>
      </c>
      <c r="AL22" s="324">
        <f t="shared" si="7"/>
        <v>92.096304581773836</v>
      </c>
      <c r="AM22" s="44">
        <f t="shared" si="22"/>
        <v>1560</v>
      </c>
      <c r="AN22">
        <f t="shared" si="23"/>
        <v>13.847597910000001</v>
      </c>
      <c r="AO22" t="e">
        <f t="shared" si="24"/>
        <v>#DIV/0!</v>
      </c>
      <c r="AP22">
        <f t="shared" si="25"/>
        <v>0.23499999990000001</v>
      </c>
      <c r="AR22">
        <f t="shared" si="26"/>
        <v>24</v>
      </c>
      <c r="AS22" s="319">
        <f t="shared" si="8"/>
        <v>1353</v>
      </c>
      <c r="AT22" s="319">
        <f t="shared" si="9"/>
        <v>0.81157280190000003</v>
      </c>
      <c r="AU22" s="319" t="e">
        <f t="shared" si="10"/>
        <v>#DIV/0!</v>
      </c>
      <c r="AV22" s="258">
        <f t="shared" si="35"/>
        <v>0.71500000010000009</v>
      </c>
      <c r="AW22" s="319" t="e">
        <f t="shared" si="12"/>
        <v>#DIV/0!</v>
      </c>
      <c r="AX22" s="319">
        <f t="shared" si="13"/>
        <v>1353</v>
      </c>
    </row>
    <row r="23" spans="2:50" s="319" customFormat="1">
      <c r="B23" s="320">
        <v>20</v>
      </c>
      <c r="C23" s="1">
        <v>1258</v>
      </c>
      <c r="D23" s="1">
        <v>136</v>
      </c>
      <c r="E23" s="1">
        <v>0</v>
      </c>
      <c r="F23" s="1">
        <v>0</v>
      </c>
      <c r="G23" s="1">
        <v>204</v>
      </c>
      <c r="H23" s="1">
        <v>19</v>
      </c>
      <c r="I23" s="1">
        <v>2</v>
      </c>
      <c r="J23" s="1">
        <v>0</v>
      </c>
      <c r="K23" s="1">
        <v>0</v>
      </c>
      <c r="L23" s="1">
        <v>3</v>
      </c>
      <c r="M23" s="320">
        <f t="shared" si="27"/>
        <v>66.21052631578948</v>
      </c>
      <c r="N23" s="320">
        <f t="shared" si="28"/>
        <v>68</v>
      </c>
      <c r="O23" s="320" t="e">
        <f t="shared" si="29"/>
        <v>#DIV/0!</v>
      </c>
      <c r="P23" s="320" t="e">
        <f t="shared" si="15"/>
        <v>#DIV/0!</v>
      </c>
      <c r="Q23" s="1">
        <f t="shared" si="16"/>
        <v>68</v>
      </c>
      <c r="R23" s="320">
        <f>C23*(0.148363363*0.9)</f>
        <v>167.97699958859999</v>
      </c>
      <c r="S23" s="320">
        <f>C23*0.04994674</f>
        <v>62.832998920000001</v>
      </c>
      <c r="T23" s="320">
        <f>D23*(0.188888888*0.9)</f>
        <v>23.119999891199999</v>
      </c>
      <c r="U23" s="320">
        <f>D23*0.05</f>
        <v>6.8000000000000007</v>
      </c>
      <c r="V23" s="320">
        <f>E23*(0.3*0.9)</f>
        <v>0</v>
      </c>
      <c r="W23" s="320">
        <f>E23*0.05</f>
        <v>0</v>
      </c>
      <c r="X23" s="320"/>
      <c r="Y23" s="333">
        <f>F23*0.055</f>
        <v>0</v>
      </c>
      <c r="Z23" s="1">
        <f>G23*(0.188888888*0.9)</f>
        <v>34.6799998368</v>
      </c>
      <c r="AA23" s="1">
        <f t="shared" si="17"/>
        <v>10.200000000000001</v>
      </c>
      <c r="AB23" s="438">
        <f t="shared" si="18"/>
        <v>1027.1900014914002</v>
      </c>
      <c r="AC23" s="42">
        <f t="shared" si="19"/>
        <v>106.08000010880001</v>
      </c>
      <c r="AD23" s="42">
        <f t="shared" si="20"/>
        <v>0</v>
      </c>
      <c r="AE23" s="322">
        <f t="shared" si="3"/>
        <v>0</v>
      </c>
      <c r="AF23" s="274">
        <f t="shared" si="4"/>
        <v>159.12000016320002</v>
      </c>
      <c r="AG23" s="438">
        <f t="shared" si="21"/>
        <v>1292.3900017634003</v>
      </c>
      <c r="AH23" s="42">
        <f t="shared" si="5"/>
        <v>225.77699931659998</v>
      </c>
      <c r="AI23" s="438">
        <f t="shared" si="6"/>
        <v>79.832998920000009</v>
      </c>
      <c r="AJ23" s="320">
        <v>0</v>
      </c>
      <c r="AK23" s="323">
        <v>0</v>
      </c>
      <c r="AL23" s="329">
        <f t="shared" si="7"/>
        <v>92.710904000243914</v>
      </c>
      <c r="AM23" s="44">
        <f t="shared" si="22"/>
        <v>1598.0000000000002</v>
      </c>
      <c r="AN23">
        <f t="shared" si="23"/>
        <v>13.352702669999999</v>
      </c>
      <c r="AO23">
        <f t="shared" si="24"/>
        <v>16.99999992</v>
      </c>
      <c r="AP23">
        <f t="shared" si="25"/>
        <v>0.1699999992</v>
      </c>
      <c r="AS23" s="319">
        <f t="shared" si="8"/>
        <v>1394</v>
      </c>
      <c r="AT23" s="319">
        <f t="shared" si="9"/>
        <v>0.81652623330000007</v>
      </c>
      <c r="AU23" s="319">
        <f t="shared" si="10"/>
        <v>0.78000000080000009</v>
      </c>
      <c r="AV23" s="258">
        <f t="shared" si="35"/>
        <v>0.78000000080000009</v>
      </c>
      <c r="AW23" s="319" t="e">
        <f t="shared" si="12"/>
        <v>#DIV/0!</v>
      </c>
      <c r="AX23" s="319">
        <f t="shared" si="13"/>
        <v>1394</v>
      </c>
    </row>
    <row r="24" spans="2:50" s="402" customFormat="1">
      <c r="B24" s="403">
        <v>21</v>
      </c>
      <c r="C24" s="1">
        <v>840</v>
      </c>
      <c r="D24" s="1">
        <v>150</v>
      </c>
      <c r="E24" s="1">
        <v>0</v>
      </c>
      <c r="F24" s="1">
        <v>120</v>
      </c>
      <c r="G24" s="1">
        <v>480</v>
      </c>
      <c r="H24" s="1">
        <v>12.8</v>
      </c>
      <c r="I24" s="1">
        <v>2.2000000000000002</v>
      </c>
      <c r="J24" s="1">
        <v>0</v>
      </c>
      <c r="K24" s="1">
        <v>2</v>
      </c>
      <c r="L24" s="1">
        <v>7</v>
      </c>
      <c r="M24" s="403">
        <f t="shared" si="27"/>
        <v>65.625</v>
      </c>
      <c r="N24" s="403">
        <f t="shared" si="28"/>
        <v>68.181818181818173</v>
      </c>
      <c r="O24" s="403" t="e">
        <f t="shared" si="29"/>
        <v>#DIV/0!</v>
      </c>
      <c r="P24" s="403">
        <f t="shared" si="15"/>
        <v>60</v>
      </c>
      <c r="Q24" s="1">
        <f t="shared" si="16"/>
        <v>68.571428571428569</v>
      </c>
      <c r="R24" s="457">
        <f>C24*(0.133333333333333*0.9)</f>
        <v>100.79999999999976</v>
      </c>
      <c r="S24" s="457">
        <f>C24*0.05</f>
        <v>42</v>
      </c>
      <c r="T24" s="403">
        <f>D24*(0.188888888888888*0.9)</f>
        <v>25.499999999999883</v>
      </c>
      <c r="U24" s="403">
        <f>D24*0.05</f>
        <v>7.5</v>
      </c>
      <c r="V24" s="403">
        <f>E24*(0.257309941*0.9)</f>
        <v>0</v>
      </c>
      <c r="W24" s="403">
        <f>E24*0.052631578</f>
        <v>0</v>
      </c>
      <c r="X24" s="403"/>
      <c r="Y24" s="403">
        <f>F24*0.05</f>
        <v>6</v>
      </c>
      <c r="Z24" s="1">
        <f>G24*(0.188888888888888*0.9)</f>
        <v>81.599999999999625</v>
      </c>
      <c r="AA24" s="1">
        <f t="shared" si="17"/>
        <v>24</v>
      </c>
      <c r="AB24" s="44">
        <f t="shared" si="18"/>
        <v>697.20000000000027</v>
      </c>
      <c r="AC24" s="42">
        <f t="shared" si="19"/>
        <v>117.00000000000011</v>
      </c>
      <c r="AD24" s="42">
        <f t="shared" si="20"/>
        <v>0</v>
      </c>
      <c r="AE24" s="403">
        <f t="shared" si="3"/>
        <v>114</v>
      </c>
      <c r="AF24" s="274">
        <f t="shared" si="4"/>
        <v>374.40000000000038</v>
      </c>
      <c r="AG24" s="43">
        <f t="shared" si="21"/>
        <v>1302.6000000000008</v>
      </c>
      <c r="AH24" s="42">
        <f t="shared" si="5"/>
        <v>207.89999999999927</v>
      </c>
      <c r="AI24" s="44">
        <f t="shared" si="6"/>
        <v>79.5</v>
      </c>
      <c r="AJ24" s="403">
        <v>0</v>
      </c>
      <c r="AK24" s="404">
        <v>0</v>
      </c>
      <c r="AL24" s="405">
        <f t="shared" si="7"/>
        <v>131.57575757575765</v>
      </c>
      <c r="AM24" s="44">
        <f t="shared" si="22"/>
        <v>1590</v>
      </c>
      <c r="AN24">
        <f t="shared" si="23"/>
        <v>11.99999999999997</v>
      </c>
      <c r="AO24">
        <f t="shared" si="24"/>
        <v>16.999999999999922</v>
      </c>
      <c r="AP24">
        <f t="shared" si="25"/>
        <v>0.16999999999999921</v>
      </c>
      <c r="AS24" s="402">
        <f t="shared" si="8"/>
        <v>990</v>
      </c>
      <c r="AT24" s="402">
        <f t="shared" si="9"/>
        <v>0.83000000000000029</v>
      </c>
      <c r="AU24" s="402">
        <f t="shared" si="10"/>
        <v>0.7800000000000008</v>
      </c>
      <c r="AV24" s="258">
        <f t="shared" si="35"/>
        <v>0.7800000000000008</v>
      </c>
      <c r="AW24" s="402">
        <f t="shared" si="12"/>
        <v>0.95</v>
      </c>
      <c r="AX24" s="402">
        <f t="shared" si="13"/>
        <v>1110</v>
      </c>
    </row>
    <row r="25" spans="2:50" s="407" customFormat="1">
      <c r="B25" s="408">
        <v>22</v>
      </c>
      <c r="C25" s="1">
        <v>1102</v>
      </c>
      <c r="D25" s="1">
        <v>201</v>
      </c>
      <c r="E25" s="1">
        <v>0</v>
      </c>
      <c r="F25" s="1">
        <v>0</v>
      </c>
      <c r="G25" s="1">
        <v>272</v>
      </c>
      <c r="H25" s="1">
        <v>17</v>
      </c>
      <c r="I25" s="1">
        <v>3</v>
      </c>
      <c r="J25" s="1">
        <v>0</v>
      </c>
      <c r="K25" s="1">
        <v>0</v>
      </c>
      <c r="L25" s="1">
        <v>4</v>
      </c>
      <c r="M25" s="408">
        <f t="shared" si="27"/>
        <v>64.82352941176471</v>
      </c>
      <c r="N25" s="408">
        <f t="shared" si="28"/>
        <v>67</v>
      </c>
      <c r="O25" s="408" t="e">
        <f t="shared" si="29"/>
        <v>#DIV/0!</v>
      </c>
      <c r="P25" s="320" t="e">
        <f t="shared" si="15"/>
        <v>#DIV/0!</v>
      </c>
      <c r="Q25" s="1">
        <f t="shared" si="16"/>
        <v>68</v>
      </c>
      <c r="R25" s="408">
        <f>C25*(0.1377495463*0.9)</f>
        <v>136.62000002034</v>
      </c>
      <c r="S25" s="408">
        <f>C25*0.05</f>
        <v>55.1</v>
      </c>
      <c r="T25" s="408">
        <f>D25*(0.1979988944*0.9)</f>
        <v>35.817999996959998</v>
      </c>
      <c r="U25" s="408">
        <f>D25*0.0498706468</f>
        <v>10.0240000068</v>
      </c>
      <c r="V25" s="408">
        <f>E25*(0.222222222222222*0.9)</f>
        <v>0</v>
      </c>
      <c r="W25" s="408">
        <f>E25*0.05</f>
        <v>0</v>
      </c>
      <c r="X25" s="408"/>
      <c r="Y25" s="408">
        <f>F25*0.052631579</f>
        <v>0</v>
      </c>
      <c r="Z25" s="1">
        <f>G25*(0.188888888888888*0.9)</f>
        <v>46.239999999999782</v>
      </c>
      <c r="AA25" s="1">
        <f t="shared" si="17"/>
        <v>13.600000000000001</v>
      </c>
      <c r="AB25" s="44">
        <f t="shared" si="18"/>
        <v>910.27999997965992</v>
      </c>
      <c r="AC25" s="42">
        <f t="shared" si="19"/>
        <v>155.15799999623999</v>
      </c>
      <c r="AD25" s="42">
        <f t="shared" si="20"/>
        <v>0</v>
      </c>
      <c r="AE25" s="322">
        <f t="shared" si="3"/>
        <v>0</v>
      </c>
      <c r="AF25" s="274">
        <f t="shared" si="4"/>
        <v>212.16000000000022</v>
      </c>
      <c r="AG25" s="44">
        <f t="shared" si="21"/>
        <v>1277.5979999759002</v>
      </c>
      <c r="AH25" s="44">
        <f t="shared" si="5"/>
        <v>218.67800001729978</v>
      </c>
      <c r="AI25" s="438">
        <f t="shared" si="6"/>
        <v>78.724000006799997</v>
      </c>
      <c r="AJ25" s="408">
        <v>0</v>
      </c>
      <c r="AK25" s="409">
        <v>0</v>
      </c>
      <c r="AL25" s="410">
        <f>AG25/(C25+D25+E25)*100</f>
        <v>98.050498846960878</v>
      </c>
      <c r="AM25" s="44">
        <f t="shared" si="22"/>
        <v>1575</v>
      </c>
      <c r="AN25">
        <f t="shared" si="23"/>
        <v>12.397459166999999</v>
      </c>
      <c r="AO25">
        <f t="shared" si="24"/>
        <v>17.819900495999999</v>
      </c>
      <c r="AP25">
        <f t="shared" si="25"/>
        <v>0.16999999999999921</v>
      </c>
      <c r="AS25" s="407">
        <f t="shared" si="8"/>
        <v>1303</v>
      </c>
      <c r="AT25" s="407">
        <f t="shared" si="9"/>
        <v>0.82602540832999993</v>
      </c>
      <c r="AU25" s="319">
        <f t="shared" si="10"/>
        <v>0.77193034823999995</v>
      </c>
      <c r="AV25" s="258">
        <f t="shared" si="35"/>
        <v>0.7800000000000008</v>
      </c>
      <c r="AW25" s="319" t="e">
        <f t="shared" si="12"/>
        <v>#DIV/0!</v>
      </c>
      <c r="AX25" s="319">
        <f t="shared" si="13"/>
        <v>1303</v>
      </c>
    </row>
    <row r="26" spans="2:50" s="319" customFormat="1">
      <c r="B26" s="320">
        <v>23</v>
      </c>
      <c r="C26" s="1">
        <v>1183</v>
      </c>
      <c r="D26" s="1">
        <v>337</v>
      </c>
      <c r="E26" s="1">
        <v>0</v>
      </c>
      <c r="F26" s="1">
        <v>0</v>
      </c>
      <c r="G26" s="1">
        <v>0</v>
      </c>
      <c r="H26" s="1">
        <v>19</v>
      </c>
      <c r="I26" s="1">
        <v>5</v>
      </c>
      <c r="J26" s="1">
        <v>0</v>
      </c>
      <c r="K26" s="1">
        <v>0</v>
      </c>
      <c r="L26" s="1">
        <v>0</v>
      </c>
      <c r="M26" s="320">
        <f t="shared" ref="M26" si="38">C26/H26</f>
        <v>62.263157894736842</v>
      </c>
      <c r="N26" s="320">
        <f t="shared" ref="N26" si="39">D26/I26</f>
        <v>67.400000000000006</v>
      </c>
      <c r="O26" s="320" t="e">
        <f t="shared" ref="O26" si="40">E26/J26</f>
        <v>#DIV/0!</v>
      </c>
      <c r="P26" s="320" t="e">
        <f t="shared" si="15"/>
        <v>#DIV/0!</v>
      </c>
      <c r="Q26" s="1" t="e">
        <f t="shared" si="16"/>
        <v>#DIV/0!</v>
      </c>
      <c r="R26" s="412">
        <f>C26*(0.136666666666666*0.9)</f>
        <v>145.5089999999993</v>
      </c>
      <c r="S26" s="321">
        <f>C26*0.05</f>
        <v>59.150000000000006</v>
      </c>
      <c r="T26" s="320">
        <f>D26*(0.1946785361*0.9)</f>
        <v>59.045999999129997</v>
      </c>
      <c r="U26" s="320">
        <f>D26*0.05</f>
        <v>16.850000000000001</v>
      </c>
      <c r="V26" s="320">
        <f>E26*(0.277777777777777*0.9)</f>
        <v>0</v>
      </c>
      <c r="W26" s="320">
        <f>E26*0.05</f>
        <v>0</v>
      </c>
      <c r="X26" s="320"/>
      <c r="Y26" s="333">
        <f>F26*0.05</f>
        <v>0</v>
      </c>
      <c r="Z26" s="1">
        <f>G26*(0.277777777*0.9)</f>
        <v>0</v>
      </c>
      <c r="AA26" s="1">
        <f>G26*0.05</f>
        <v>0</v>
      </c>
      <c r="AB26" s="44">
        <f t="shared" si="18"/>
        <v>978.34100000000069</v>
      </c>
      <c r="AC26" s="42">
        <f t="shared" si="19"/>
        <v>261.10400000086997</v>
      </c>
      <c r="AD26" s="42">
        <f t="shared" si="20"/>
        <v>0</v>
      </c>
      <c r="AE26" s="322">
        <f t="shared" si="3"/>
        <v>0</v>
      </c>
      <c r="AF26" s="274">
        <f t="shared" si="4"/>
        <v>0</v>
      </c>
      <c r="AG26" s="43">
        <f t="shared" si="21"/>
        <v>1239.4450000008706</v>
      </c>
      <c r="AH26" s="438">
        <f t="shared" si="5"/>
        <v>204.55499999912931</v>
      </c>
      <c r="AI26" s="44">
        <f t="shared" si="6"/>
        <v>76</v>
      </c>
      <c r="AJ26" s="320">
        <v>0</v>
      </c>
      <c r="AK26" s="323">
        <v>0</v>
      </c>
      <c r="AL26" s="329">
        <f>AG26/(C26+D26+E26)*100</f>
        <v>81.542434210583593</v>
      </c>
      <c r="AM26" s="44">
        <f t="shared" si="22"/>
        <v>1519.9999999999998</v>
      </c>
      <c r="AN26">
        <f t="shared" si="23"/>
        <v>12.299999999999942</v>
      </c>
      <c r="AO26">
        <f t="shared" si="24"/>
        <v>17.521068248999999</v>
      </c>
      <c r="AP26" t="e">
        <f t="shared" si="25"/>
        <v>#DIV/0!</v>
      </c>
      <c r="AS26" s="319">
        <f t="shared" si="8"/>
        <v>1520</v>
      </c>
      <c r="AT26" s="319">
        <f t="shared" si="9"/>
        <v>0.82700000000000062</v>
      </c>
      <c r="AU26" s="319">
        <f t="shared" si="10"/>
        <v>0.77478931750999991</v>
      </c>
      <c r="AV26" s="258" t="e">
        <f t="shared" si="35"/>
        <v>#DIV/0!</v>
      </c>
      <c r="AW26" s="319" t="e">
        <f t="shared" si="12"/>
        <v>#DIV/0!</v>
      </c>
      <c r="AX26" s="319">
        <f t="shared" si="13"/>
        <v>1520</v>
      </c>
    </row>
    <row r="27" spans="2:50" s="319" customFormat="1">
      <c r="B27" s="413">
        <v>24</v>
      </c>
      <c r="C27" s="1">
        <v>1540</v>
      </c>
      <c r="D27" s="1">
        <v>0</v>
      </c>
      <c r="E27" s="1">
        <v>0</v>
      </c>
      <c r="F27" s="1">
        <v>0</v>
      </c>
      <c r="G27" s="1">
        <v>0</v>
      </c>
      <c r="H27" s="1">
        <v>24</v>
      </c>
      <c r="I27" s="1">
        <v>0</v>
      </c>
      <c r="J27" s="1">
        <v>0</v>
      </c>
      <c r="K27" s="1">
        <v>0</v>
      </c>
      <c r="L27" s="1">
        <v>0</v>
      </c>
      <c r="M27" s="413">
        <f>C27/H27</f>
        <v>64.166666666666671</v>
      </c>
      <c r="N27" s="413" t="e">
        <f t="shared" si="28"/>
        <v>#DIV/0!</v>
      </c>
      <c r="O27" s="413" t="e">
        <f t="shared" si="29"/>
        <v>#DIV/0!</v>
      </c>
      <c r="P27" s="320" t="e">
        <f t="shared" si="15"/>
        <v>#DIV/0!</v>
      </c>
      <c r="Q27" s="1" t="e">
        <f t="shared" si="16"/>
        <v>#DIV/0!</v>
      </c>
      <c r="R27" s="460">
        <f>C27*(0.138888888888888*0.9)</f>
        <v>192.49999999999878</v>
      </c>
      <c r="S27" s="460">
        <f>C27*0.05</f>
        <v>77</v>
      </c>
      <c r="T27" s="320">
        <f>D27*(0.282051282*0.9)</f>
        <v>0</v>
      </c>
      <c r="U27" s="320">
        <f>D27*0.053846153</f>
        <v>0</v>
      </c>
      <c r="V27" s="320">
        <f>E27*(0.188679245*0.9)</f>
        <v>0</v>
      </c>
      <c r="W27" s="320">
        <f>E27*0.049056603</f>
        <v>0</v>
      </c>
      <c r="X27" s="320"/>
      <c r="Y27" s="333">
        <f t="shared" ref="Y27:Y32" si="41">F27*0.055</f>
        <v>0</v>
      </c>
      <c r="Z27" s="1">
        <f t="shared" ref="Z27:Z38" si="42">G27*(0.288800705*0.9)</f>
        <v>0</v>
      </c>
      <c r="AA27" s="1">
        <f t="shared" si="17"/>
        <v>0</v>
      </c>
      <c r="AB27" s="44">
        <f t="shared" si="18"/>
        <v>1270.5000000000011</v>
      </c>
      <c r="AC27" s="42">
        <f t="shared" si="19"/>
        <v>0</v>
      </c>
      <c r="AD27" s="42">
        <f t="shared" si="20"/>
        <v>0</v>
      </c>
      <c r="AE27" s="322">
        <f t="shared" si="3"/>
        <v>0</v>
      </c>
      <c r="AF27" s="274">
        <f t="shared" si="4"/>
        <v>0</v>
      </c>
      <c r="AG27" s="43">
        <f t="shared" si="21"/>
        <v>1270.5000000000011</v>
      </c>
      <c r="AH27" s="42">
        <f>R27+T27+V27+Z27</f>
        <v>192.49999999999878</v>
      </c>
      <c r="AI27" s="44">
        <f t="shared" si="6"/>
        <v>77</v>
      </c>
      <c r="AJ27" s="320">
        <v>0</v>
      </c>
      <c r="AK27" s="323">
        <v>0</v>
      </c>
      <c r="AL27" s="329">
        <f>AG27/(C27+D27+E27)*100</f>
        <v>82.500000000000071</v>
      </c>
      <c r="AM27" s="44">
        <f t="shared" si="22"/>
        <v>1540</v>
      </c>
      <c r="AN27">
        <f t="shared" si="23"/>
        <v>12.49999999999992</v>
      </c>
      <c r="AO27" t="e">
        <f t="shared" si="24"/>
        <v>#DIV/0!</v>
      </c>
      <c r="AP27" t="e">
        <f t="shared" si="25"/>
        <v>#DIV/0!</v>
      </c>
      <c r="AS27" s="319">
        <f t="shared" si="8"/>
        <v>1540</v>
      </c>
      <c r="AT27" s="319">
        <f t="shared" si="9"/>
        <v>0.82500000000000073</v>
      </c>
      <c r="AU27" s="319" t="e">
        <f t="shared" si="10"/>
        <v>#DIV/0!</v>
      </c>
      <c r="AV27" s="258" t="e">
        <f t="shared" si="35"/>
        <v>#DIV/0!</v>
      </c>
      <c r="AW27" s="319" t="e">
        <f t="shared" si="12"/>
        <v>#DIV/0!</v>
      </c>
      <c r="AX27" s="319">
        <f t="shared" si="13"/>
        <v>1540</v>
      </c>
    </row>
    <row r="28" spans="2:50" s="319" customFormat="1">
      <c r="B28" s="320">
        <v>25</v>
      </c>
      <c r="C28" s="1">
        <v>1588</v>
      </c>
      <c r="D28" s="1">
        <v>0</v>
      </c>
      <c r="E28" s="1">
        <v>0</v>
      </c>
      <c r="F28" s="1">
        <v>0</v>
      </c>
      <c r="G28" s="1">
        <v>0</v>
      </c>
      <c r="H28" s="1">
        <v>24</v>
      </c>
      <c r="I28" s="1">
        <v>0</v>
      </c>
      <c r="J28" s="1">
        <v>0</v>
      </c>
      <c r="K28" s="1">
        <v>0</v>
      </c>
      <c r="L28" s="1">
        <v>0</v>
      </c>
      <c r="M28" s="320">
        <f>C28/H28</f>
        <v>66.166666666666671</v>
      </c>
      <c r="N28" s="320" t="e">
        <f>D28/I28</f>
        <v>#DIV/0!</v>
      </c>
      <c r="O28" s="320" t="e">
        <f>E28/J28</f>
        <v>#DIV/0!</v>
      </c>
      <c r="P28" s="320" t="e">
        <f t="shared" si="15"/>
        <v>#DIV/0!</v>
      </c>
      <c r="Q28" s="1" t="e">
        <f t="shared" si="16"/>
        <v>#DIV/0!</v>
      </c>
      <c r="R28" s="414">
        <f>C28*(0.144444444444444*0.9)</f>
        <v>206.43999999999934</v>
      </c>
      <c r="S28" s="414">
        <f t="shared" ref="S28:S34" si="43">C28*0.05</f>
        <v>79.400000000000006</v>
      </c>
      <c r="T28" s="414">
        <f>D28*(0.244444444444444*0.9)</f>
        <v>0</v>
      </c>
      <c r="U28" s="414">
        <f>D28*0.055</f>
        <v>0</v>
      </c>
      <c r="V28" s="320">
        <f>E28*(0.27481217888*0.9)</f>
        <v>0</v>
      </c>
      <c r="W28" s="320">
        <f>E28*0.0508896799</f>
        <v>0</v>
      </c>
      <c r="X28" s="320"/>
      <c r="Y28" s="333">
        <f t="shared" si="41"/>
        <v>0</v>
      </c>
      <c r="Z28" s="1">
        <f>G28*(0.288888888888888*0.9)</f>
        <v>0</v>
      </c>
      <c r="AA28" s="1">
        <f t="shared" si="17"/>
        <v>0</v>
      </c>
      <c r="AB28" s="44">
        <f t="shared" si="18"/>
        <v>1302.1600000000005</v>
      </c>
      <c r="AC28" s="42">
        <f t="shared" si="19"/>
        <v>0</v>
      </c>
      <c r="AD28" s="42">
        <f t="shared" si="20"/>
        <v>0</v>
      </c>
      <c r="AE28" s="322">
        <f t="shared" si="3"/>
        <v>0</v>
      </c>
      <c r="AF28" s="274">
        <f t="shared" si="4"/>
        <v>0</v>
      </c>
      <c r="AG28" s="43">
        <f t="shared" si="21"/>
        <v>1302.1600000000005</v>
      </c>
      <c r="AH28" s="42">
        <f t="shared" ref="AH28:AH36" si="44">R28+T28+V28+Z28</f>
        <v>206.43999999999934</v>
      </c>
      <c r="AI28" s="44">
        <f t="shared" si="6"/>
        <v>79.400000000000006</v>
      </c>
      <c r="AJ28" s="320">
        <v>0</v>
      </c>
      <c r="AK28" s="323">
        <v>0</v>
      </c>
      <c r="AL28" s="329">
        <f t="shared" ref="AL28:AL39" si="45">AG28/(C28+D28)*100</f>
        <v>82.000000000000028</v>
      </c>
      <c r="AM28" s="44">
        <f t="shared" si="22"/>
        <v>1588</v>
      </c>
      <c r="AN28">
        <f t="shared" si="23"/>
        <v>12.999999999999959</v>
      </c>
      <c r="AO28" t="e">
        <f t="shared" si="24"/>
        <v>#DIV/0!</v>
      </c>
      <c r="AP28" t="e">
        <f t="shared" si="25"/>
        <v>#DIV/0!</v>
      </c>
      <c r="AS28" s="319">
        <f t="shared" si="8"/>
        <v>1588</v>
      </c>
      <c r="AT28" s="319">
        <f t="shared" si="9"/>
        <v>0.82000000000000028</v>
      </c>
      <c r="AU28" s="319" t="e">
        <f t="shared" si="10"/>
        <v>#DIV/0!</v>
      </c>
      <c r="AV28" s="258" t="e">
        <f t="shared" si="35"/>
        <v>#DIV/0!</v>
      </c>
      <c r="AW28" s="319" t="e">
        <f t="shared" si="12"/>
        <v>#DIV/0!</v>
      </c>
      <c r="AX28" s="319">
        <f t="shared" si="13"/>
        <v>1588</v>
      </c>
    </row>
    <row r="29" spans="2:50" s="319" customFormat="1" ht="16.5" customHeight="1">
      <c r="B29" s="320">
        <v>26</v>
      </c>
      <c r="C29" s="1">
        <v>1337</v>
      </c>
      <c r="D29" s="1">
        <v>201</v>
      </c>
      <c r="E29" s="1">
        <v>0</v>
      </c>
      <c r="F29" s="1">
        <v>0</v>
      </c>
      <c r="G29" s="1">
        <v>0</v>
      </c>
      <c r="H29" s="1">
        <v>20.67</v>
      </c>
      <c r="I29" s="1">
        <v>3</v>
      </c>
      <c r="J29" s="1">
        <v>0</v>
      </c>
      <c r="K29" s="1">
        <v>0</v>
      </c>
      <c r="L29" s="1">
        <v>0</v>
      </c>
      <c r="M29" s="320">
        <f t="shared" ref="M29" si="46">C29/H29</f>
        <v>64.683115626511849</v>
      </c>
      <c r="N29" s="320">
        <f t="shared" ref="N29" si="47">D29/I29</f>
        <v>67</v>
      </c>
      <c r="O29" s="320" t="e">
        <f t="shared" ref="O29" si="48">E29/J29</f>
        <v>#DIV/0!</v>
      </c>
      <c r="P29" s="320" t="e">
        <f t="shared" si="15"/>
        <v>#DIV/0!</v>
      </c>
      <c r="Q29" s="1" t="e">
        <f t="shared" si="16"/>
        <v>#DIV/0!</v>
      </c>
      <c r="R29" s="321">
        <f>C29*(0.136396576*0.9)</f>
        <v>164.1259999008</v>
      </c>
      <c r="S29" s="320">
        <f>C29*0.049938668</f>
        <v>66.767999115999999</v>
      </c>
      <c r="T29" s="320">
        <f>D29*(0.188888888*0.9)</f>
        <v>34.169999839200003</v>
      </c>
      <c r="U29" s="320">
        <f>D29*0.05</f>
        <v>10.050000000000001</v>
      </c>
      <c r="V29" s="320">
        <f>E29*(0.277777777777777*0.9)</f>
        <v>0</v>
      </c>
      <c r="W29" s="320">
        <f>E29*0.05</f>
        <v>0</v>
      </c>
      <c r="X29" s="320"/>
      <c r="Y29" s="333">
        <f t="shared" si="41"/>
        <v>0</v>
      </c>
      <c r="Z29" s="14">
        <f>G29*(0.272222222222222*0.9)</f>
        <v>0</v>
      </c>
      <c r="AA29" s="1">
        <f t="shared" si="17"/>
        <v>0</v>
      </c>
      <c r="AB29" s="438">
        <f t="shared" si="18"/>
        <v>1106.1060009831999</v>
      </c>
      <c r="AC29" s="42">
        <f t="shared" si="19"/>
        <v>156.7800001608</v>
      </c>
      <c r="AD29" s="42">
        <f t="shared" si="20"/>
        <v>0</v>
      </c>
      <c r="AE29" s="322">
        <f t="shared" si="3"/>
        <v>0</v>
      </c>
      <c r="AF29" s="274">
        <f t="shared" si="4"/>
        <v>0</v>
      </c>
      <c r="AG29" s="451">
        <f t="shared" si="21"/>
        <v>1262.8860011439999</v>
      </c>
      <c r="AH29" s="42">
        <f t="shared" si="44"/>
        <v>198.29599974000001</v>
      </c>
      <c r="AI29" s="438">
        <f t="shared" si="6"/>
        <v>76.817999115999996</v>
      </c>
      <c r="AJ29" s="320">
        <v>0</v>
      </c>
      <c r="AK29" s="323">
        <v>0</v>
      </c>
      <c r="AL29" s="329">
        <f t="shared" si="45"/>
        <v>82.112223741482438</v>
      </c>
      <c r="AM29" s="44">
        <f t="shared" si="22"/>
        <v>1538</v>
      </c>
      <c r="AN29">
        <f t="shared" si="23"/>
        <v>12.27569184</v>
      </c>
      <c r="AO29">
        <f t="shared" si="24"/>
        <v>16.99999992</v>
      </c>
      <c r="AP29" t="e">
        <f t="shared" si="25"/>
        <v>#DIV/0!</v>
      </c>
      <c r="AS29" s="319">
        <f t="shared" si="8"/>
        <v>1538</v>
      </c>
      <c r="AT29" s="319">
        <f t="shared" si="9"/>
        <v>0.82730441359999995</v>
      </c>
      <c r="AU29" s="319">
        <f t="shared" si="10"/>
        <v>0.78000000079999998</v>
      </c>
      <c r="AV29" s="258" t="e">
        <f t="shared" si="35"/>
        <v>#DIV/0!</v>
      </c>
      <c r="AW29" s="319" t="e">
        <f t="shared" si="12"/>
        <v>#DIV/0!</v>
      </c>
      <c r="AX29" s="319">
        <f t="shared" si="13"/>
        <v>1538</v>
      </c>
    </row>
    <row r="30" spans="2:50">
      <c r="B30" s="1">
        <v>27</v>
      </c>
      <c r="C30" s="1">
        <v>954</v>
      </c>
      <c r="D30" s="1">
        <v>0</v>
      </c>
      <c r="E30" s="1">
        <v>0</v>
      </c>
      <c r="F30" s="1">
        <v>0</v>
      </c>
      <c r="G30" s="1">
        <v>201</v>
      </c>
      <c r="H30" s="1">
        <v>14.48</v>
      </c>
      <c r="I30" s="1">
        <v>0</v>
      </c>
      <c r="J30" s="1">
        <v>0</v>
      </c>
      <c r="K30" s="1">
        <v>0</v>
      </c>
      <c r="L30" s="1">
        <v>3</v>
      </c>
      <c r="M30" s="1">
        <f>C30/H30</f>
        <v>65.88397790055248</v>
      </c>
      <c r="N30" s="1" t="e">
        <f t="shared" si="28"/>
        <v>#DIV/0!</v>
      </c>
      <c r="O30" s="1" t="e">
        <f t="shared" si="29"/>
        <v>#DIV/0!</v>
      </c>
      <c r="P30" s="1" t="e">
        <f t="shared" si="15"/>
        <v>#DIV/0!</v>
      </c>
      <c r="Q30" s="1">
        <f t="shared" si="16"/>
        <v>67</v>
      </c>
      <c r="R30" s="1">
        <f>C30*(0.13289774*0.9)</f>
        <v>114.105999564</v>
      </c>
      <c r="S30" s="1">
        <f>C30*0.049930817</f>
        <v>47.633999418000002</v>
      </c>
      <c r="T30" s="1">
        <f>D30*(0.311111111111111*0.9)</f>
        <v>0</v>
      </c>
      <c r="U30" s="1">
        <f>D30*0.05</f>
        <v>0</v>
      </c>
      <c r="V30" s="1">
        <f>E30*(0.282186948*0.9)</f>
        <v>0</v>
      </c>
      <c r="W30" s="1">
        <f>E30*0.047619047</f>
        <v>0</v>
      </c>
      <c r="X30" s="1"/>
      <c r="Y30" s="1">
        <f t="shared" si="41"/>
        <v>0</v>
      </c>
      <c r="Z30" s="1">
        <f>G30*(0.188888888*0.9)</f>
        <v>34.169999839200003</v>
      </c>
      <c r="AA30" s="1">
        <f t="shared" si="17"/>
        <v>10.050000000000001</v>
      </c>
      <c r="AB30" s="438">
        <f t="shared" si="18"/>
        <v>792.26000101799991</v>
      </c>
      <c r="AC30" s="42">
        <f t="shared" si="19"/>
        <v>0</v>
      </c>
      <c r="AD30" s="42">
        <f t="shared" si="20"/>
        <v>0</v>
      </c>
      <c r="AE30" s="1">
        <f t="shared" si="3"/>
        <v>0</v>
      </c>
      <c r="AF30" s="1">
        <f t="shared" si="4"/>
        <v>156.7800001608</v>
      </c>
      <c r="AG30" s="438">
        <f t="shared" si="21"/>
        <v>949.04000117879991</v>
      </c>
      <c r="AH30" s="42">
        <f t="shared" si="44"/>
        <v>148.27599940319999</v>
      </c>
      <c r="AI30" s="438">
        <f t="shared" si="6"/>
        <v>57.683999417999999</v>
      </c>
      <c r="AJ30" s="1">
        <v>0</v>
      </c>
      <c r="AK30" s="6">
        <v>0</v>
      </c>
      <c r="AL30" s="32">
        <f t="shared" si="45"/>
        <v>99.480083981006288</v>
      </c>
      <c r="AM30" s="44">
        <f t="shared" si="22"/>
        <v>1155</v>
      </c>
      <c r="AN30">
        <f t="shared" si="23"/>
        <v>11.9607966</v>
      </c>
      <c r="AO30" t="e">
        <f t="shared" si="24"/>
        <v>#DIV/0!</v>
      </c>
      <c r="AP30">
        <f t="shared" si="25"/>
        <v>0.1699999992</v>
      </c>
      <c r="AS30">
        <f t="shared" si="8"/>
        <v>954</v>
      </c>
      <c r="AT30">
        <f t="shared" ref="AT30:AT35" si="49">AB30/C30</f>
        <v>0.83046121699999986</v>
      </c>
      <c r="AU30" s="319" t="e">
        <f t="shared" si="10"/>
        <v>#DIV/0!</v>
      </c>
      <c r="AV30" s="258">
        <f t="shared" si="35"/>
        <v>0.78000000079999998</v>
      </c>
      <c r="AX30">
        <f t="shared" si="13"/>
        <v>954</v>
      </c>
    </row>
    <row r="31" spans="2:50">
      <c r="B31" s="1">
        <v>28</v>
      </c>
      <c r="C31" s="1">
        <v>1194</v>
      </c>
      <c r="D31" s="1">
        <v>0</v>
      </c>
      <c r="E31" s="1">
        <v>0</v>
      </c>
      <c r="F31" s="1">
        <v>0</v>
      </c>
      <c r="G31" s="1">
        <v>196</v>
      </c>
      <c r="H31" s="1">
        <v>17.73</v>
      </c>
      <c r="I31" s="1">
        <v>0</v>
      </c>
      <c r="J31" s="1">
        <v>0</v>
      </c>
      <c r="K31" s="1">
        <v>0</v>
      </c>
      <c r="L31" s="1">
        <v>3</v>
      </c>
      <c r="M31" s="1">
        <f>C31/H31</f>
        <v>67.343485617597295</v>
      </c>
      <c r="N31" s="1" t="e">
        <f t="shared" si="28"/>
        <v>#DIV/0!</v>
      </c>
      <c r="O31" s="1" t="e">
        <f t="shared" si="29"/>
        <v>#DIV/0!</v>
      </c>
      <c r="P31" s="1" t="e">
        <f t="shared" si="15"/>
        <v>#DIV/0!</v>
      </c>
      <c r="Q31" s="1">
        <f t="shared" si="16"/>
        <v>65.333333333333329</v>
      </c>
      <c r="R31" s="15">
        <f>C31*(0.144444444444444*0.9)</f>
        <v>155.21999999999952</v>
      </c>
      <c r="S31" s="418">
        <f>C31*0.05</f>
        <v>59.7</v>
      </c>
      <c r="T31" s="245">
        <f>D31*(0.325*0.9)</f>
        <v>0</v>
      </c>
      <c r="U31" s="1">
        <f>D31*0.05</f>
        <v>0</v>
      </c>
      <c r="V31" s="1">
        <f>E31*(0.288888888888888*0.9)</f>
        <v>0</v>
      </c>
      <c r="W31" s="1">
        <f>E31*0.05</f>
        <v>0</v>
      </c>
      <c r="X31" s="1"/>
      <c r="Y31" s="254">
        <f t="shared" si="41"/>
        <v>0</v>
      </c>
      <c r="Z31" s="1">
        <f>G31*(0.1911904762*0.9)</f>
        <v>33.726000001679999</v>
      </c>
      <c r="AA31" s="1">
        <f>G31*0.0499183674</f>
        <v>9.7840000103999998</v>
      </c>
      <c r="AB31" s="44">
        <f t="shared" si="18"/>
        <v>979.08000000000038</v>
      </c>
      <c r="AC31" s="42">
        <f t="shared" si="19"/>
        <v>0</v>
      </c>
      <c r="AD31" s="42">
        <f t="shared" si="20"/>
        <v>0</v>
      </c>
      <c r="AE31" s="274">
        <f t="shared" si="3"/>
        <v>0</v>
      </c>
      <c r="AF31" s="274">
        <f t="shared" si="4"/>
        <v>152.48999998791999</v>
      </c>
      <c r="AG31" s="43">
        <f t="shared" si="21"/>
        <v>1131.5699999879203</v>
      </c>
      <c r="AH31" s="42">
        <f t="shared" si="44"/>
        <v>188.94600000167952</v>
      </c>
      <c r="AI31" s="44">
        <f t="shared" si="6"/>
        <v>69.484000010399996</v>
      </c>
      <c r="AJ31" s="1">
        <v>0</v>
      </c>
      <c r="AK31" s="6">
        <v>0</v>
      </c>
      <c r="AL31" s="45">
        <f t="shared" si="45"/>
        <v>94.771356782907887</v>
      </c>
      <c r="AM31" s="44">
        <f t="shared" si="22"/>
        <v>1389.9999999999998</v>
      </c>
      <c r="AN31">
        <f t="shared" si="23"/>
        <v>12.999999999999959</v>
      </c>
      <c r="AO31" t="e">
        <f t="shared" si="24"/>
        <v>#DIV/0!</v>
      </c>
      <c r="AP31">
        <f t="shared" si="25"/>
        <v>0.17207142857999999</v>
      </c>
      <c r="AS31">
        <f t="shared" si="8"/>
        <v>1194</v>
      </c>
      <c r="AT31">
        <f t="shared" si="49"/>
        <v>0.82000000000000028</v>
      </c>
      <c r="AU31" s="319" t="e">
        <f t="shared" si="10"/>
        <v>#DIV/0!</v>
      </c>
      <c r="AV31" s="258">
        <f t="shared" si="35"/>
        <v>0.77801020401999998</v>
      </c>
      <c r="AX31">
        <f t="shared" si="13"/>
        <v>1194</v>
      </c>
    </row>
    <row r="32" spans="2:50">
      <c r="B32" s="1">
        <v>29</v>
      </c>
      <c r="C32" s="1">
        <v>1066</v>
      </c>
      <c r="D32" s="1">
        <v>70</v>
      </c>
      <c r="E32" s="1">
        <v>0</v>
      </c>
      <c r="F32" s="1">
        <v>0</v>
      </c>
      <c r="G32" s="1">
        <v>204</v>
      </c>
      <c r="H32" s="1">
        <v>16.3</v>
      </c>
      <c r="I32" s="1">
        <v>1</v>
      </c>
      <c r="J32" s="1">
        <v>0</v>
      </c>
      <c r="K32" s="1">
        <v>0</v>
      </c>
      <c r="L32" s="1">
        <v>3</v>
      </c>
      <c r="M32" s="1">
        <f>C32/H32</f>
        <v>65.398773006134959</v>
      </c>
      <c r="N32" s="1">
        <f t="shared" si="28"/>
        <v>70</v>
      </c>
      <c r="O32" s="1" t="e">
        <f t="shared" si="29"/>
        <v>#DIV/0!</v>
      </c>
      <c r="P32" s="1" t="e">
        <f t="shared" si="15"/>
        <v>#DIV/0!</v>
      </c>
      <c r="Q32" s="1">
        <f t="shared" si="16"/>
        <v>68</v>
      </c>
      <c r="R32" s="441">
        <f>C32*(0.138888888888888*0.9)</f>
        <v>133.24999999999915</v>
      </c>
      <c r="S32" s="436">
        <f>C32*0.05</f>
        <v>53.300000000000004</v>
      </c>
      <c r="T32" s="1">
        <f>D32*(0.198*0.9)</f>
        <v>12.474000000000002</v>
      </c>
      <c r="U32" s="1">
        <f>D32*0.0498714286</f>
        <v>3.4910000020000003</v>
      </c>
      <c r="V32" s="1">
        <f>E32*(0.288888888888888*0.9)</f>
        <v>0</v>
      </c>
      <c r="W32" s="1">
        <f>E32*0.05</f>
        <v>0</v>
      </c>
      <c r="X32" s="1"/>
      <c r="Y32" s="254">
        <f t="shared" si="41"/>
        <v>0</v>
      </c>
      <c r="Z32" s="1">
        <f>G32*(0.194444444*0.9)</f>
        <v>35.699999918400003</v>
      </c>
      <c r="AA32" s="1">
        <f t="shared" si="17"/>
        <v>10.200000000000001</v>
      </c>
      <c r="AB32" s="44">
        <f t="shared" si="18"/>
        <v>879.45000000000095</v>
      </c>
      <c r="AC32" s="42">
        <f t="shared" si="19"/>
        <v>54.034999997999996</v>
      </c>
      <c r="AD32" s="42">
        <f t="shared" si="20"/>
        <v>0</v>
      </c>
      <c r="AE32" s="274">
        <f t="shared" si="3"/>
        <v>0</v>
      </c>
      <c r="AF32" s="274">
        <f t="shared" si="4"/>
        <v>158.1000000816</v>
      </c>
      <c r="AG32" s="43">
        <f t="shared" si="21"/>
        <v>1091.5850000796008</v>
      </c>
      <c r="AH32" s="42">
        <f t="shared" si="44"/>
        <v>181.42399991839915</v>
      </c>
      <c r="AI32" s="438">
        <f t="shared" si="6"/>
        <v>66.991000002000007</v>
      </c>
      <c r="AJ32" s="1">
        <v>0</v>
      </c>
      <c r="AK32" s="6">
        <v>0</v>
      </c>
      <c r="AL32" s="45">
        <f t="shared" si="45"/>
        <v>96.090228880246556</v>
      </c>
      <c r="AM32" s="44">
        <f t="shared" si="22"/>
        <v>1340</v>
      </c>
      <c r="AN32">
        <f t="shared" si="23"/>
        <v>12.49999999999992</v>
      </c>
      <c r="AO32">
        <f t="shared" si="24"/>
        <v>17.820000000000004</v>
      </c>
      <c r="AP32">
        <f t="shared" si="25"/>
        <v>0.17499999960000001</v>
      </c>
      <c r="AS32">
        <f t="shared" si="8"/>
        <v>1136</v>
      </c>
      <c r="AT32">
        <f t="shared" si="49"/>
        <v>0.82500000000000084</v>
      </c>
      <c r="AU32" s="319">
        <f t="shared" si="10"/>
        <v>0.77192857139999993</v>
      </c>
      <c r="AV32" s="258">
        <f t="shared" si="35"/>
        <v>0.77500000040000006</v>
      </c>
      <c r="AX32">
        <f t="shared" si="13"/>
        <v>1136</v>
      </c>
    </row>
    <row r="33" spans="1:50" s="160" customFormat="1">
      <c r="B33" s="1">
        <v>30</v>
      </c>
      <c r="C33" s="1">
        <v>1450</v>
      </c>
      <c r="D33" s="1">
        <v>0</v>
      </c>
      <c r="E33" s="1">
        <v>0</v>
      </c>
      <c r="F33" s="1">
        <v>0</v>
      </c>
      <c r="G33" s="1">
        <v>0</v>
      </c>
      <c r="H33" s="1">
        <v>22</v>
      </c>
      <c r="I33" s="1">
        <v>0</v>
      </c>
      <c r="J33" s="1">
        <v>0</v>
      </c>
      <c r="K33" s="1">
        <v>0</v>
      </c>
      <c r="L33" s="1">
        <v>0</v>
      </c>
      <c r="M33" s="157">
        <f>C33/H33</f>
        <v>65.909090909090907</v>
      </c>
      <c r="N33" s="157" t="e">
        <f t="shared" si="28"/>
        <v>#DIV/0!</v>
      </c>
      <c r="O33" s="157" t="e">
        <f t="shared" si="29"/>
        <v>#DIV/0!</v>
      </c>
      <c r="P33" s="1" t="e">
        <f t="shared" si="15"/>
        <v>#DIV/0!</v>
      </c>
      <c r="Q33" s="1" t="e">
        <f t="shared" si="16"/>
        <v>#DIV/0!</v>
      </c>
      <c r="R33" s="163">
        <f>C33*(0.138888888888888*0.9)</f>
        <v>181.24999999999886</v>
      </c>
      <c r="S33" s="163">
        <f t="shared" si="43"/>
        <v>72.5</v>
      </c>
      <c r="T33" s="157">
        <f>D33*(0.288888888888888*0.9)</f>
        <v>0</v>
      </c>
      <c r="U33" s="157">
        <f>D33*0.05</f>
        <v>0</v>
      </c>
      <c r="V33" s="157">
        <f>E33*(0.288888888888888*0.9)</f>
        <v>0</v>
      </c>
      <c r="W33" s="157">
        <f>E33*0.05</f>
        <v>0</v>
      </c>
      <c r="X33" s="1"/>
      <c r="Y33" s="254">
        <f>F33*0.057</f>
        <v>0</v>
      </c>
      <c r="Z33" s="1">
        <f>G33*(0.277777777777777*0.9)</f>
        <v>0</v>
      </c>
      <c r="AA33" s="1">
        <f t="shared" si="17"/>
        <v>0</v>
      </c>
      <c r="AB33" s="44">
        <f t="shared" si="18"/>
        <v>1196.2500000000011</v>
      </c>
      <c r="AC33" s="42">
        <f t="shared" si="19"/>
        <v>0</v>
      </c>
      <c r="AD33" s="42">
        <f t="shared" si="20"/>
        <v>0</v>
      </c>
      <c r="AE33" s="274">
        <f t="shared" si="3"/>
        <v>0</v>
      </c>
      <c r="AF33" s="274">
        <f t="shared" si="4"/>
        <v>0</v>
      </c>
      <c r="AG33" s="43">
        <f t="shared" si="21"/>
        <v>1196.2500000000011</v>
      </c>
      <c r="AH33" s="42">
        <f t="shared" si="44"/>
        <v>181.24999999999886</v>
      </c>
      <c r="AI33" s="44">
        <f t="shared" si="6"/>
        <v>72.5</v>
      </c>
      <c r="AJ33" s="157">
        <v>0</v>
      </c>
      <c r="AK33" s="6">
        <v>0</v>
      </c>
      <c r="AL33" s="168">
        <f t="shared" si="45"/>
        <v>82.500000000000071</v>
      </c>
      <c r="AM33" s="44">
        <f t="shared" si="22"/>
        <v>1450</v>
      </c>
      <c r="AN33">
        <f t="shared" si="23"/>
        <v>12.499999999999922</v>
      </c>
      <c r="AO33" t="e">
        <f t="shared" si="24"/>
        <v>#DIV/0!</v>
      </c>
      <c r="AP33" t="e">
        <f t="shared" si="25"/>
        <v>#DIV/0!</v>
      </c>
      <c r="AS33">
        <f t="shared" si="8"/>
        <v>1450</v>
      </c>
      <c r="AT33">
        <f t="shared" si="49"/>
        <v>0.82500000000000073</v>
      </c>
      <c r="AU33" s="319" t="e">
        <f t="shared" si="10"/>
        <v>#DIV/0!</v>
      </c>
      <c r="AV33" s="258" t="e">
        <f t="shared" si="35"/>
        <v>#DIV/0!</v>
      </c>
      <c r="AX33">
        <f t="shared" si="13"/>
        <v>1450</v>
      </c>
    </row>
    <row r="34" spans="1:50">
      <c r="B34" s="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e">
        <f t="shared" ref="M34:M39" si="50">C34/H34</f>
        <v>#DIV/0!</v>
      </c>
      <c r="N34" s="1" t="e">
        <f t="shared" ref="N34:N39" si="51">D34/I34</f>
        <v>#DIV/0!</v>
      </c>
      <c r="O34" s="157" t="e">
        <f t="shared" si="29"/>
        <v>#DIV/0!</v>
      </c>
      <c r="P34" s="1" t="e">
        <f t="shared" si="15"/>
        <v>#DIV/0!</v>
      </c>
      <c r="Q34" s="1" t="e">
        <f t="shared" si="16"/>
        <v>#DIV/0!</v>
      </c>
      <c r="R34" s="1">
        <f>C34*(0.1888888889*0.9)</f>
        <v>0</v>
      </c>
      <c r="S34" s="1">
        <f t="shared" si="43"/>
        <v>0</v>
      </c>
      <c r="T34" s="1">
        <f>D34*(0.3*0.9)</f>
        <v>0</v>
      </c>
      <c r="U34" s="1">
        <f>D34*0.05</f>
        <v>0</v>
      </c>
      <c r="V34" s="157">
        <f>E34*(0.277777777777777*0.9)</f>
        <v>0</v>
      </c>
      <c r="W34" s="157">
        <f>E34*0.05</f>
        <v>0</v>
      </c>
      <c r="X34" s="1"/>
      <c r="Y34" s="1"/>
      <c r="Z34" s="1">
        <f>G34*(0.283333333333333*0.9)</f>
        <v>0</v>
      </c>
      <c r="AA34" s="1">
        <f t="shared" si="17"/>
        <v>0</v>
      </c>
      <c r="AB34" s="44">
        <f t="shared" si="18"/>
        <v>0</v>
      </c>
      <c r="AC34" s="42">
        <f t="shared" si="19"/>
        <v>0</v>
      </c>
      <c r="AD34" s="42">
        <f t="shared" si="20"/>
        <v>0</v>
      </c>
      <c r="AE34" s="274">
        <f t="shared" si="3"/>
        <v>0</v>
      </c>
      <c r="AF34" s="274">
        <f t="shared" si="4"/>
        <v>0</v>
      </c>
      <c r="AG34" s="43">
        <f t="shared" si="21"/>
        <v>0</v>
      </c>
      <c r="AH34" s="42">
        <f t="shared" si="44"/>
        <v>0</v>
      </c>
      <c r="AI34" s="44">
        <f t="shared" si="6"/>
        <v>0</v>
      </c>
      <c r="AJ34" s="1">
        <v>0</v>
      </c>
      <c r="AK34" s="1">
        <v>0</v>
      </c>
      <c r="AL34" s="32" t="e">
        <f t="shared" si="45"/>
        <v>#DIV/0!</v>
      </c>
      <c r="AM34" s="44">
        <f t="shared" si="22"/>
        <v>0</v>
      </c>
      <c r="AN34" t="e">
        <f t="shared" si="23"/>
        <v>#DIV/0!</v>
      </c>
      <c r="AO34" t="e">
        <f t="shared" si="24"/>
        <v>#DIV/0!</v>
      </c>
      <c r="AP34" t="e">
        <f t="shared" si="25"/>
        <v>#DIV/0!</v>
      </c>
      <c r="AT34" t="e">
        <f t="shared" si="49"/>
        <v>#DIV/0!</v>
      </c>
      <c r="AU34" s="319" t="e">
        <f t="shared" si="10"/>
        <v>#DIV/0!</v>
      </c>
      <c r="AV34" s="258" t="e">
        <f t="shared" si="35"/>
        <v>#DIV/0!</v>
      </c>
      <c r="AX34">
        <f t="shared" si="13"/>
        <v>0</v>
      </c>
    </row>
    <row r="35" spans="1:50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e">
        <f t="shared" si="50"/>
        <v>#DIV/0!</v>
      </c>
      <c r="N35" s="1" t="e">
        <f t="shared" si="51"/>
        <v>#DIV/0!</v>
      </c>
      <c r="O35" s="1"/>
      <c r="P35" s="1" t="e">
        <f t="shared" si="15"/>
        <v>#DIV/0!</v>
      </c>
      <c r="Q35" s="1" t="e">
        <f t="shared" si="16"/>
        <v>#DIV/0!</v>
      </c>
      <c r="R35" s="1">
        <f t="shared" ref="R35:R39" si="52">C35*(0.1*0.9)</f>
        <v>0</v>
      </c>
      <c r="S35" s="1">
        <f t="shared" ref="S35:S39" si="53">C35*0.045</f>
        <v>0</v>
      </c>
      <c r="T35" s="1">
        <f>D35*(0.18*0.9)</f>
        <v>0</v>
      </c>
      <c r="U35" s="1">
        <f>D35*0.045</f>
        <v>0</v>
      </c>
      <c r="V35" s="1"/>
      <c r="W35" s="1"/>
      <c r="X35" s="1"/>
      <c r="Y35" s="1"/>
      <c r="Z35" s="1">
        <f t="shared" si="42"/>
        <v>0</v>
      </c>
      <c r="AA35" s="1">
        <f t="shared" si="17"/>
        <v>0</v>
      </c>
      <c r="AB35" s="44">
        <f t="shared" si="18"/>
        <v>0</v>
      </c>
      <c r="AC35" s="42">
        <f t="shared" si="19"/>
        <v>0</v>
      </c>
      <c r="AD35" s="42">
        <f t="shared" si="20"/>
        <v>0</v>
      </c>
      <c r="AE35" s="1"/>
      <c r="AF35" s="274">
        <f t="shared" si="4"/>
        <v>0</v>
      </c>
      <c r="AG35" s="43">
        <f t="shared" si="21"/>
        <v>0</v>
      </c>
      <c r="AH35" s="42">
        <f t="shared" si="44"/>
        <v>0</v>
      </c>
      <c r="AI35" s="44">
        <f t="shared" si="6"/>
        <v>0</v>
      </c>
      <c r="AJ35" s="1">
        <v>0</v>
      </c>
      <c r="AK35" s="1">
        <v>0</v>
      </c>
      <c r="AL35" s="32" t="e">
        <f t="shared" si="45"/>
        <v>#DIV/0!</v>
      </c>
      <c r="AM35" s="44">
        <f t="shared" si="22"/>
        <v>0</v>
      </c>
      <c r="AN35" t="e">
        <f>(R35+#REF!)/C35*100</f>
        <v>#REF!</v>
      </c>
      <c r="AP35" t="e">
        <f t="shared" si="25"/>
        <v>#DIV/0!</v>
      </c>
      <c r="AT35" t="e">
        <f t="shared" si="49"/>
        <v>#DIV/0!</v>
      </c>
      <c r="AU35" t="e">
        <f t="shared" ref="AU35" si="54">AD35/E35</f>
        <v>#DIV/0!</v>
      </c>
      <c r="AV35" s="258" t="e">
        <f t="shared" si="35"/>
        <v>#DIV/0!</v>
      </c>
      <c r="AX35">
        <f t="shared" si="13"/>
        <v>0</v>
      </c>
    </row>
    <row r="36" spans="1:50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50"/>
        <v>#DIV/0!</v>
      </c>
      <c r="N36" s="1" t="e">
        <f t="shared" si="51"/>
        <v>#DIV/0!</v>
      </c>
      <c r="O36" s="1"/>
      <c r="P36" s="1"/>
      <c r="Q36" s="1"/>
      <c r="R36" s="1">
        <f t="shared" si="52"/>
        <v>0</v>
      </c>
      <c r="S36" s="1">
        <f t="shared" si="53"/>
        <v>0</v>
      </c>
      <c r="T36" s="1">
        <f>D36*(0.18*0.9)</f>
        <v>0</v>
      </c>
      <c r="U36" s="1">
        <f>D36*0.045</f>
        <v>0</v>
      </c>
      <c r="V36" s="1"/>
      <c r="W36" s="1"/>
      <c r="X36" s="1"/>
      <c r="Y36" s="1"/>
      <c r="Z36" s="1">
        <f t="shared" si="42"/>
        <v>0</v>
      </c>
      <c r="AA36" s="1">
        <f t="shared" si="17"/>
        <v>0</v>
      </c>
      <c r="AB36" s="44">
        <f t="shared" si="18"/>
        <v>0</v>
      </c>
      <c r="AC36" s="42">
        <f t="shared" si="19"/>
        <v>0</v>
      </c>
      <c r="AD36" s="42">
        <f t="shared" si="20"/>
        <v>0</v>
      </c>
      <c r="AE36" s="1"/>
      <c r="AF36" s="274">
        <f t="shared" si="4"/>
        <v>0</v>
      </c>
      <c r="AG36" s="43">
        <f t="shared" si="21"/>
        <v>0</v>
      </c>
      <c r="AH36" s="42">
        <f t="shared" si="44"/>
        <v>0</v>
      </c>
      <c r="AI36" s="44">
        <f>S36+U36+W36+Y36</f>
        <v>0</v>
      </c>
      <c r="AJ36" s="1">
        <v>0</v>
      </c>
      <c r="AK36" s="1">
        <v>0</v>
      </c>
      <c r="AL36" s="32" t="e">
        <f t="shared" si="45"/>
        <v>#DIV/0!</v>
      </c>
      <c r="AM36" s="44">
        <f t="shared" si="22"/>
        <v>0</v>
      </c>
      <c r="AN36" t="e">
        <f>(R36+#REF!)/C36*100</f>
        <v>#REF!</v>
      </c>
      <c r="AX36">
        <f t="shared" si="13"/>
        <v>0</v>
      </c>
    </row>
    <row r="37" spans="1:50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50"/>
        <v>#DIV/0!</v>
      </c>
      <c r="N37" s="1" t="e">
        <f t="shared" si="51"/>
        <v>#DIV/0!</v>
      </c>
      <c r="O37" s="1"/>
      <c r="P37" s="1"/>
      <c r="Q37" s="1"/>
      <c r="R37" s="1">
        <f t="shared" si="52"/>
        <v>0</v>
      </c>
      <c r="S37" s="1">
        <f t="shared" si="53"/>
        <v>0</v>
      </c>
      <c r="T37" s="1">
        <f>D37*(0.18*0.9)</f>
        <v>0</v>
      </c>
      <c r="U37" s="1">
        <f>D37*0.045</f>
        <v>0</v>
      </c>
      <c r="V37" s="1"/>
      <c r="W37" s="1"/>
      <c r="X37" s="1"/>
      <c r="Y37" s="1"/>
      <c r="Z37" s="1">
        <f t="shared" si="42"/>
        <v>0</v>
      </c>
      <c r="AA37" s="1">
        <f t="shared" si="17"/>
        <v>0</v>
      </c>
      <c r="AB37" s="44">
        <f t="shared" si="18"/>
        <v>0</v>
      </c>
      <c r="AC37" s="42">
        <f t="shared" si="19"/>
        <v>0</v>
      </c>
      <c r="AD37" s="42">
        <f t="shared" si="20"/>
        <v>0</v>
      </c>
      <c r="AE37" s="1"/>
      <c r="AF37" s="274">
        <f t="shared" si="4"/>
        <v>0</v>
      </c>
      <c r="AG37" s="14">
        <f t="shared" ref="AG37:AG39" si="55">AB37+AC37</f>
        <v>0</v>
      </c>
      <c r="AH37" s="1">
        <f>R37+T37</f>
        <v>0</v>
      </c>
      <c r="AI37" s="44">
        <f>S37+U37+W37+Y37</f>
        <v>0</v>
      </c>
      <c r="AJ37" s="1">
        <v>0</v>
      </c>
      <c r="AK37" s="1">
        <v>0</v>
      </c>
      <c r="AL37" s="32" t="e">
        <f t="shared" si="45"/>
        <v>#DIV/0!</v>
      </c>
      <c r="AM37" s="44">
        <f t="shared" si="22"/>
        <v>0</v>
      </c>
      <c r="AN37" t="e">
        <f>(R37+#REF!)/C37*100</f>
        <v>#REF!</v>
      </c>
    </row>
    <row r="38" spans="1:50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50"/>
        <v>#DIV/0!</v>
      </c>
      <c r="N38" s="1" t="e">
        <f t="shared" si="51"/>
        <v>#DIV/0!</v>
      </c>
      <c r="O38" s="1"/>
      <c r="P38" s="1"/>
      <c r="Q38" s="1"/>
      <c r="R38" s="1">
        <f t="shared" si="52"/>
        <v>0</v>
      </c>
      <c r="S38" s="1">
        <f t="shared" si="53"/>
        <v>0</v>
      </c>
      <c r="T38" s="1">
        <f>D38*(0.18*0.9)</f>
        <v>0</v>
      </c>
      <c r="U38" s="1">
        <f>D38*0.045</f>
        <v>0</v>
      </c>
      <c r="V38" s="1"/>
      <c r="W38" s="1"/>
      <c r="X38" s="1"/>
      <c r="Y38" s="1"/>
      <c r="Z38" s="1">
        <f t="shared" si="42"/>
        <v>0</v>
      </c>
      <c r="AA38" s="1">
        <f t="shared" si="17"/>
        <v>0</v>
      </c>
      <c r="AB38" s="44">
        <f t="shared" si="18"/>
        <v>0</v>
      </c>
      <c r="AC38" s="42">
        <f t="shared" si="19"/>
        <v>0</v>
      </c>
      <c r="AD38" s="42">
        <f t="shared" si="20"/>
        <v>0</v>
      </c>
      <c r="AE38" s="1"/>
      <c r="AF38" s="1"/>
      <c r="AG38" s="14">
        <f t="shared" si="55"/>
        <v>0</v>
      </c>
      <c r="AH38" s="1">
        <f>R38+T38</f>
        <v>0</v>
      </c>
      <c r="AI38" s="44">
        <f>S38+U38+W38+Y38</f>
        <v>0</v>
      </c>
      <c r="AJ38" s="1">
        <v>0</v>
      </c>
      <c r="AK38" s="1"/>
      <c r="AL38" s="32" t="e">
        <f t="shared" si="45"/>
        <v>#DIV/0!</v>
      </c>
      <c r="AM38" s="44">
        <f t="shared" si="22"/>
        <v>0</v>
      </c>
      <c r="AN38" t="e">
        <f>(R38+#REF!)/C38*100</f>
        <v>#REF!</v>
      </c>
    </row>
    <row r="39" spans="1:50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50"/>
        <v>#DIV/0!</v>
      </c>
      <c r="N39" s="1" t="e">
        <f t="shared" si="51"/>
        <v>#DIV/0!</v>
      </c>
      <c r="O39" s="1"/>
      <c r="P39" s="1"/>
      <c r="Q39" s="1"/>
      <c r="R39" s="1">
        <f t="shared" si="52"/>
        <v>0</v>
      </c>
      <c r="S39" s="1">
        <f t="shared" si="53"/>
        <v>0</v>
      </c>
      <c r="T39" s="1">
        <f>D39*(0.18*0.9)</f>
        <v>0</v>
      </c>
      <c r="U39" s="1">
        <f>D39*0.045</f>
        <v>0</v>
      </c>
      <c r="V39" s="1"/>
      <c r="W39" s="1"/>
      <c r="X39" s="1"/>
      <c r="Y39" s="1"/>
      <c r="Z39" s="1"/>
      <c r="AA39" s="1"/>
      <c r="AB39" s="44">
        <f t="shared" si="18"/>
        <v>0</v>
      </c>
      <c r="AC39" s="42">
        <f t="shared" si="19"/>
        <v>0</v>
      </c>
      <c r="AD39" s="42">
        <f t="shared" si="20"/>
        <v>0</v>
      </c>
      <c r="AE39" s="1"/>
      <c r="AF39" s="1"/>
      <c r="AG39" s="14">
        <f t="shared" si="55"/>
        <v>0</v>
      </c>
      <c r="AH39" s="1">
        <f>R39+T39</f>
        <v>0</v>
      </c>
      <c r="AI39" s="44">
        <f>S39+U39+W39+Y39</f>
        <v>0</v>
      </c>
      <c r="AJ39" s="1">
        <v>0</v>
      </c>
      <c r="AK39" s="1"/>
      <c r="AL39" s="32" t="e">
        <f t="shared" si="45"/>
        <v>#DIV/0!</v>
      </c>
      <c r="AM39" s="44">
        <f t="shared" si="22"/>
        <v>0</v>
      </c>
      <c r="AN39" t="e">
        <f>(R39+#REF!)/C39*100</f>
        <v>#REF!</v>
      </c>
    </row>
    <row r="40" spans="1:50">
      <c r="A40" t="s">
        <v>27</v>
      </c>
      <c r="B40" s="1" t="s">
        <v>9</v>
      </c>
      <c r="C40" s="1">
        <f>SUM(C4:C33)</f>
        <v>36737</v>
      </c>
      <c r="D40" s="1">
        <f t="shared" ref="D40:AW40" si="56">SUM(D4:D33)</f>
        <v>1932</v>
      </c>
      <c r="E40" s="1">
        <f t="shared" si="56"/>
        <v>0</v>
      </c>
      <c r="F40" s="1">
        <f t="shared" si="56"/>
        <v>185</v>
      </c>
      <c r="G40" s="1"/>
      <c r="H40" s="1">
        <f t="shared" si="56"/>
        <v>560.63</v>
      </c>
      <c r="I40" s="1">
        <f t="shared" si="56"/>
        <v>28.2</v>
      </c>
      <c r="J40" s="1">
        <f t="shared" si="56"/>
        <v>0</v>
      </c>
      <c r="K40" s="1">
        <f t="shared" si="56"/>
        <v>3</v>
      </c>
      <c r="L40" s="1"/>
      <c r="M40" s="1">
        <f t="shared" si="56"/>
        <v>1966.3226509220283</v>
      </c>
      <c r="N40" s="1" t="e">
        <f t="shared" si="56"/>
        <v>#DIV/0!</v>
      </c>
      <c r="O40" s="1" t="e">
        <f t="shared" si="56"/>
        <v>#DIV/0!</v>
      </c>
      <c r="P40" s="1" t="e">
        <f t="shared" si="56"/>
        <v>#DIV/0!</v>
      </c>
      <c r="Q40" s="1"/>
      <c r="R40" s="1">
        <f t="shared" si="56"/>
        <v>5496.5554975546283</v>
      </c>
      <c r="S40" s="1">
        <f t="shared" si="56"/>
        <v>1841.5359952379997</v>
      </c>
      <c r="T40" s="1">
        <f t="shared" si="56"/>
        <v>391.22999951340955</v>
      </c>
      <c r="U40" s="1">
        <f t="shared" si="56"/>
        <v>97.212999833600009</v>
      </c>
      <c r="V40" s="1">
        <f t="shared" si="56"/>
        <v>0</v>
      </c>
      <c r="W40" s="1">
        <f t="shared" si="56"/>
        <v>0</v>
      </c>
      <c r="X40" s="1">
        <f t="shared" si="56"/>
        <v>0</v>
      </c>
      <c r="Y40" s="1">
        <f t="shared" si="56"/>
        <v>9.0869999549999996</v>
      </c>
      <c r="Z40" s="1"/>
      <c r="AA40" s="1"/>
      <c r="AB40" s="44">
        <f t="shared" si="18"/>
        <v>29398.908507207372</v>
      </c>
      <c r="AC40" s="42">
        <f t="shared" si="19"/>
        <v>1443.5570006529906</v>
      </c>
      <c r="AD40" s="42">
        <f t="shared" si="20"/>
        <v>0</v>
      </c>
      <c r="AE40" s="1">
        <f t="shared" si="56"/>
        <v>175.91300004499999</v>
      </c>
      <c r="AF40" s="1"/>
      <c r="AG40" s="1">
        <f t="shared" si="56"/>
        <v>34311.798508908898</v>
      </c>
      <c r="AH40" s="1">
        <f t="shared" si="56"/>
        <v>6852.0794963634307</v>
      </c>
      <c r="AI40" s="1">
        <f t="shared" si="56"/>
        <v>2174.12199472767</v>
      </c>
      <c r="AJ40" s="1">
        <f t="shared" si="56"/>
        <v>0</v>
      </c>
      <c r="AK40" s="1">
        <f t="shared" si="56"/>
        <v>0</v>
      </c>
      <c r="AL40" s="1">
        <f t="shared" si="56"/>
        <v>2689.2760641817449</v>
      </c>
      <c r="AM40" s="1">
        <f t="shared" si="56"/>
        <v>43338</v>
      </c>
      <c r="AN40" s="1">
        <f t="shared" si="56"/>
        <v>448.8254212469991</v>
      </c>
      <c r="AO40" s="1" t="e">
        <f t="shared" si="56"/>
        <v>#DIV/0!</v>
      </c>
      <c r="AP40" s="1" t="e">
        <f t="shared" si="56"/>
        <v>#DIV/0!</v>
      </c>
      <c r="AQ40" s="1"/>
      <c r="AR40" s="1"/>
      <c r="AS40" s="1">
        <f t="shared" si="56"/>
        <v>38669</v>
      </c>
      <c r="AT40" s="1">
        <f t="shared" si="56"/>
        <v>24.009449805530007</v>
      </c>
      <c r="AU40" s="1" t="e">
        <f t="shared" si="56"/>
        <v>#DIV/0!</v>
      </c>
      <c r="AV40" s="1" t="e">
        <f t="shared" si="56"/>
        <v>#DIV/0!</v>
      </c>
      <c r="AW40" s="1" t="e">
        <f t="shared" si="56"/>
        <v>#DIV/0!</v>
      </c>
      <c r="AX40" s="1">
        <f>SUM(AX4:AX33)</f>
        <v>38854</v>
      </c>
    </row>
    <row r="41" spans="1:50">
      <c r="A41" t="s">
        <v>28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>
        <v>0</v>
      </c>
      <c r="AK41" s="1"/>
      <c r="AL41" s="1"/>
      <c r="AM41" s="1"/>
      <c r="AN41" t="e">
        <f>(R41+#REF!)/C41*100</f>
        <v>#REF!</v>
      </c>
    </row>
    <row r="42" spans="1:50">
      <c r="A42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t="e">
        <v>#DIV/0!</v>
      </c>
    </row>
    <row r="44" spans="1:50">
      <c r="B44" t="s">
        <v>214</v>
      </c>
      <c r="C44">
        <v>1600</v>
      </c>
      <c r="D44" t="s">
        <v>215</v>
      </c>
      <c r="H44">
        <v>8000</v>
      </c>
      <c r="I44" t="s">
        <v>216</v>
      </c>
    </row>
    <row r="45" spans="1:50">
      <c r="C45">
        <f>Cement!H30*1600/8000</f>
        <v>4.7999999999592549E-2</v>
      </c>
      <c r="D45" t="s">
        <v>217</v>
      </c>
      <c r="H45">
        <v>13500</v>
      </c>
      <c r="I45" t="s">
        <v>216</v>
      </c>
    </row>
    <row r="52" spans="18:20">
      <c r="R52">
        <f>200/85</f>
        <v>2.3529411764705883</v>
      </c>
      <c r="T52">
        <f>24-2.35</f>
        <v>21.65</v>
      </c>
    </row>
  </sheetData>
  <mergeCells count="2">
    <mergeCell ref="H2:J2"/>
    <mergeCell ref="C2:E2"/>
  </mergeCells>
  <pageMargins left="0.7" right="0.7" top="0.75" bottom="0.75" header="0.3" footer="0.3"/>
  <pageSetup paperSize="9"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V53"/>
  <sheetViews>
    <sheetView zoomScale="60" zoomScaleNormal="60" workbookViewId="0">
      <pane ySplit="3" topLeftCell="A4" activePane="bottomLeft" state="frozen"/>
      <selection pane="bottomLeft" activeCell="A33" sqref="A33:XFD33"/>
    </sheetView>
  </sheetViews>
  <sheetFormatPr defaultRowHeight="15"/>
  <cols>
    <col min="3" max="3" width="9.140625" customWidth="1"/>
    <col min="9" max="12" width="12.7109375" customWidth="1"/>
    <col min="13" max="16" width="9.140625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4.42578125" bestFit="1" customWidth="1"/>
    <col min="21" max="21" width="22.5703125" customWidth="1"/>
    <col min="22" max="22" width="14.42578125" customWidth="1"/>
    <col min="23" max="23" width="22.5703125" customWidth="1"/>
    <col min="24" max="26" width="14.42578125" customWidth="1"/>
    <col min="27" max="27" width="15.7109375" customWidth="1"/>
    <col min="28" max="31" width="16.140625" customWidth="1"/>
    <col min="32" max="32" width="16.7109375" customWidth="1"/>
    <col min="33" max="33" width="12.85546875" customWidth="1"/>
    <col min="34" max="34" width="10.42578125" bestFit="1" customWidth="1"/>
    <col min="35" max="35" width="14.5703125" customWidth="1"/>
    <col min="36" max="36" width="10.140625" bestFit="1" customWidth="1"/>
    <col min="38" max="38" width="13" bestFit="1" customWidth="1"/>
  </cols>
  <sheetData>
    <row r="2" spans="1:48">
      <c r="B2" s="30" t="s">
        <v>29</v>
      </c>
      <c r="C2" s="600" t="s">
        <v>183</v>
      </c>
      <c r="D2" s="623"/>
      <c r="E2" s="601"/>
      <c r="F2" s="193"/>
      <c r="G2" s="193"/>
      <c r="H2" s="620" t="s">
        <v>112</v>
      </c>
      <c r="I2" s="621"/>
      <c r="J2" s="622"/>
      <c r="K2" s="196"/>
      <c r="L2" s="196"/>
      <c r="M2" s="30" t="s">
        <v>184</v>
      </c>
      <c r="N2" s="30" t="s">
        <v>185</v>
      </c>
      <c r="O2" s="30" t="s">
        <v>218</v>
      </c>
      <c r="P2" s="30" t="s">
        <v>219</v>
      </c>
      <c r="Q2" s="30" t="s">
        <v>189</v>
      </c>
      <c r="R2" s="30" t="s">
        <v>190</v>
      </c>
      <c r="S2" s="30" t="s">
        <v>191</v>
      </c>
      <c r="T2" s="30" t="s">
        <v>192</v>
      </c>
      <c r="U2" s="30" t="s">
        <v>193</v>
      </c>
      <c r="V2" s="30" t="s">
        <v>194</v>
      </c>
      <c r="W2" s="30" t="s">
        <v>195</v>
      </c>
      <c r="X2" s="30" t="s">
        <v>196</v>
      </c>
      <c r="Y2" s="30" t="s">
        <v>197</v>
      </c>
      <c r="Z2" s="30" t="s">
        <v>198</v>
      </c>
      <c r="AA2" s="431" t="s">
        <v>199</v>
      </c>
      <c r="AB2" s="431" t="s">
        <v>200</v>
      </c>
      <c r="AC2" s="431" t="s">
        <v>201</v>
      </c>
      <c r="AD2" s="431" t="s">
        <v>220</v>
      </c>
      <c r="AE2" s="431" t="s">
        <v>221</v>
      </c>
      <c r="AF2" t="s">
        <v>204</v>
      </c>
      <c r="AG2" t="s">
        <v>205</v>
      </c>
      <c r="AH2" t="s">
        <v>206</v>
      </c>
      <c r="AI2" t="s">
        <v>207</v>
      </c>
      <c r="AJ2" t="s">
        <v>208</v>
      </c>
      <c r="AK2" t="s">
        <v>209</v>
      </c>
      <c r="AL2" t="s">
        <v>210</v>
      </c>
      <c r="AM2">
        <v>42.5</v>
      </c>
      <c r="AN2">
        <v>32.5</v>
      </c>
      <c r="AO2" t="s">
        <v>222</v>
      </c>
      <c r="AP2" t="s">
        <v>223</v>
      </c>
      <c r="AQ2" t="s">
        <v>224</v>
      </c>
    </row>
    <row r="3" spans="1:48">
      <c r="B3" s="1" t="s">
        <v>213</v>
      </c>
      <c r="C3" s="1">
        <v>42.5</v>
      </c>
      <c r="D3" s="1">
        <v>32.5</v>
      </c>
      <c r="E3" s="1" t="s">
        <v>211</v>
      </c>
      <c r="F3" s="1" t="s">
        <v>187</v>
      </c>
      <c r="G3" s="1" t="s">
        <v>188</v>
      </c>
      <c r="H3" s="186">
        <v>42.5</v>
      </c>
      <c r="I3" s="186">
        <v>32.5</v>
      </c>
      <c r="J3" s="186" t="s">
        <v>211</v>
      </c>
      <c r="K3" s="186" t="s">
        <v>187</v>
      </c>
      <c r="L3" s="1" t="s">
        <v>188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432"/>
      <c r="AB3" s="432"/>
      <c r="AC3" s="432"/>
      <c r="AD3" s="432"/>
      <c r="AE3" s="432"/>
      <c r="AF3" s="1"/>
      <c r="AG3" s="1"/>
      <c r="AH3" s="1"/>
      <c r="AI3" s="1"/>
      <c r="AJ3" s="1"/>
      <c r="AK3" s="1"/>
      <c r="AL3" s="1"/>
      <c r="AQ3">
        <v>42.5</v>
      </c>
      <c r="AR3">
        <v>32.5</v>
      </c>
      <c r="AS3" t="s">
        <v>211</v>
      </c>
      <c r="AT3" t="s">
        <v>225</v>
      </c>
    </row>
    <row r="4" spans="1:48" s="258" customFormat="1">
      <c r="B4" s="274">
        <v>1</v>
      </c>
      <c r="C4" s="1">
        <v>1240</v>
      </c>
      <c r="D4" s="1">
        <v>0</v>
      </c>
      <c r="E4" s="1">
        <v>0</v>
      </c>
      <c r="F4" s="1">
        <v>224</v>
      </c>
      <c r="G4" s="1">
        <v>0</v>
      </c>
      <c r="H4" s="1">
        <v>20</v>
      </c>
      <c r="I4" s="1">
        <v>0</v>
      </c>
      <c r="J4" s="1">
        <v>0</v>
      </c>
      <c r="K4" s="1">
        <v>4</v>
      </c>
      <c r="L4" s="1">
        <v>0</v>
      </c>
      <c r="M4" s="274">
        <f t="shared" ref="M4" si="0">C4/H4</f>
        <v>62</v>
      </c>
      <c r="N4" s="274" t="e">
        <f t="shared" ref="N4" si="1">D4/I4</f>
        <v>#DIV/0!</v>
      </c>
      <c r="O4" s="274" t="e">
        <f>G4/L4</f>
        <v>#DIV/0!</v>
      </c>
      <c r="P4" s="274">
        <f t="shared" ref="P4" si="2">F4/K4</f>
        <v>56</v>
      </c>
      <c r="Q4" s="274">
        <f>C4*(0.188888888888888*0.9)</f>
        <v>210.79999999999902</v>
      </c>
      <c r="R4" s="274">
        <f>C4*0.05</f>
        <v>62</v>
      </c>
      <c r="S4" s="274">
        <f>D4*(0.3*0.9)</f>
        <v>0</v>
      </c>
      <c r="T4" s="274">
        <f>D4*0.05</f>
        <v>0</v>
      </c>
      <c r="U4" s="274">
        <f>E4*(0.316666666666666*0.9)</f>
        <v>0</v>
      </c>
      <c r="V4" s="274">
        <f>E4*0.052</f>
        <v>0</v>
      </c>
      <c r="W4" s="274">
        <f t="shared" ref="W4:W20" si="3">F4*(0*0.9)</f>
        <v>0</v>
      </c>
      <c r="X4" s="274">
        <f>F4*0.05</f>
        <v>11.200000000000001</v>
      </c>
      <c r="Y4" s="274">
        <f>G4*(0.314009661*0.9)</f>
        <v>0</v>
      </c>
      <c r="Z4" s="274">
        <f>G4*0.05</f>
        <v>0</v>
      </c>
      <c r="AA4" s="432">
        <f>C4-Q4-R4</f>
        <v>967.20000000000095</v>
      </c>
      <c r="AB4" s="432">
        <f>D4-S4-T4</f>
        <v>0</v>
      </c>
      <c r="AC4" s="432">
        <f>E4-U4-V4</f>
        <v>0</v>
      </c>
      <c r="AD4" s="432">
        <f>F4-W4-X4</f>
        <v>212.8</v>
      </c>
      <c r="AE4" s="432">
        <f t="shared" ref="AE4:AE35" si="4">G4-Y4-Z4</f>
        <v>0</v>
      </c>
      <c r="AF4" s="43">
        <f>AA4+AB4+AC4+AD4+AE4</f>
        <v>1180.0000000000009</v>
      </c>
      <c r="AG4" s="170">
        <f t="shared" ref="AG4:AG23" si="5">Q4+S4+U4+Y4</f>
        <v>210.79999999999902</v>
      </c>
      <c r="AH4" s="275">
        <f t="shared" ref="AH4" si="6">R4+T4+V4+X4+Z4</f>
        <v>73.2</v>
      </c>
      <c r="AI4" s="274">
        <v>0</v>
      </c>
      <c r="AJ4" s="276">
        <v>0</v>
      </c>
      <c r="AK4" s="277">
        <f t="shared" ref="AK4:AK24" si="7">AF4/(C4+D4)*100</f>
        <v>95.161290322580712</v>
      </c>
      <c r="AL4" s="275">
        <f>AF4+AG4+AH4</f>
        <v>1464</v>
      </c>
      <c r="AM4" s="258">
        <f>(Q4)/C4*100</f>
        <v>16.999999999999922</v>
      </c>
      <c r="AN4" s="258" t="e">
        <f>(S4)/D4*100</f>
        <v>#DIV/0!</v>
      </c>
      <c r="AO4" s="258" t="e">
        <f>Y4/G4</f>
        <v>#DIV/0!</v>
      </c>
      <c r="AQ4" s="278">
        <f t="shared" ref="AQ4:AQ34" si="8">AA4/C4</f>
        <v>0.7800000000000008</v>
      </c>
      <c r="AR4" s="278" t="e">
        <f t="shared" ref="AR4:AR34" si="9">AB4/D4</f>
        <v>#DIV/0!</v>
      </c>
      <c r="AS4" s="278" t="e">
        <f t="shared" ref="AS4:AS34" si="10">AC4/E4</f>
        <v>#DIV/0!</v>
      </c>
      <c r="AT4" s="278">
        <f t="shared" ref="AT4:AT34" si="11">AD4/F4</f>
        <v>0.95000000000000007</v>
      </c>
      <c r="AU4">
        <f t="shared" ref="AU4:AU36" si="12">C4+D4+E4+F4</f>
        <v>1464</v>
      </c>
      <c r="AV4" s="258">
        <f>H4+I4+K4+L4</f>
        <v>24</v>
      </c>
    </row>
    <row r="5" spans="1:48">
      <c r="B5" s="274">
        <v>2</v>
      </c>
      <c r="C5" s="1">
        <v>1004</v>
      </c>
      <c r="D5" s="1">
        <v>0</v>
      </c>
      <c r="E5" s="1">
        <v>0</v>
      </c>
      <c r="F5" s="1">
        <v>170</v>
      </c>
      <c r="G5" s="1">
        <v>0</v>
      </c>
      <c r="H5" s="1">
        <v>16.25</v>
      </c>
      <c r="I5" s="1">
        <v>0</v>
      </c>
      <c r="J5" s="1">
        <v>0</v>
      </c>
      <c r="K5" s="1">
        <v>3</v>
      </c>
      <c r="L5" s="1">
        <v>0</v>
      </c>
      <c r="M5" s="1">
        <f t="shared" ref="M5" si="13">C5/H5</f>
        <v>61.784615384615385</v>
      </c>
      <c r="N5" s="1" t="e">
        <f t="shared" ref="N5" si="14">D5/I5</f>
        <v>#DIV/0!</v>
      </c>
      <c r="O5" s="274" t="e">
        <f t="shared" ref="O5:O35" si="15">G5/L5</f>
        <v>#DIV/0!</v>
      </c>
      <c r="P5" s="1">
        <f t="shared" ref="P5:P25" si="16">F5/K5</f>
        <v>56.666666666666664</v>
      </c>
      <c r="Q5" s="1">
        <f>C5*(0.2*0.9)</f>
        <v>180.72000000000003</v>
      </c>
      <c r="R5" s="1">
        <f>C5*0.05</f>
        <v>50.2</v>
      </c>
      <c r="S5" s="1">
        <f>D5*(0.290598291*0.9)</f>
        <v>0</v>
      </c>
      <c r="T5" s="1">
        <f>D5*0.050769232</f>
        <v>0</v>
      </c>
      <c r="U5" s="1">
        <f>E5*(0.316666666666666*0.9)</f>
        <v>0</v>
      </c>
      <c r="V5" s="1">
        <f>E5*0.05</f>
        <v>0</v>
      </c>
      <c r="W5" s="1">
        <f t="shared" si="3"/>
        <v>0</v>
      </c>
      <c r="X5" s="1">
        <f>F5*0.05</f>
        <v>8.5</v>
      </c>
      <c r="Y5" s="274">
        <f>G5*(0.310990338*0.9)</f>
        <v>0</v>
      </c>
      <c r="Z5" s="274">
        <f>G5*0.050271739</f>
        <v>0</v>
      </c>
      <c r="AA5" s="432">
        <f t="shared" ref="AA5:AA41" si="17">C5-Q5-R5</f>
        <v>773.07999999999993</v>
      </c>
      <c r="AB5" s="432">
        <f t="shared" ref="AB5:AB42" si="18">D5-S5-T5</f>
        <v>0</v>
      </c>
      <c r="AC5" s="432">
        <f t="shared" ref="AC5:AC35" si="19">E5-U5-V5</f>
        <v>0</v>
      </c>
      <c r="AD5" s="432">
        <f t="shared" ref="AD5:AD35" si="20">F5-W5-X5</f>
        <v>161.5</v>
      </c>
      <c r="AE5" s="432">
        <f t="shared" si="4"/>
        <v>0</v>
      </c>
      <c r="AF5" s="43">
        <f>AA5+AB5+AC5+AD5+AE5</f>
        <v>934.57999999999993</v>
      </c>
      <c r="AG5" s="170">
        <f t="shared" si="5"/>
        <v>180.72000000000003</v>
      </c>
      <c r="AH5" s="275">
        <f>R5+T5+V5+X5+Z5</f>
        <v>58.7</v>
      </c>
      <c r="AI5" s="1">
        <v>0</v>
      </c>
      <c r="AJ5" s="6">
        <v>0</v>
      </c>
      <c r="AK5" s="45">
        <f t="shared" si="7"/>
        <v>93.085657370517922</v>
      </c>
      <c r="AL5" s="275">
        <f t="shared" ref="AL5:AL37" si="21">AF5+AG5+AH5</f>
        <v>1174</v>
      </c>
      <c r="AM5" s="258">
        <f t="shared" ref="AM5:AM34" si="22">(Q5)/C5*100</f>
        <v>18.000000000000004</v>
      </c>
      <c r="AN5" s="258" t="e">
        <f t="shared" ref="AN5:AN34" si="23">(S5)/D5*100</f>
        <v>#DIV/0!</v>
      </c>
      <c r="AO5" s="258" t="e">
        <f t="shared" ref="AO5:AO34" si="24">Y5/G5</f>
        <v>#DIV/0!</v>
      </c>
      <c r="AQ5" s="239">
        <f t="shared" si="8"/>
        <v>0.76999999999999991</v>
      </c>
      <c r="AR5" s="239" t="e">
        <f t="shared" si="9"/>
        <v>#DIV/0!</v>
      </c>
      <c r="AS5" s="239" t="e">
        <f t="shared" si="10"/>
        <v>#DIV/0!</v>
      </c>
      <c r="AT5" s="239">
        <f t="shared" si="11"/>
        <v>0.95</v>
      </c>
      <c r="AU5">
        <f t="shared" si="12"/>
        <v>1174</v>
      </c>
      <c r="AV5" s="258">
        <f t="shared" ref="AV5:AV20" si="25">H5+I5+K5+L5</f>
        <v>19.25</v>
      </c>
    </row>
    <row r="6" spans="1:48">
      <c r="B6" s="274">
        <v>3</v>
      </c>
      <c r="C6" s="1">
        <v>1269</v>
      </c>
      <c r="D6" s="1">
        <v>0</v>
      </c>
      <c r="E6" s="1">
        <v>0</v>
      </c>
      <c r="F6" s="1">
        <v>114</v>
      </c>
      <c r="G6" s="1">
        <v>0</v>
      </c>
      <c r="H6" s="1">
        <v>21.25</v>
      </c>
      <c r="I6" s="1">
        <v>0</v>
      </c>
      <c r="J6" s="1">
        <v>0</v>
      </c>
      <c r="K6" s="1">
        <v>2</v>
      </c>
      <c r="L6" s="1">
        <v>0</v>
      </c>
      <c r="M6" s="1">
        <f t="shared" ref="M6:M34" si="26">C6/H6</f>
        <v>59.71764705882353</v>
      </c>
      <c r="N6" s="1" t="e">
        <f t="shared" ref="N6:N34" si="27">D6/I6</f>
        <v>#DIV/0!</v>
      </c>
      <c r="O6" s="274" t="e">
        <f t="shared" si="15"/>
        <v>#DIV/0!</v>
      </c>
      <c r="P6" s="1">
        <f t="shared" si="16"/>
        <v>57</v>
      </c>
      <c r="Q6" s="1">
        <f>C6*(0.2*0.9)</f>
        <v>228.42000000000002</v>
      </c>
      <c r="R6" s="1">
        <f>C6*0.05</f>
        <v>63.45</v>
      </c>
      <c r="S6" s="1">
        <f>D6*(0.222222222222222*0.9)</f>
        <v>0</v>
      </c>
      <c r="T6" s="1">
        <f>D6*0.05</f>
        <v>0</v>
      </c>
      <c r="U6" s="1">
        <f>E6*(0.332318622*0.9)</f>
        <v>0</v>
      </c>
      <c r="V6" s="1">
        <f>E6*0.0472146111</f>
        <v>0</v>
      </c>
      <c r="W6" s="1">
        <f t="shared" si="3"/>
        <v>0</v>
      </c>
      <c r="X6" s="1">
        <f>F6*0.05</f>
        <v>5.7</v>
      </c>
      <c r="Y6" s="274">
        <f t="shared" ref="Y6:Y34" si="28">G6*(0.316666666666666*0.9)</f>
        <v>0</v>
      </c>
      <c r="Z6" s="274">
        <f t="shared" ref="Z6:Z25" si="29">G6*0.052</f>
        <v>0</v>
      </c>
      <c r="AA6" s="432">
        <f t="shared" si="17"/>
        <v>977.12999999999988</v>
      </c>
      <c r="AB6" s="432">
        <f t="shared" si="18"/>
        <v>0</v>
      </c>
      <c r="AC6" s="432">
        <f t="shared" si="19"/>
        <v>0</v>
      </c>
      <c r="AD6" s="432">
        <f t="shared" si="20"/>
        <v>108.3</v>
      </c>
      <c r="AE6" s="432">
        <f t="shared" si="4"/>
        <v>0</v>
      </c>
      <c r="AF6" s="43">
        <f t="shared" ref="AF6:AF35" si="30">AA6+AB6+AC6+AD6+AE6</f>
        <v>1085.4299999999998</v>
      </c>
      <c r="AG6" s="170">
        <f>Q6+S6+U6+Y6</f>
        <v>228.42000000000002</v>
      </c>
      <c r="AH6" s="275">
        <f>R6+T6+V6+X6+Z6</f>
        <v>69.150000000000006</v>
      </c>
      <c r="AI6" s="1">
        <v>0</v>
      </c>
      <c r="AJ6" s="6">
        <v>0</v>
      </c>
      <c r="AK6" s="45">
        <f t="shared" si="7"/>
        <v>85.534278959810862</v>
      </c>
      <c r="AL6" s="275">
        <f t="shared" si="21"/>
        <v>1383</v>
      </c>
      <c r="AM6" s="258">
        <f t="shared" si="22"/>
        <v>18.000000000000004</v>
      </c>
      <c r="AN6" s="258" t="e">
        <f t="shared" si="23"/>
        <v>#DIV/0!</v>
      </c>
      <c r="AO6" s="258" t="e">
        <f t="shared" si="24"/>
        <v>#DIV/0!</v>
      </c>
      <c r="AQ6" s="239">
        <f t="shared" si="8"/>
        <v>0.76999999999999991</v>
      </c>
      <c r="AR6" s="239" t="e">
        <f t="shared" si="9"/>
        <v>#DIV/0!</v>
      </c>
      <c r="AS6" s="239" t="e">
        <f t="shared" si="10"/>
        <v>#DIV/0!</v>
      </c>
      <c r="AT6" s="239">
        <f t="shared" si="11"/>
        <v>0.95</v>
      </c>
      <c r="AU6">
        <f t="shared" si="12"/>
        <v>1383</v>
      </c>
      <c r="AV6" s="258">
        <f t="shared" si="25"/>
        <v>23.25</v>
      </c>
    </row>
    <row r="7" spans="1:48" s="268" customFormat="1">
      <c r="B7" s="274">
        <v>4</v>
      </c>
      <c r="C7" s="1">
        <v>1201</v>
      </c>
      <c r="D7" s="1">
        <v>0</v>
      </c>
      <c r="E7" s="1">
        <v>0</v>
      </c>
      <c r="F7" s="1">
        <v>0</v>
      </c>
      <c r="G7" s="1">
        <v>0</v>
      </c>
      <c r="H7" s="1">
        <v>20.6</v>
      </c>
      <c r="I7" s="1">
        <v>0</v>
      </c>
      <c r="J7" s="1">
        <v>0</v>
      </c>
      <c r="K7" s="1">
        <v>0</v>
      </c>
      <c r="L7" s="1">
        <v>0</v>
      </c>
      <c r="M7" s="269">
        <f t="shared" si="26"/>
        <v>58.300970873786405</v>
      </c>
      <c r="N7" s="269" t="e">
        <f t="shared" si="27"/>
        <v>#DIV/0!</v>
      </c>
      <c r="O7" s="274" t="e">
        <f t="shared" si="15"/>
        <v>#DIV/0!</v>
      </c>
      <c r="P7" s="269" t="e">
        <f t="shared" si="16"/>
        <v>#DIV/0!</v>
      </c>
      <c r="Q7" s="270">
        <f>C7*(0.188888888888888*0.9)</f>
        <v>204.16999999999905</v>
      </c>
      <c r="R7" s="270">
        <f>C7*0.05</f>
        <v>60.050000000000004</v>
      </c>
      <c r="S7" s="269">
        <f>D7*(0.311111111111111*0.9)</f>
        <v>0</v>
      </c>
      <c r="T7" s="269">
        <f>D7*0.05</f>
        <v>0</v>
      </c>
      <c r="U7" s="269">
        <f>E7*(0.288194444444444*0.9)</f>
        <v>0</v>
      </c>
      <c r="V7" s="269">
        <f>E7*0.05</f>
        <v>0</v>
      </c>
      <c r="W7" s="269">
        <f t="shared" si="3"/>
        <v>0</v>
      </c>
      <c r="X7" s="269">
        <f>F7*0.05</f>
        <v>0</v>
      </c>
      <c r="Y7" s="274">
        <f t="shared" si="28"/>
        <v>0</v>
      </c>
      <c r="Z7" s="274">
        <f t="shared" si="29"/>
        <v>0</v>
      </c>
      <c r="AA7" s="432">
        <f t="shared" si="17"/>
        <v>936.780000000001</v>
      </c>
      <c r="AB7" s="432">
        <f t="shared" si="18"/>
        <v>0</v>
      </c>
      <c r="AC7" s="432">
        <f t="shared" si="19"/>
        <v>0</v>
      </c>
      <c r="AD7" s="432">
        <f t="shared" si="20"/>
        <v>0</v>
      </c>
      <c r="AE7" s="432">
        <f t="shared" si="4"/>
        <v>0</v>
      </c>
      <c r="AF7" s="43">
        <f t="shared" si="30"/>
        <v>936.780000000001</v>
      </c>
      <c r="AG7" s="170">
        <f t="shared" si="5"/>
        <v>204.16999999999905</v>
      </c>
      <c r="AH7" s="275">
        <f>R7+T7+V7+X7+Z7</f>
        <v>60.050000000000004</v>
      </c>
      <c r="AI7" s="269">
        <v>0</v>
      </c>
      <c r="AJ7" s="271">
        <v>0</v>
      </c>
      <c r="AK7" s="272">
        <f t="shared" si="7"/>
        <v>78.000000000000085</v>
      </c>
      <c r="AL7" s="275">
        <f t="shared" si="21"/>
        <v>1201</v>
      </c>
      <c r="AM7" s="258">
        <f t="shared" si="22"/>
        <v>16.999999999999922</v>
      </c>
      <c r="AN7" s="258" t="e">
        <f t="shared" si="23"/>
        <v>#DIV/0!</v>
      </c>
      <c r="AO7" s="258" t="e">
        <f t="shared" si="24"/>
        <v>#DIV/0!</v>
      </c>
      <c r="AP7" s="268" t="e">
        <f>(#REF!/C7)*100</f>
        <v>#REF!</v>
      </c>
      <c r="AQ7" s="273">
        <f t="shared" si="8"/>
        <v>0.7800000000000008</v>
      </c>
      <c r="AR7" s="273" t="e">
        <f t="shared" si="9"/>
        <v>#DIV/0!</v>
      </c>
      <c r="AS7" s="273" t="e">
        <f t="shared" si="10"/>
        <v>#DIV/0!</v>
      </c>
      <c r="AT7" s="273" t="e">
        <f t="shared" si="11"/>
        <v>#DIV/0!</v>
      </c>
      <c r="AU7">
        <f t="shared" si="12"/>
        <v>1201</v>
      </c>
      <c r="AV7" s="258">
        <f t="shared" si="25"/>
        <v>20.6</v>
      </c>
    </row>
    <row r="8" spans="1:48" s="258" customFormat="1">
      <c r="B8" s="274">
        <v>5</v>
      </c>
      <c r="C8" s="1">
        <v>898</v>
      </c>
      <c r="D8" s="1">
        <v>0</v>
      </c>
      <c r="E8" s="1">
        <v>0</v>
      </c>
      <c r="F8" s="1">
        <v>0</v>
      </c>
      <c r="G8" s="1">
        <v>0</v>
      </c>
      <c r="H8" s="1">
        <v>15.92</v>
      </c>
      <c r="I8" s="1">
        <v>0</v>
      </c>
      <c r="J8" s="1">
        <v>0</v>
      </c>
      <c r="K8" s="1">
        <v>0</v>
      </c>
      <c r="L8" s="1">
        <v>0</v>
      </c>
      <c r="M8" s="274">
        <f t="shared" si="26"/>
        <v>56.4070351758794</v>
      </c>
      <c r="N8" s="274" t="e">
        <f t="shared" si="27"/>
        <v>#DIV/0!</v>
      </c>
      <c r="O8" s="274" t="e">
        <f t="shared" si="15"/>
        <v>#DIV/0!</v>
      </c>
      <c r="P8" s="274" t="e">
        <f t="shared" si="16"/>
        <v>#DIV/0!</v>
      </c>
      <c r="Q8" s="420">
        <f>C8*(0.1979967833*0.9)</f>
        <v>160.02100026306002</v>
      </c>
      <c r="R8" s="279">
        <f>C8*0.050002227</f>
        <v>44.901999846000002</v>
      </c>
      <c r="S8" s="274">
        <f>D8*(0.311111111111111*0.9)</f>
        <v>0</v>
      </c>
      <c r="T8" s="274">
        <f>D8*0.05</f>
        <v>0</v>
      </c>
      <c r="U8" s="274">
        <f>E8*(0.302222222222222*0.9)</f>
        <v>0</v>
      </c>
      <c r="V8" s="274">
        <f>E8*0.052</f>
        <v>0</v>
      </c>
      <c r="W8" s="274">
        <f t="shared" si="3"/>
        <v>0</v>
      </c>
      <c r="X8" s="274">
        <f>F8*0.048484848</f>
        <v>0</v>
      </c>
      <c r="Y8" s="274">
        <f>G8*(0.313051146*0.9)</f>
        <v>0</v>
      </c>
      <c r="Z8" s="274">
        <f>G8*0.051587301</f>
        <v>0</v>
      </c>
      <c r="AA8" s="432">
        <f t="shared" si="17"/>
        <v>693.07699989093999</v>
      </c>
      <c r="AB8" s="432">
        <f t="shared" si="18"/>
        <v>0</v>
      </c>
      <c r="AC8" s="432">
        <f t="shared" si="19"/>
        <v>0</v>
      </c>
      <c r="AD8" s="432">
        <f t="shared" si="20"/>
        <v>0</v>
      </c>
      <c r="AE8" s="432">
        <f t="shared" si="4"/>
        <v>0</v>
      </c>
      <c r="AF8" s="44">
        <f t="shared" si="30"/>
        <v>693.07699989093999</v>
      </c>
      <c r="AG8" s="170">
        <f t="shared" si="5"/>
        <v>160.02100026306002</v>
      </c>
      <c r="AH8" s="279">
        <f t="shared" ref="AH8:AH40" si="31">R8+T8+V8+X8+Z8</f>
        <v>44.901999846000002</v>
      </c>
      <c r="AI8" s="274">
        <v>0</v>
      </c>
      <c r="AJ8" s="276">
        <v>0</v>
      </c>
      <c r="AK8" s="277">
        <f t="shared" si="7"/>
        <v>77.180066803000003</v>
      </c>
      <c r="AL8" s="275">
        <f t="shared" si="21"/>
        <v>898</v>
      </c>
      <c r="AM8" s="258">
        <f t="shared" si="22"/>
        <v>17.819710497000003</v>
      </c>
      <c r="AN8" s="258" t="e">
        <f t="shared" si="23"/>
        <v>#DIV/0!</v>
      </c>
      <c r="AO8" s="258" t="e">
        <f t="shared" si="24"/>
        <v>#DIV/0!</v>
      </c>
      <c r="AP8" s="258" t="e">
        <f>#REF!/C8</f>
        <v>#REF!</v>
      </c>
      <c r="AQ8" s="278">
        <f t="shared" si="8"/>
        <v>0.77180066803000003</v>
      </c>
      <c r="AR8" s="278" t="e">
        <f t="shared" si="9"/>
        <v>#DIV/0!</v>
      </c>
      <c r="AS8" s="278" t="e">
        <f t="shared" si="10"/>
        <v>#DIV/0!</v>
      </c>
      <c r="AT8" s="278" t="e">
        <f t="shared" si="11"/>
        <v>#DIV/0!</v>
      </c>
      <c r="AU8">
        <f t="shared" si="12"/>
        <v>898</v>
      </c>
      <c r="AV8" s="258">
        <f t="shared" si="25"/>
        <v>15.92</v>
      </c>
    </row>
    <row r="9" spans="1:48" s="258" customFormat="1">
      <c r="B9" s="274">
        <v>6</v>
      </c>
      <c r="C9" s="1">
        <v>598</v>
      </c>
      <c r="D9" s="1">
        <v>0</v>
      </c>
      <c r="E9" s="1">
        <v>0</v>
      </c>
      <c r="F9" s="1">
        <v>0</v>
      </c>
      <c r="G9" s="1">
        <v>0</v>
      </c>
      <c r="H9" s="1">
        <v>9.7100000000000009</v>
      </c>
      <c r="I9" s="1">
        <v>0</v>
      </c>
      <c r="J9" s="1">
        <v>0</v>
      </c>
      <c r="K9" s="1">
        <v>0</v>
      </c>
      <c r="L9" s="1">
        <v>0</v>
      </c>
      <c r="M9" s="274">
        <f t="shared" si="26"/>
        <v>61.585993820803289</v>
      </c>
      <c r="N9" s="274" t="e">
        <f t="shared" si="27"/>
        <v>#DIV/0!</v>
      </c>
      <c r="O9" s="274" t="e">
        <f t="shared" si="15"/>
        <v>#DIV/0!</v>
      </c>
      <c r="P9" s="274" t="e">
        <f t="shared" si="16"/>
        <v>#DIV/0!</v>
      </c>
      <c r="Q9" s="274">
        <f>C9*(0.2*0.9)</f>
        <v>107.64000000000001</v>
      </c>
      <c r="R9" s="274">
        <f>C9*0.049993311</f>
        <v>29.895999977999999</v>
      </c>
      <c r="S9" s="274">
        <f>D9*(0.311447811111111*0.9)</f>
        <v>0</v>
      </c>
      <c r="T9" s="274">
        <f>D9*0.05</f>
        <v>0</v>
      </c>
      <c r="U9" s="274">
        <f>E9*(0.250201288888*0.9)</f>
        <v>0</v>
      </c>
      <c r="V9" s="274">
        <f>E9*0.05</f>
        <v>0</v>
      </c>
      <c r="W9" s="274">
        <f t="shared" si="3"/>
        <v>0</v>
      </c>
      <c r="X9" s="274">
        <f>F9*0.05</f>
        <v>0</v>
      </c>
      <c r="Y9" s="274">
        <f t="shared" si="28"/>
        <v>0</v>
      </c>
      <c r="Z9" s="274">
        <f t="shared" si="29"/>
        <v>0</v>
      </c>
      <c r="AA9" s="432">
        <f t="shared" si="17"/>
        <v>460.46400002199999</v>
      </c>
      <c r="AB9" s="432">
        <f t="shared" si="18"/>
        <v>0</v>
      </c>
      <c r="AC9" s="432">
        <f t="shared" si="19"/>
        <v>0</v>
      </c>
      <c r="AD9" s="432">
        <f t="shared" si="20"/>
        <v>0</v>
      </c>
      <c r="AE9" s="432">
        <f t="shared" si="4"/>
        <v>0</v>
      </c>
      <c r="AF9" s="438">
        <f t="shared" si="30"/>
        <v>460.46400002199999</v>
      </c>
      <c r="AG9" s="439">
        <f t="shared" si="5"/>
        <v>107.64000000000001</v>
      </c>
      <c r="AH9" s="279">
        <f t="shared" si="31"/>
        <v>29.895999977999999</v>
      </c>
      <c r="AI9" s="274">
        <v>0</v>
      </c>
      <c r="AJ9" s="276">
        <v>0</v>
      </c>
      <c r="AK9" s="277">
        <f t="shared" si="7"/>
        <v>77.000668900000008</v>
      </c>
      <c r="AL9" s="275">
        <f>AF9+AG9+AH9</f>
        <v>598</v>
      </c>
      <c r="AM9" s="258">
        <f t="shared" si="22"/>
        <v>18.000000000000004</v>
      </c>
      <c r="AN9" s="258" t="e">
        <f t="shared" si="23"/>
        <v>#DIV/0!</v>
      </c>
      <c r="AO9" s="258" t="e">
        <f t="shared" si="24"/>
        <v>#DIV/0!</v>
      </c>
      <c r="AQ9" s="278">
        <f t="shared" si="8"/>
        <v>0.77000668900000002</v>
      </c>
      <c r="AR9" s="278" t="e">
        <f t="shared" si="9"/>
        <v>#DIV/0!</v>
      </c>
      <c r="AS9" s="278" t="e">
        <f t="shared" si="10"/>
        <v>#DIV/0!</v>
      </c>
      <c r="AT9" s="278" t="e">
        <f t="shared" si="11"/>
        <v>#DIV/0!</v>
      </c>
      <c r="AU9">
        <f t="shared" si="12"/>
        <v>598</v>
      </c>
      <c r="AV9" s="258">
        <f t="shared" si="25"/>
        <v>9.7100000000000009</v>
      </c>
    </row>
    <row r="10" spans="1:48" s="258" customFormat="1">
      <c r="B10" s="274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274" t="e">
        <f t="shared" si="26"/>
        <v>#DIV/0!</v>
      </c>
      <c r="N10" s="274" t="e">
        <f t="shared" si="27"/>
        <v>#DIV/0!</v>
      </c>
      <c r="O10" s="274" t="e">
        <f t="shared" si="15"/>
        <v>#DIV/0!</v>
      </c>
      <c r="P10" s="274" t="e">
        <f t="shared" si="16"/>
        <v>#DIV/0!</v>
      </c>
      <c r="Q10" s="279">
        <f>C10*(0.188888888888888*0.9)</f>
        <v>0</v>
      </c>
      <c r="R10" s="279">
        <f>C10*0.05</f>
        <v>0</v>
      </c>
      <c r="S10" s="274">
        <f>D10*(0.192192192*0.9)</f>
        <v>0</v>
      </c>
      <c r="T10" s="274">
        <f>D10*0.048648648</f>
        <v>0</v>
      </c>
      <c r="U10" s="274">
        <f>E10*(0.288888888888888*0.9)</f>
        <v>0</v>
      </c>
      <c r="V10" s="274">
        <f>E10*0.05</f>
        <v>0</v>
      </c>
      <c r="W10" s="274">
        <f t="shared" si="3"/>
        <v>0</v>
      </c>
      <c r="X10" s="274">
        <f>F10*0.05</f>
        <v>0</v>
      </c>
      <c r="Y10" s="274">
        <f>G10*(0.288888888888888*0.9)</f>
        <v>0</v>
      </c>
      <c r="Z10" s="274">
        <f>G10*0.05</f>
        <v>0</v>
      </c>
      <c r="AA10" s="432">
        <f t="shared" si="17"/>
        <v>0</v>
      </c>
      <c r="AB10" s="432">
        <f t="shared" si="18"/>
        <v>0</v>
      </c>
      <c r="AC10" s="432">
        <f t="shared" si="19"/>
        <v>0</v>
      </c>
      <c r="AD10" s="432">
        <f t="shared" si="20"/>
        <v>0</v>
      </c>
      <c r="AE10" s="432">
        <f t="shared" si="4"/>
        <v>0</v>
      </c>
      <c r="AF10" s="43">
        <f t="shared" si="30"/>
        <v>0</v>
      </c>
      <c r="AG10" s="170">
        <f t="shared" si="5"/>
        <v>0</v>
      </c>
      <c r="AH10" s="275">
        <f t="shared" si="31"/>
        <v>0</v>
      </c>
      <c r="AI10" s="274">
        <v>0</v>
      </c>
      <c r="AJ10" s="276">
        <v>0</v>
      </c>
      <c r="AK10" s="277" t="e">
        <f t="shared" si="7"/>
        <v>#DIV/0!</v>
      </c>
      <c r="AL10" s="275">
        <f t="shared" si="21"/>
        <v>0</v>
      </c>
      <c r="AM10" s="258" t="e">
        <f t="shared" si="22"/>
        <v>#DIV/0!</v>
      </c>
      <c r="AN10" s="258" t="e">
        <f t="shared" si="23"/>
        <v>#DIV/0!</v>
      </c>
      <c r="AO10" s="258" t="e">
        <f t="shared" si="24"/>
        <v>#DIV/0!</v>
      </c>
      <c r="AQ10" s="278" t="e">
        <f t="shared" si="8"/>
        <v>#DIV/0!</v>
      </c>
      <c r="AR10" s="278" t="e">
        <f t="shared" si="9"/>
        <v>#DIV/0!</v>
      </c>
      <c r="AS10" s="278" t="e">
        <f t="shared" si="10"/>
        <v>#DIV/0!</v>
      </c>
      <c r="AT10" s="278" t="e">
        <f t="shared" si="11"/>
        <v>#DIV/0!</v>
      </c>
      <c r="AU10">
        <f t="shared" si="12"/>
        <v>0</v>
      </c>
      <c r="AV10" s="258">
        <f t="shared" si="25"/>
        <v>0</v>
      </c>
    </row>
    <row r="11" spans="1:48" s="258" customFormat="1">
      <c r="B11" s="274">
        <v>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274" t="e">
        <f t="shared" si="26"/>
        <v>#DIV/0!</v>
      </c>
      <c r="N11" s="274" t="e">
        <f t="shared" si="27"/>
        <v>#DIV/0!</v>
      </c>
      <c r="O11" s="274" t="e">
        <f t="shared" si="15"/>
        <v>#DIV/0!</v>
      </c>
      <c r="P11" s="274" t="e">
        <f t="shared" si="16"/>
        <v>#DIV/0!</v>
      </c>
      <c r="Q11" s="274">
        <f>C11*(0.2*0.9)</f>
        <v>0</v>
      </c>
      <c r="R11" s="274">
        <f>C11*0.049997212</f>
        <v>0</v>
      </c>
      <c r="S11" s="274">
        <f>D11*(0.23148148148*0.9)</f>
        <v>0</v>
      </c>
      <c r="T11" s="274">
        <f>D11*0.0416666666666666</f>
        <v>0</v>
      </c>
      <c r="U11" s="274">
        <f>E11*(0.277777777777777*0.9)</f>
        <v>0</v>
      </c>
      <c r="V11" s="274">
        <f>E11*0.05</f>
        <v>0</v>
      </c>
      <c r="W11" s="274">
        <f t="shared" si="3"/>
        <v>0</v>
      </c>
      <c r="X11" s="274">
        <f>F11*0.05</f>
        <v>0</v>
      </c>
      <c r="Y11" s="274">
        <f t="shared" si="28"/>
        <v>0</v>
      </c>
      <c r="Z11" s="274">
        <f t="shared" si="29"/>
        <v>0</v>
      </c>
      <c r="AA11" s="432">
        <f t="shared" si="17"/>
        <v>0</v>
      </c>
      <c r="AB11" s="432">
        <f t="shared" si="18"/>
        <v>0</v>
      </c>
      <c r="AC11" s="432">
        <f t="shared" si="19"/>
        <v>0</v>
      </c>
      <c r="AD11" s="432">
        <f t="shared" si="20"/>
        <v>0</v>
      </c>
      <c r="AE11" s="432">
        <f t="shared" si="4"/>
        <v>0</v>
      </c>
      <c r="AF11" s="43">
        <f t="shared" si="30"/>
        <v>0</v>
      </c>
      <c r="AG11" s="170">
        <f t="shared" si="5"/>
        <v>0</v>
      </c>
      <c r="AH11" s="275">
        <f t="shared" si="31"/>
        <v>0</v>
      </c>
      <c r="AI11" s="274">
        <v>0</v>
      </c>
      <c r="AJ11" s="276">
        <v>0</v>
      </c>
      <c r="AK11" s="277" t="e">
        <f t="shared" si="7"/>
        <v>#DIV/0!</v>
      </c>
      <c r="AL11" s="275">
        <f t="shared" si="21"/>
        <v>0</v>
      </c>
      <c r="AM11" s="258" t="e">
        <f t="shared" si="22"/>
        <v>#DIV/0!</v>
      </c>
      <c r="AN11" s="258" t="e">
        <f t="shared" si="23"/>
        <v>#DIV/0!</v>
      </c>
      <c r="AO11" s="258" t="e">
        <f t="shared" si="24"/>
        <v>#DIV/0!</v>
      </c>
      <c r="AQ11" s="278" t="e">
        <f t="shared" si="8"/>
        <v>#DIV/0!</v>
      </c>
      <c r="AR11" s="278" t="e">
        <f t="shared" si="9"/>
        <v>#DIV/0!</v>
      </c>
      <c r="AS11" s="278" t="e">
        <f t="shared" si="10"/>
        <v>#DIV/0!</v>
      </c>
      <c r="AT11" s="278" t="e">
        <f t="shared" si="11"/>
        <v>#DIV/0!</v>
      </c>
      <c r="AU11">
        <f t="shared" si="12"/>
        <v>0</v>
      </c>
      <c r="AV11" s="258">
        <f t="shared" si="25"/>
        <v>0</v>
      </c>
    </row>
    <row r="12" spans="1:48" s="325" customFormat="1">
      <c r="A12" s="325" t="s">
        <v>211</v>
      </c>
      <c r="B12" s="322">
        <v>9</v>
      </c>
      <c r="C12" s="1">
        <v>0</v>
      </c>
      <c r="D12" s="1">
        <v>0</v>
      </c>
      <c r="E12" s="1">
        <v>0</v>
      </c>
      <c r="F12" s="1">
        <v>85</v>
      </c>
      <c r="G12" s="1">
        <v>0</v>
      </c>
      <c r="H12" s="1">
        <v>0</v>
      </c>
      <c r="I12" s="1">
        <v>0</v>
      </c>
      <c r="J12" s="1">
        <v>0</v>
      </c>
      <c r="K12" s="1">
        <v>1.47</v>
      </c>
      <c r="L12" s="1">
        <v>0</v>
      </c>
      <c r="M12" s="322" t="e">
        <f t="shared" si="26"/>
        <v>#DIV/0!</v>
      </c>
      <c r="N12" s="322" t="e">
        <f t="shared" si="27"/>
        <v>#DIV/0!</v>
      </c>
      <c r="O12" s="274" t="e">
        <f t="shared" si="15"/>
        <v>#DIV/0!</v>
      </c>
      <c r="P12" s="322">
        <f t="shared" si="16"/>
        <v>57.823129251700678</v>
      </c>
      <c r="Q12" s="322">
        <f>C12*(0.198875*0.9)</f>
        <v>0</v>
      </c>
      <c r="R12" s="322">
        <f>C12*0.05100625</f>
        <v>0</v>
      </c>
      <c r="S12" s="322">
        <f>D12*(0.3*0.9)</f>
        <v>0</v>
      </c>
      <c r="T12" s="322">
        <f>D12*0.05</f>
        <v>0</v>
      </c>
      <c r="U12" s="322">
        <f>E12*(0.258258258258258*0.9)</f>
        <v>0</v>
      </c>
      <c r="V12" s="322">
        <f>E12*0.054054054054</f>
        <v>0</v>
      </c>
      <c r="W12" s="322">
        <f t="shared" si="3"/>
        <v>0</v>
      </c>
      <c r="X12" s="322">
        <f>F12*0.05</f>
        <v>4.25</v>
      </c>
      <c r="Y12" s="274">
        <f>G12*(0.311111111*0.9)</f>
        <v>0</v>
      </c>
      <c r="Z12" s="274">
        <f>G12*0.05</f>
        <v>0</v>
      </c>
      <c r="AA12" s="432">
        <f t="shared" si="17"/>
        <v>0</v>
      </c>
      <c r="AB12" s="432">
        <f t="shared" si="18"/>
        <v>0</v>
      </c>
      <c r="AC12" s="432">
        <f t="shared" si="19"/>
        <v>0</v>
      </c>
      <c r="AD12" s="432">
        <f t="shared" si="20"/>
        <v>80.75</v>
      </c>
      <c r="AE12" s="432">
        <f t="shared" si="4"/>
        <v>0</v>
      </c>
      <c r="AF12" s="438">
        <f t="shared" si="30"/>
        <v>80.75</v>
      </c>
      <c r="AG12" s="439">
        <f t="shared" si="5"/>
        <v>0</v>
      </c>
      <c r="AH12" s="279">
        <f t="shared" si="31"/>
        <v>4.25</v>
      </c>
      <c r="AI12" s="322">
        <v>0</v>
      </c>
      <c r="AJ12" s="326">
        <v>0</v>
      </c>
      <c r="AK12" s="327" t="e">
        <f t="shared" si="7"/>
        <v>#DIV/0!</v>
      </c>
      <c r="AL12" s="275">
        <f t="shared" si="21"/>
        <v>85</v>
      </c>
      <c r="AM12" s="258" t="e">
        <f t="shared" si="22"/>
        <v>#DIV/0!</v>
      </c>
      <c r="AN12" s="258" t="e">
        <f t="shared" si="23"/>
        <v>#DIV/0!</v>
      </c>
      <c r="AO12" s="258" t="e">
        <f t="shared" si="24"/>
        <v>#DIV/0!</v>
      </c>
      <c r="AQ12" s="328" t="e">
        <f t="shared" si="8"/>
        <v>#DIV/0!</v>
      </c>
      <c r="AR12" s="328" t="e">
        <f t="shared" si="9"/>
        <v>#DIV/0!</v>
      </c>
      <c r="AS12" s="328" t="e">
        <f t="shared" si="10"/>
        <v>#DIV/0!</v>
      </c>
      <c r="AT12" s="328">
        <f t="shared" si="11"/>
        <v>0.95</v>
      </c>
      <c r="AU12" s="319">
        <f t="shared" si="12"/>
        <v>85</v>
      </c>
      <c r="AV12" s="258">
        <f t="shared" si="25"/>
        <v>1.47</v>
      </c>
    </row>
    <row r="13" spans="1:48" s="258" customFormat="1">
      <c r="B13" s="274">
        <v>10</v>
      </c>
      <c r="C13" s="1">
        <v>752</v>
      </c>
      <c r="D13" s="1">
        <v>220</v>
      </c>
      <c r="E13" s="1">
        <v>0</v>
      </c>
      <c r="F13" s="1">
        <v>114</v>
      </c>
      <c r="G13" s="1">
        <v>120</v>
      </c>
      <c r="H13" s="1">
        <v>13.65</v>
      </c>
      <c r="I13" s="1">
        <v>3.5</v>
      </c>
      <c r="J13" s="1">
        <v>0</v>
      </c>
      <c r="K13" s="1">
        <v>2</v>
      </c>
      <c r="L13" s="1">
        <v>2</v>
      </c>
      <c r="M13" s="274">
        <f t="shared" si="26"/>
        <v>55.091575091575088</v>
      </c>
      <c r="N13" s="274">
        <f t="shared" si="27"/>
        <v>62.857142857142854</v>
      </c>
      <c r="O13" s="274">
        <f t="shared" si="15"/>
        <v>60</v>
      </c>
      <c r="P13" s="274">
        <f t="shared" si="16"/>
        <v>57</v>
      </c>
      <c r="Q13" s="275">
        <f>C13*(0.166666666666666*0.9)</f>
        <v>112.79999999999954</v>
      </c>
      <c r="R13" s="275">
        <f t="shared" ref="R13" si="32">C13*0.05</f>
        <v>37.6</v>
      </c>
      <c r="S13" s="274">
        <f>D13*(0.255555555555555*0.9)</f>
        <v>50.599999999999888</v>
      </c>
      <c r="T13" s="274">
        <f>D13*0.05</f>
        <v>11</v>
      </c>
      <c r="U13" s="274">
        <f>E13*(0.31099353333*0.9)</f>
        <v>0</v>
      </c>
      <c r="V13" s="274">
        <f>E13*0.05026455</f>
        <v>0</v>
      </c>
      <c r="W13" s="274">
        <f t="shared" si="3"/>
        <v>0</v>
      </c>
      <c r="X13" s="274">
        <f>F13*0.05</f>
        <v>5.7</v>
      </c>
      <c r="Y13" s="274">
        <f>G13*(0.255555555555555*0.9)</f>
        <v>27.599999999999937</v>
      </c>
      <c r="Z13" s="274">
        <f>G13*0.05</f>
        <v>6</v>
      </c>
      <c r="AA13" s="432">
        <f t="shared" si="17"/>
        <v>601.60000000000048</v>
      </c>
      <c r="AB13" s="432">
        <f t="shared" si="18"/>
        <v>158.40000000000012</v>
      </c>
      <c r="AC13" s="432">
        <f t="shared" si="19"/>
        <v>0</v>
      </c>
      <c r="AD13" s="432">
        <f t="shared" si="20"/>
        <v>108.3</v>
      </c>
      <c r="AE13" s="432">
        <f t="shared" si="4"/>
        <v>86.400000000000063</v>
      </c>
      <c r="AF13" s="44">
        <f t="shared" si="30"/>
        <v>954.70000000000061</v>
      </c>
      <c r="AG13" s="170">
        <f t="shared" si="5"/>
        <v>190.99999999999937</v>
      </c>
      <c r="AH13" s="275">
        <f t="shared" si="31"/>
        <v>60.300000000000004</v>
      </c>
      <c r="AI13" s="274">
        <v>0</v>
      </c>
      <c r="AJ13" s="276">
        <v>0</v>
      </c>
      <c r="AK13" s="277">
        <f t="shared" si="7"/>
        <v>98.220164609053569</v>
      </c>
      <c r="AL13" s="275">
        <f t="shared" si="21"/>
        <v>1206</v>
      </c>
      <c r="AM13" s="258">
        <f t="shared" si="22"/>
        <v>14.999999999999938</v>
      </c>
      <c r="AN13" s="258">
        <f t="shared" si="23"/>
        <v>22.999999999999947</v>
      </c>
      <c r="AO13" s="258">
        <f t="shared" si="24"/>
        <v>0.22999999999999948</v>
      </c>
      <c r="AQ13" s="278">
        <f t="shared" si="8"/>
        <v>0.8000000000000006</v>
      </c>
      <c r="AR13" s="278">
        <f t="shared" si="9"/>
        <v>0.72000000000000053</v>
      </c>
      <c r="AS13" s="278" t="e">
        <f t="shared" si="10"/>
        <v>#DIV/0!</v>
      </c>
      <c r="AT13" s="278">
        <f t="shared" si="11"/>
        <v>0.95</v>
      </c>
      <c r="AU13">
        <f t="shared" si="12"/>
        <v>1086</v>
      </c>
      <c r="AV13" s="258">
        <f t="shared" si="25"/>
        <v>21.15</v>
      </c>
    </row>
    <row r="14" spans="1:48" s="258" customFormat="1">
      <c r="B14" s="274">
        <v>11</v>
      </c>
      <c r="C14" s="1">
        <v>1390</v>
      </c>
      <c r="D14" s="1">
        <v>0</v>
      </c>
      <c r="E14" s="1">
        <v>0</v>
      </c>
      <c r="F14" s="1">
        <v>0</v>
      </c>
      <c r="G14" s="1">
        <v>0</v>
      </c>
      <c r="H14" s="1">
        <v>22.92</v>
      </c>
      <c r="I14" s="1">
        <v>0</v>
      </c>
      <c r="J14" s="1">
        <v>0</v>
      </c>
      <c r="K14" s="1">
        <v>0</v>
      </c>
      <c r="L14" s="1">
        <v>0</v>
      </c>
      <c r="M14" s="274">
        <f t="shared" si="26"/>
        <v>60.645724258289697</v>
      </c>
      <c r="N14" s="274" t="e">
        <f t="shared" si="27"/>
        <v>#DIV/0!</v>
      </c>
      <c r="O14" s="274" t="e">
        <f t="shared" si="15"/>
        <v>#DIV/0!</v>
      </c>
      <c r="P14" s="274" t="e">
        <f t="shared" si="16"/>
        <v>#DIV/0!</v>
      </c>
      <c r="Q14" s="274">
        <f>C14*(0.166666666666666*0.9)</f>
        <v>208.49999999999915</v>
      </c>
      <c r="R14" s="275">
        <f>C14*0.05</f>
        <v>69.5</v>
      </c>
      <c r="S14" s="274">
        <f>D14*(0.3*0.9)</f>
        <v>0</v>
      </c>
      <c r="T14" s="274">
        <f t="shared" ref="T14:T19" si="33">D14*0.05</f>
        <v>0</v>
      </c>
      <c r="U14" s="274">
        <f>E14*(0.288888888888888*0.9)</f>
        <v>0</v>
      </c>
      <c r="V14" s="274">
        <f>E14*0.05</f>
        <v>0</v>
      </c>
      <c r="W14" s="274">
        <f t="shared" si="3"/>
        <v>0</v>
      </c>
      <c r="X14" s="274">
        <f t="shared" ref="X14:X22" si="34">F14*0.05</f>
        <v>0</v>
      </c>
      <c r="Y14" s="274">
        <f t="shared" si="28"/>
        <v>0</v>
      </c>
      <c r="Z14" s="274">
        <f t="shared" si="29"/>
        <v>0</v>
      </c>
      <c r="AA14" s="432">
        <f t="shared" si="17"/>
        <v>1112.0000000000009</v>
      </c>
      <c r="AB14" s="432">
        <f t="shared" si="18"/>
        <v>0</v>
      </c>
      <c r="AC14" s="432">
        <f t="shared" si="19"/>
        <v>0</v>
      </c>
      <c r="AD14" s="432">
        <f t="shared" si="20"/>
        <v>0</v>
      </c>
      <c r="AE14" s="432">
        <f t="shared" si="4"/>
        <v>0</v>
      </c>
      <c r="AF14" s="43">
        <f t="shared" si="30"/>
        <v>1112.0000000000009</v>
      </c>
      <c r="AG14" s="170">
        <f t="shared" si="5"/>
        <v>208.49999999999915</v>
      </c>
      <c r="AH14" s="275">
        <f t="shared" si="31"/>
        <v>69.5</v>
      </c>
      <c r="AI14" s="274">
        <v>0</v>
      </c>
      <c r="AJ14" s="276">
        <v>0</v>
      </c>
      <c r="AK14" s="277">
        <f t="shared" si="7"/>
        <v>80.000000000000057</v>
      </c>
      <c r="AL14" s="275">
        <f t="shared" si="21"/>
        <v>1390</v>
      </c>
      <c r="AM14" s="258">
        <f t="shared" si="22"/>
        <v>14.999999999999938</v>
      </c>
      <c r="AN14" s="258" t="e">
        <f t="shared" si="23"/>
        <v>#DIV/0!</v>
      </c>
      <c r="AO14" s="258" t="e">
        <f t="shared" si="24"/>
        <v>#DIV/0!</v>
      </c>
      <c r="AQ14" s="278">
        <f t="shared" si="8"/>
        <v>0.8000000000000006</v>
      </c>
      <c r="AR14" s="278" t="e">
        <f t="shared" si="9"/>
        <v>#DIV/0!</v>
      </c>
      <c r="AS14" s="278" t="e">
        <f t="shared" si="10"/>
        <v>#DIV/0!</v>
      </c>
      <c r="AT14" s="278" t="e">
        <f t="shared" si="11"/>
        <v>#DIV/0!</v>
      </c>
      <c r="AU14">
        <f t="shared" si="12"/>
        <v>1390</v>
      </c>
      <c r="AV14" s="258">
        <f t="shared" si="25"/>
        <v>22.92</v>
      </c>
    </row>
    <row r="15" spans="1:48" s="258" customFormat="1">
      <c r="B15" s="274">
        <v>12</v>
      </c>
      <c r="C15" s="1">
        <v>1230</v>
      </c>
      <c r="D15" s="1">
        <v>0</v>
      </c>
      <c r="E15" s="1">
        <v>0</v>
      </c>
      <c r="F15" s="1">
        <v>110</v>
      </c>
      <c r="G15" s="1">
        <v>0</v>
      </c>
      <c r="H15" s="1">
        <v>20.75</v>
      </c>
      <c r="I15" s="1">
        <v>0</v>
      </c>
      <c r="J15" s="1">
        <v>0</v>
      </c>
      <c r="K15" s="1">
        <v>2</v>
      </c>
      <c r="L15" s="1">
        <v>0</v>
      </c>
      <c r="M15" s="274">
        <f t="shared" si="26"/>
        <v>59.277108433734938</v>
      </c>
      <c r="N15" s="274" t="e">
        <f t="shared" si="27"/>
        <v>#DIV/0!</v>
      </c>
      <c r="O15" s="274" t="e">
        <f t="shared" si="15"/>
        <v>#DIV/0!</v>
      </c>
      <c r="P15" s="274">
        <f t="shared" si="16"/>
        <v>55</v>
      </c>
      <c r="Q15" s="274">
        <f>C15*(0.186463414*0.9)</f>
        <v>206.414999298</v>
      </c>
      <c r="R15" s="274">
        <f>C15*0.050060975</f>
        <v>61.574999249999998</v>
      </c>
      <c r="S15" s="274">
        <f>D15*(0.311111111111111*0.9)</f>
        <v>0</v>
      </c>
      <c r="T15" s="274">
        <f t="shared" si="33"/>
        <v>0</v>
      </c>
      <c r="U15" s="274">
        <f>E15*(0.322222222222222*0.9)</f>
        <v>0</v>
      </c>
      <c r="V15" s="274">
        <f>E15*0.05</f>
        <v>0</v>
      </c>
      <c r="W15" s="274">
        <f t="shared" si="3"/>
        <v>0</v>
      </c>
      <c r="X15" s="274">
        <f>F15*0.05</f>
        <v>5.5</v>
      </c>
      <c r="Y15" s="274">
        <f>G15*(0.3*0.9)</f>
        <v>0</v>
      </c>
      <c r="Z15" s="274">
        <f>G15*0.051</f>
        <v>0</v>
      </c>
      <c r="AA15" s="432">
        <f t="shared" si="17"/>
        <v>962.01000145199998</v>
      </c>
      <c r="AB15" s="432">
        <f t="shared" si="18"/>
        <v>0</v>
      </c>
      <c r="AC15" s="432">
        <f t="shared" si="19"/>
        <v>0</v>
      </c>
      <c r="AD15" s="432">
        <f t="shared" si="20"/>
        <v>104.5</v>
      </c>
      <c r="AE15" s="432">
        <f t="shared" si="4"/>
        <v>0</v>
      </c>
      <c r="AF15" s="438">
        <f t="shared" si="30"/>
        <v>1066.5100014519999</v>
      </c>
      <c r="AG15" s="170">
        <f t="shared" si="5"/>
        <v>206.414999298</v>
      </c>
      <c r="AH15" s="279">
        <f t="shared" si="31"/>
        <v>67.074999249999991</v>
      </c>
      <c r="AI15" s="274">
        <v>0</v>
      </c>
      <c r="AJ15" s="276">
        <v>0</v>
      </c>
      <c r="AK15" s="277">
        <f t="shared" si="7"/>
        <v>86.708130199349583</v>
      </c>
      <c r="AL15" s="275">
        <f t="shared" si="21"/>
        <v>1340</v>
      </c>
      <c r="AM15" s="258">
        <f t="shared" si="22"/>
        <v>16.781707260000001</v>
      </c>
      <c r="AN15" s="258" t="e">
        <f t="shared" si="23"/>
        <v>#DIV/0!</v>
      </c>
      <c r="AO15" s="258" t="e">
        <f t="shared" si="24"/>
        <v>#DIV/0!</v>
      </c>
      <c r="AQ15" s="278">
        <f t="shared" si="8"/>
        <v>0.78212195239999993</v>
      </c>
      <c r="AR15" s="278" t="e">
        <f t="shared" si="9"/>
        <v>#DIV/0!</v>
      </c>
      <c r="AS15" s="278" t="e">
        <f t="shared" si="10"/>
        <v>#DIV/0!</v>
      </c>
      <c r="AT15" s="278">
        <f t="shared" si="11"/>
        <v>0.95</v>
      </c>
      <c r="AU15">
        <f t="shared" si="12"/>
        <v>1340</v>
      </c>
      <c r="AV15" s="258">
        <f t="shared" si="25"/>
        <v>22.75</v>
      </c>
    </row>
    <row r="16" spans="1:48" s="258" customFormat="1">
      <c r="B16" s="274">
        <v>13</v>
      </c>
      <c r="C16" s="1">
        <v>1176</v>
      </c>
      <c r="D16" s="1">
        <v>0</v>
      </c>
      <c r="E16" s="1">
        <v>0</v>
      </c>
      <c r="F16" s="1">
        <v>56</v>
      </c>
      <c r="G16" s="1">
        <v>0</v>
      </c>
      <c r="H16" s="1">
        <v>21</v>
      </c>
      <c r="I16" s="1">
        <v>0</v>
      </c>
      <c r="J16" s="1">
        <v>0</v>
      </c>
      <c r="K16" s="1">
        <v>1</v>
      </c>
      <c r="L16" s="1">
        <v>0</v>
      </c>
      <c r="M16" s="274">
        <f t="shared" si="26"/>
        <v>56</v>
      </c>
      <c r="N16" s="274" t="e">
        <f t="shared" si="27"/>
        <v>#DIV/0!</v>
      </c>
      <c r="O16" s="274" t="e">
        <f t="shared" si="15"/>
        <v>#DIV/0!</v>
      </c>
      <c r="P16" s="274">
        <f t="shared" si="16"/>
        <v>56</v>
      </c>
      <c r="Q16" s="296">
        <f>C16*(0.190495086*0.9)</f>
        <v>201.61999902240004</v>
      </c>
      <c r="R16" s="452">
        <f t="shared" ref="R16:R21" si="35">C16*0.05</f>
        <v>58.800000000000004</v>
      </c>
      <c r="S16" s="274">
        <f>D16*(0.277777777777777*0.9)</f>
        <v>0</v>
      </c>
      <c r="T16" s="274">
        <f t="shared" si="33"/>
        <v>0</v>
      </c>
      <c r="U16" s="274">
        <f>E16*(0.288888888888888*0.9)</f>
        <v>0</v>
      </c>
      <c r="V16" s="274">
        <f>E16*0.05</f>
        <v>0</v>
      </c>
      <c r="W16" s="274">
        <f t="shared" si="3"/>
        <v>0</v>
      </c>
      <c r="X16" s="274">
        <f>F16*0.05</f>
        <v>2.8000000000000003</v>
      </c>
      <c r="Y16" s="274">
        <f>G16*(0.3*0.9)</f>
        <v>0</v>
      </c>
      <c r="Z16" s="274">
        <f>G16*0.05</f>
        <v>0</v>
      </c>
      <c r="AA16" s="432">
        <f t="shared" si="17"/>
        <v>915.58000097759998</v>
      </c>
      <c r="AB16" s="432">
        <f t="shared" si="18"/>
        <v>0</v>
      </c>
      <c r="AC16" s="432">
        <f t="shared" si="19"/>
        <v>0</v>
      </c>
      <c r="AD16" s="453">
        <f t="shared" si="20"/>
        <v>53.2</v>
      </c>
      <c r="AE16" s="432">
        <f t="shared" si="4"/>
        <v>0</v>
      </c>
      <c r="AF16" s="451">
        <f t="shared" si="30"/>
        <v>968.78000097760003</v>
      </c>
      <c r="AG16" s="439">
        <f t="shared" si="5"/>
        <v>201.61999902240004</v>
      </c>
      <c r="AH16" s="279">
        <f t="shared" si="31"/>
        <v>61.6</v>
      </c>
      <c r="AI16" s="274">
        <v>0</v>
      </c>
      <c r="AJ16" s="276">
        <v>0</v>
      </c>
      <c r="AK16" s="277">
        <f t="shared" si="7"/>
        <v>82.379251783809522</v>
      </c>
      <c r="AL16" s="275">
        <f t="shared" si="21"/>
        <v>1232</v>
      </c>
      <c r="AM16" s="258">
        <f t="shared" si="22"/>
        <v>17.144557740000003</v>
      </c>
      <c r="AN16" s="258" t="e">
        <f t="shared" si="23"/>
        <v>#DIV/0!</v>
      </c>
      <c r="AO16" s="258" t="e">
        <f t="shared" si="24"/>
        <v>#DIV/0!</v>
      </c>
      <c r="AQ16" s="278">
        <f t="shared" si="8"/>
        <v>0.77855442259999996</v>
      </c>
      <c r="AR16" s="278" t="e">
        <f t="shared" si="9"/>
        <v>#DIV/0!</v>
      </c>
      <c r="AS16" s="278" t="e">
        <f t="shared" si="10"/>
        <v>#DIV/0!</v>
      </c>
      <c r="AT16" s="278">
        <f t="shared" si="11"/>
        <v>0.95000000000000007</v>
      </c>
      <c r="AU16">
        <f t="shared" si="12"/>
        <v>1232</v>
      </c>
      <c r="AV16" s="258">
        <f t="shared" si="25"/>
        <v>22</v>
      </c>
    </row>
    <row r="17" spans="1:48" s="258" customFormat="1">
      <c r="B17" s="274">
        <v>14</v>
      </c>
      <c r="C17" s="1">
        <v>1270</v>
      </c>
      <c r="D17" s="1">
        <v>0</v>
      </c>
      <c r="E17" s="1">
        <v>0</v>
      </c>
      <c r="F17" s="1">
        <v>0</v>
      </c>
      <c r="G17" s="1">
        <v>0</v>
      </c>
      <c r="H17" s="1">
        <v>20.82</v>
      </c>
      <c r="I17" s="1">
        <v>0</v>
      </c>
      <c r="J17" s="1">
        <v>0</v>
      </c>
      <c r="K17" s="1">
        <v>0</v>
      </c>
      <c r="L17" s="1">
        <v>0</v>
      </c>
      <c r="M17" s="274">
        <f t="shared" si="26"/>
        <v>60.99903938520653</v>
      </c>
      <c r="N17" s="274" t="e">
        <f t="shared" si="27"/>
        <v>#DIV/0!</v>
      </c>
      <c r="O17" s="274" t="e">
        <f t="shared" si="15"/>
        <v>#DIV/0!</v>
      </c>
      <c r="P17" s="274" t="e">
        <f t="shared" si="16"/>
        <v>#DIV/0!</v>
      </c>
      <c r="Q17" s="274">
        <f>C17*(0.177777777777778*0.9)</f>
        <v>203.20000000000024</v>
      </c>
      <c r="R17" s="274">
        <f t="shared" si="35"/>
        <v>63.5</v>
      </c>
      <c r="S17" s="274">
        <f>D17*(0.3*0.9)</f>
        <v>0</v>
      </c>
      <c r="T17" s="274">
        <f t="shared" si="33"/>
        <v>0</v>
      </c>
      <c r="U17" s="274">
        <f>E17*(0.247531636*0.9)</f>
        <v>0</v>
      </c>
      <c r="V17" s="274">
        <f>E17*0.051314142</f>
        <v>0</v>
      </c>
      <c r="W17" s="274">
        <f t="shared" si="3"/>
        <v>0</v>
      </c>
      <c r="X17" s="274">
        <f t="shared" si="34"/>
        <v>0</v>
      </c>
      <c r="Y17" s="274">
        <f>G17*(0.3*0.9)</f>
        <v>0</v>
      </c>
      <c r="Z17" s="274">
        <f>G17*0.049</f>
        <v>0</v>
      </c>
      <c r="AA17" s="432">
        <f t="shared" si="17"/>
        <v>1003.2999999999997</v>
      </c>
      <c r="AB17" s="432">
        <f t="shared" si="18"/>
        <v>0</v>
      </c>
      <c r="AC17" s="432">
        <f t="shared" si="19"/>
        <v>0</v>
      </c>
      <c r="AD17" s="432">
        <f t="shared" si="20"/>
        <v>0</v>
      </c>
      <c r="AE17" s="432">
        <f t="shared" si="4"/>
        <v>0</v>
      </c>
      <c r="AF17" s="43">
        <f t="shared" si="30"/>
        <v>1003.2999999999997</v>
      </c>
      <c r="AG17" s="170">
        <f t="shared" si="5"/>
        <v>203.20000000000024</v>
      </c>
      <c r="AH17" s="275">
        <f t="shared" si="31"/>
        <v>63.5</v>
      </c>
      <c r="AI17" s="274">
        <v>0</v>
      </c>
      <c r="AJ17" s="276">
        <v>0</v>
      </c>
      <c r="AK17" s="277">
        <f t="shared" si="7"/>
        <v>78.999999999999986</v>
      </c>
      <c r="AL17" s="275">
        <f t="shared" si="21"/>
        <v>1270</v>
      </c>
      <c r="AM17" s="258">
        <f t="shared" si="22"/>
        <v>16.000000000000021</v>
      </c>
      <c r="AN17" s="258" t="e">
        <f t="shared" si="23"/>
        <v>#DIV/0!</v>
      </c>
      <c r="AO17" s="258" t="e">
        <f t="shared" si="24"/>
        <v>#DIV/0!</v>
      </c>
      <c r="AQ17" s="278">
        <f t="shared" si="8"/>
        <v>0.78999999999999981</v>
      </c>
      <c r="AR17" s="278" t="e">
        <f t="shared" si="9"/>
        <v>#DIV/0!</v>
      </c>
      <c r="AS17" s="278" t="e">
        <f t="shared" si="10"/>
        <v>#DIV/0!</v>
      </c>
      <c r="AT17" s="278" t="e">
        <f t="shared" si="11"/>
        <v>#DIV/0!</v>
      </c>
      <c r="AU17">
        <f t="shared" si="12"/>
        <v>1270</v>
      </c>
      <c r="AV17" s="258">
        <f t="shared" si="25"/>
        <v>20.82</v>
      </c>
    </row>
    <row r="18" spans="1:48" s="325" customFormat="1">
      <c r="B18" s="322">
        <v>15</v>
      </c>
      <c r="C18" s="1">
        <v>1098</v>
      </c>
      <c r="D18" s="1">
        <v>60</v>
      </c>
      <c r="E18" s="1">
        <v>0</v>
      </c>
      <c r="F18" s="1">
        <v>112</v>
      </c>
      <c r="G18" s="1">
        <v>0</v>
      </c>
      <c r="H18" s="1">
        <v>18.23</v>
      </c>
      <c r="I18" s="1">
        <v>1</v>
      </c>
      <c r="J18" s="1">
        <v>0</v>
      </c>
      <c r="K18" s="1">
        <v>2</v>
      </c>
      <c r="L18" s="1">
        <v>0</v>
      </c>
      <c r="M18" s="322">
        <f t="shared" si="26"/>
        <v>60.230389467910037</v>
      </c>
      <c r="N18" s="322">
        <f t="shared" si="27"/>
        <v>60</v>
      </c>
      <c r="O18" s="274" t="e">
        <f t="shared" si="15"/>
        <v>#DIV/0!</v>
      </c>
      <c r="P18" s="322">
        <f t="shared" si="16"/>
        <v>56</v>
      </c>
      <c r="Q18" s="322">
        <f>C18*(0.177777777777777*0.9)</f>
        <v>175.67999999999924</v>
      </c>
      <c r="R18" s="322">
        <f t="shared" si="35"/>
        <v>54.900000000000006</v>
      </c>
      <c r="S18" s="322">
        <f>D18*(0.275*0.9)</f>
        <v>14.850000000000001</v>
      </c>
      <c r="T18" s="322">
        <f>D18*0.0498666666666666</f>
        <v>2.991999999999996</v>
      </c>
      <c r="U18" s="322">
        <f>E18*(0.222222222222222*0.9)</f>
        <v>0</v>
      </c>
      <c r="V18" s="322">
        <f>E18*0.05</f>
        <v>0</v>
      </c>
      <c r="W18" s="322">
        <f t="shared" si="3"/>
        <v>0</v>
      </c>
      <c r="X18" s="322">
        <f>F18*0.049999910711</f>
        <v>5.5999899996319993</v>
      </c>
      <c r="Y18" s="274">
        <f>G18*(0.288888888888889*0.9)</f>
        <v>0</v>
      </c>
      <c r="Z18" s="274">
        <f>G18*0.05</f>
        <v>0</v>
      </c>
      <c r="AA18" s="432">
        <f t="shared" si="17"/>
        <v>867.42000000000075</v>
      </c>
      <c r="AB18" s="432">
        <f t="shared" si="18"/>
        <v>42.158000000000001</v>
      </c>
      <c r="AC18" s="432">
        <f t="shared" si="19"/>
        <v>0</v>
      </c>
      <c r="AD18" s="432">
        <f t="shared" si="20"/>
        <v>106.400010000368</v>
      </c>
      <c r="AE18" s="432">
        <f t="shared" si="4"/>
        <v>0</v>
      </c>
      <c r="AF18" s="43">
        <f t="shared" si="30"/>
        <v>1015.9780100003687</v>
      </c>
      <c r="AG18" s="170">
        <f t="shared" si="5"/>
        <v>190.52999999999923</v>
      </c>
      <c r="AH18" s="279">
        <f t="shared" si="31"/>
        <v>63.491989999632004</v>
      </c>
      <c r="AI18" s="322">
        <v>0</v>
      </c>
      <c r="AJ18" s="326">
        <v>0</v>
      </c>
      <c r="AK18" s="327">
        <f t="shared" si="7"/>
        <v>87.735579447354823</v>
      </c>
      <c r="AL18" s="275">
        <f t="shared" si="21"/>
        <v>1270</v>
      </c>
      <c r="AM18" s="258">
        <f t="shared" si="22"/>
        <v>15.999999999999931</v>
      </c>
      <c r="AN18" s="258">
        <f t="shared" si="23"/>
        <v>24.750000000000004</v>
      </c>
      <c r="AO18" s="258" t="e">
        <f t="shared" si="24"/>
        <v>#DIV/0!</v>
      </c>
      <c r="AQ18" s="328">
        <f t="shared" si="8"/>
        <v>0.7900000000000007</v>
      </c>
      <c r="AR18" s="328">
        <f t="shared" si="9"/>
        <v>0.70263333333333333</v>
      </c>
      <c r="AS18" s="328" t="e">
        <f t="shared" si="10"/>
        <v>#DIV/0!</v>
      </c>
      <c r="AT18" s="328">
        <f t="shared" si="11"/>
        <v>0.95000008928900004</v>
      </c>
      <c r="AU18" s="319">
        <f t="shared" si="12"/>
        <v>1270</v>
      </c>
      <c r="AV18" s="258">
        <f t="shared" si="25"/>
        <v>21.23</v>
      </c>
    </row>
    <row r="19" spans="1:48" s="319" customFormat="1">
      <c r="B19" s="322">
        <v>16</v>
      </c>
      <c r="C19" s="1">
        <v>1012</v>
      </c>
      <c r="D19" s="1">
        <v>0</v>
      </c>
      <c r="E19" s="1">
        <v>0</v>
      </c>
      <c r="F19" s="1">
        <v>130</v>
      </c>
      <c r="G19" s="1">
        <v>186</v>
      </c>
      <c r="H19" s="1">
        <v>17.48</v>
      </c>
      <c r="I19" s="1">
        <v>0</v>
      </c>
      <c r="J19" s="1">
        <v>0</v>
      </c>
      <c r="K19" s="1">
        <v>2.2999999999999998</v>
      </c>
      <c r="L19" s="1">
        <v>3</v>
      </c>
      <c r="M19" s="320">
        <f t="shared" si="26"/>
        <v>57.89473684210526</v>
      </c>
      <c r="N19" s="320" t="e">
        <f t="shared" si="27"/>
        <v>#DIV/0!</v>
      </c>
      <c r="O19" s="274">
        <f t="shared" si="15"/>
        <v>62</v>
      </c>
      <c r="P19" s="320">
        <f t="shared" si="16"/>
        <v>56.521739130434788</v>
      </c>
      <c r="Q19" s="320">
        <f>C19*(0.172222222222222*0.9)</f>
        <v>156.85999999999981</v>
      </c>
      <c r="R19" s="320">
        <f t="shared" si="35"/>
        <v>50.6</v>
      </c>
      <c r="S19" s="320">
        <f>D19*(0.311111111111111*0.9)</f>
        <v>0</v>
      </c>
      <c r="T19" s="320">
        <f t="shared" si="33"/>
        <v>0</v>
      </c>
      <c r="U19" s="320">
        <f>E19*(0.200716845*0.9)</f>
        <v>0</v>
      </c>
      <c r="V19" s="320">
        <f>E19*0.048387096</f>
        <v>0</v>
      </c>
      <c r="W19" s="320">
        <f t="shared" si="3"/>
        <v>0</v>
      </c>
      <c r="X19" s="320">
        <f>F19*0.0454692311</f>
        <v>5.9110000429999996</v>
      </c>
      <c r="Y19" s="274">
        <f>G19*(0.266666666666666*0.9)</f>
        <v>44.639999999999887</v>
      </c>
      <c r="Z19" s="274">
        <f>G19*0.05</f>
        <v>9.3000000000000007</v>
      </c>
      <c r="AA19" s="432">
        <f t="shared" si="17"/>
        <v>804.54000000000019</v>
      </c>
      <c r="AB19" s="432">
        <f t="shared" si="18"/>
        <v>0</v>
      </c>
      <c r="AC19" s="432">
        <f t="shared" si="19"/>
        <v>0</v>
      </c>
      <c r="AD19" s="432">
        <f t="shared" si="20"/>
        <v>124.088999957</v>
      </c>
      <c r="AE19" s="432">
        <f t="shared" si="4"/>
        <v>132.06000000000012</v>
      </c>
      <c r="AF19" s="438">
        <f t="shared" si="30"/>
        <v>1060.6889999570003</v>
      </c>
      <c r="AG19" s="170">
        <f t="shared" si="5"/>
        <v>201.49999999999972</v>
      </c>
      <c r="AH19" s="279">
        <f t="shared" si="31"/>
        <v>65.811000043000007</v>
      </c>
      <c r="AI19" s="320">
        <v>0</v>
      </c>
      <c r="AJ19" s="323">
        <v>0</v>
      </c>
      <c r="AK19" s="329">
        <f t="shared" si="7"/>
        <v>104.81116600365617</v>
      </c>
      <c r="AL19" s="275">
        <f t="shared" si="21"/>
        <v>1328</v>
      </c>
      <c r="AM19" s="258">
        <f t="shared" si="22"/>
        <v>15.49999999999998</v>
      </c>
      <c r="AN19" s="258" t="e">
        <f t="shared" si="23"/>
        <v>#DIV/0!</v>
      </c>
      <c r="AO19" s="258">
        <f t="shared" si="24"/>
        <v>0.23999999999999938</v>
      </c>
      <c r="AQ19" s="330">
        <f t="shared" si="8"/>
        <v>0.79500000000000015</v>
      </c>
      <c r="AR19" s="330" t="e">
        <f t="shared" si="9"/>
        <v>#DIV/0!</v>
      </c>
      <c r="AS19" s="330" t="e">
        <f t="shared" si="10"/>
        <v>#DIV/0!</v>
      </c>
      <c r="AT19" s="330">
        <f t="shared" si="11"/>
        <v>0.95453076889999999</v>
      </c>
      <c r="AU19" s="319">
        <f t="shared" si="12"/>
        <v>1142</v>
      </c>
      <c r="AV19" s="258">
        <f t="shared" si="25"/>
        <v>22.78</v>
      </c>
    </row>
    <row r="20" spans="1:48" s="331" customFormat="1" ht="17.25" customHeight="1">
      <c r="B20" s="322">
        <v>17</v>
      </c>
      <c r="C20" s="1">
        <v>883</v>
      </c>
      <c r="D20" s="1">
        <v>372</v>
      </c>
      <c r="E20" s="1">
        <v>0</v>
      </c>
      <c r="F20" s="1">
        <v>0</v>
      </c>
      <c r="G20" s="1">
        <v>0</v>
      </c>
      <c r="H20" s="1">
        <v>15.95</v>
      </c>
      <c r="I20" s="1">
        <v>6</v>
      </c>
      <c r="J20" s="1">
        <v>0</v>
      </c>
      <c r="K20" s="1">
        <v>0</v>
      </c>
      <c r="L20" s="1">
        <v>0</v>
      </c>
      <c r="M20" s="332">
        <f t="shared" si="26"/>
        <v>55.360501567398124</v>
      </c>
      <c r="N20" s="332">
        <f t="shared" si="27"/>
        <v>62</v>
      </c>
      <c r="O20" s="274" t="e">
        <f t="shared" si="15"/>
        <v>#DIV/0!</v>
      </c>
      <c r="P20" s="332" t="e">
        <f t="shared" si="16"/>
        <v>#DIV/0!</v>
      </c>
      <c r="Q20" s="332">
        <f>C20*(0.177777777777777*0.9)</f>
        <v>141.2799999999994</v>
      </c>
      <c r="R20" s="332">
        <f t="shared" si="35"/>
        <v>44.150000000000006</v>
      </c>
      <c r="S20" s="332">
        <f>D20*(0.266666666666666*0.9)</f>
        <v>89.279999999999774</v>
      </c>
      <c r="T20" s="332">
        <f>D20*0.05</f>
        <v>18.600000000000001</v>
      </c>
      <c r="U20" s="332">
        <f>E20*(0.277777777777777*0.9)</f>
        <v>0</v>
      </c>
      <c r="V20" s="332">
        <f>E20*0.05</f>
        <v>0</v>
      </c>
      <c r="W20" s="332">
        <f t="shared" si="3"/>
        <v>0</v>
      </c>
      <c r="X20" s="332">
        <f t="shared" si="34"/>
        <v>0</v>
      </c>
      <c r="Y20" s="274">
        <f t="shared" si="28"/>
        <v>0</v>
      </c>
      <c r="Z20" s="274">
        <f t="shared" si="29"/>
        <v>0</v>
      </c>
      <c r="AA20" s="432">
        <f t="shared" si="17"/>
        <v>697.57000000000062</v>
      </c>
      <c r="AB20" s="432">
        <f t="shared" si="18"/>
        <v>264.12000000000023</v>
      </c>
      <c r="AC20" s="432">
        <f t="shared" si="19"/>
        <v>0</v>
      </c>
      <c r="AD20" s="432">
        <f t="shared" si="20"/>
        <v>0</v>
      </c>
      <c r="AE20" s="432">
        <f t="shared" si="4"/>
        <v>0</v>
      </c>
      <c r="AF20" s="43">
        <f t="shared" si="30"/>
        <v>961.69000000000085</v>
      </c>
      <c r="AG20" s="170">
        <f t="shared" si="5"/>
        <v>230.55999999999918</v>
      </c>
      <c r="AH20" s="275">
        <f t="shared" si="31"/>
        <v>62.750000000000007</v>
      </c>
      <c r="AI20" s="332">
        <v>0</v>
      </c>
      <c r="AJ20" s="334">
        <v>0</v>
      </c>
      <c r="AK20" s="335">
        <f t="shared" si="7"/>
        <v>76.628685258964211</v>
      </c>
      <c r="AL20" s="275">
        <f t="shared" si="21"/>
        <v>1255</v>
      </c>
      <c r="AM20" s="258">
        <f t="shared" si="22"/>
        <v>15.999999999999934</v>
      </c>
      <c r="AN20" s="258">
        <f t="shared" si="23"/>
        <v>23.99999999999994</v>
      </c>
      <c r="AO20" s="258" t="e">
        <f t="shared" si="24"/>
        <v>#DIV/0!</v>
      </c>
      <c r="AP20" s="331" t="e">
        <f>(#REF!/C20)*100</f>
        <v>#REF!</v>
      </c>
      <c r="AQ20" s="336">
        <f t="shared" si="8"/>
        <v>0.7900000000000007</v>
      </c>
      <c r="AR20" s="336">
        <f t="shared" si="9"/>
        <v>0.71000000000000063</v>
      </c>
      <c r="AS20" s="330" t="e">
        <f t="shared" si="10"/>
        <v>#DIV/0!</v>
      </c>
      <c r="AT20" s="330" t="e">
        <f t="shared" si="11"/>
        <v>#DIV/0!</v>
      </c>
      <c r="AU20" s="319">
        <f t="shared" si="12"/>
        <v>1255</v>
      </c>
      <c r="AV20" s="258">
        <f t="shared" si="25"/>
        <v>21.95</v>
      </c>
    </row>
    <row r="21" spans="1:48" s="337" customFormat="1">
      <c r="B21" s="322">
        <v>18</v>
      </c>
      <c r="C21" s="1">
        <v>636</v>
      </c>
      <c r="D21" s="1">
        <v>186</v>
      </c>
      <c r="E21" s="1">
        <v>0</v>
      </c>
      <c r="F21" s="1">
        <v>168</v>
      </c>
      <c r="G21" s="1">
        <v>240</v>
      </c>
      <c r="H21" s="1">
        <v>11.5</v>
      </c>
      <c r="I21" s="1">
        <v>3</v>
      </c>
      <c r="J21" s="1">
        <v>0</v>
      </c>
      <c r="K21" s="1">
        <v>3</v>
      </c>
      <c r="L21" s="1">
        <v>4</v>
      </c>
      <c r="M21" s="338">
        <f t="shared" si="26"/>
        <v>55.304347826086953</v>
      </c>
      <c r="N21" s="338">
        <f>D21/I21</f>
        <v>62</v>
      </c>
      <c r="O21" s="274">
        <f t="shared" si="15"/>
        <v>60</v>
      </c>
      <c r="P21" s="338">
        <f t="shared" si="16"/>
        <v>56</v>
      </c>
      <c r="Q21" s="338">
        <f>C21*(0.166666666666666*0.9)</f>
        <v>95.399999999999608</v>
      </c>
      <c r="R21" s="338">
        <f t="shared" si="35"/>
        <v>31.8</v>
      </c>
      <c r="S21" s="338">
        <f>D21*(0.266666666666666*0.9)</f>
        <v>44.639999999999887</v>
      </c>
      <c r="T21" s="338">
        <f>D21*0.05</f>
        <v>9.3000000000000007</v>
      </c>
      <c r="U21" s="338">
        <f>E21*(0.263157895*0.9)</f>
        <v>0</v>
      </c>
      <c r="V21" s="338">
        <f>E21*0.052631579</f>
        <v>0</v>
      </c>
      <c r="W21" s="338"/>
      <c r="X21" s="338">
        <f t="shared" si="34"/>
        <v>8.4</v>
      </c>
      <c r="Y21" s="274">
        <f>G21*(0.2775*0.9)</f>
        <v>59.940000000000005</v>
      </c>
      <c r="Z21" s="274">
        <f>G21*0.049875</f>
        <v>11.97</v>
      </c>
      <c r="AA21" s="432">
        <f t="shared" si="17"/>
        <v>508.80000000000035</v>
      </c>
      <c r="AB21" s="432">
        <f t="shared" si="18"/>
        <v>132.06000000000012</v>
      </c>
      <c r="AC21" s="432">
        <f t="shared" si="19"/>
        <v>0</v>
      </c>
      <c r="AD21" s="432">
        <f t="shared" si="20"/>
        <v>159.6</v>
      </c>
      <c r="AE21" s="432">
        <f t="shared" si="4"/>
        <v>168.09</v>
      </c>
      <c r="AF21" s="44">
        <f t="shared" si="30"/>
        <v>968.55000000000052</v>
      </c>
      <c r="AG21" s="170">
        <f t="shared" si="5"/>
        <v>199.97999999999951</v>
      </c>
      <c r="AH21" s="275">
        <f t="shared" si="31"/>
        <v>61.47</v>
      </c>
      <c r="AI21" s="338">
        <v>0</v>
      </c>
      <c r="AJ21" s="339">
        <v>0</v>
      </c>
      <c r="AK21" s="340">
        <f t="shared" si="7"/>
        <v>117.82846715328475</v>
      </c>
      <c r="AL21" s="275">
        <f t="shared" si="21"/>
        <v>1230</v>
      </c>
      <c r="AM21" s="258">
        <f t="shared" si="22"/>
        <v>14.999999999999938</v>
      </c>
      <c r="AN21" s="258">
        <f t="shared" si="23"/>
        <v>23.99999999999994</v>
      </c>
      <c r="AO21" s="258">
        <f t="shared" si="24"/>
        <v>0.24975000000000003</v>
      </c>
      <c r="AQ21" s="336">
        <f t="shared" si="8"/>
        <v>0.8000000000000006</v>
      </c>
      <c r="AR21" s="336">
        <f t="shared" si="9"/>
        <v>0.71000000000000063</v>
      </c>
      <c r="AS21" s="330" t="e">
        <f t="shared" si="10"/>
        <v>#DIV/0!</v>
      </c>
      <c r="AT21" s="341">
        <f t="shared" si="11"/>
        <v>0.95</v>
      </c>
      <c r="AU21" s="319">
        <f t="shared" si="12"/>
        <v>990</v>
      </c>
    </row>
    <row r="22" spans="1:48" s="337" customFormat="1">
      <c r="B22" s="322">
        <v>19</v>
      </c>
      <c r="C22" s="1">
        <v>1000</v>
      </c>
      <c r="D22" s="1">
        <v>0</v>
      </c>
      <c r="E22" s="1">
        <v>0</v>
      </c>
      <c r="F22" s="1">
        <v>0</v>
      </c>
      <c r="G22" s="1">
        <v>420</v>
      </c>
      <c r="H22" s="1">
        <v>17</v>
      </c>
      <c r="I22" s="1">
        <v>0</v>
      </c>
      <c r="J22" s="1">
        <v>0</v>
      </c>
      <c r="K22" s="1">
        <v>0</v>
      </c>
      <c r="L22" s="1">
        <v>7</v>
      </c>
      <c r="M22" s="338">
        <f t="shared" si="26"/>
        <v>58.823529411764703</v>
      </c>
      <c r="N22" s="338" t="e">
        <f t="shared" si="27"/>
        <v>#DIV/0!</v>
      </c>
      <c r="O22" s="274">
        <f t="shared" si="15"/>
        <v>60</v>
      </c>
      <c r="P22" s="338" t="e">
        <f t="shared" si="16"/>
        <v>#DIV/0!</v>
      </c>
      <c r="Q22" s="338">
        <f>C22*(0.120877777*0.9)</f>
        <v>108.78999930000001</v>
      </c>
      <c r="R22" s="456">
        <f>C22*0.05081</f>
        <v>50.81</v>
      </c>
      <c r="S22" s="338">
        <f>D22*(0.277777777777778*0.9)</f>
        <v>0</v>
      </c>
      <c r="T22" s="338">
        <f>D22*0.05</f>
        <v>0</v>
      </c>
      <c r="U22" s="338">
        <f>E22*(0.282766666666*0.9)</f>
        <v>0</v>
      </c>
      <c r="V22" s="338">
        <f>E22*0.04968</f>
        <v>0</v>
      </c>
      <c r="W22" s="338">
        <f t="shared" ref="W22:W34" si="36">F22*(0*0.9)</f>
        <v>0</v>
      </c>
      <c r="X22" s="338">
        <f t="shared" si="34"/>
        <v>0</v>
      </c>
      <c r="Y22" s="274">
        <f>G22*(0.271714285*0.9)</f>
        <v>102.70799973000001</v>
      </c>
      <c r="Z22" s="274">
        <f>G22*0.049873809</f>
        <v>20.946999779999999</v>
      </c>
      <c r="AA22" s="432">
        <f t="shared" si="17"/>
        <v>840.40000069999996</v>
      </c>
      <c r="AB22" s="432">
        <f t="shared" si="18"/>
        <v>0</v>
      </c>
      <c r="AC22" s="432">
        <f t="shared" si="19"/>
        <v>0</v>
      </c>
      <c r="AD22" s="432">
        <f t="shared" si="20"/>
        <v>0</v>
      </c>
      <c r="AE22" s="432">
        <f t="shared" si="4"/>
        <v>296.34500049000002</v>
      </c>
      <c r="AF22" s="438">
        <f t="shared" si="30"/>
        <v>1136.74500119</v>
      </c>
      <c r="AG22" s="170">
        <f t="shared" si="5"/>
        <v>211.49799903000002</v>
      </c>
      <c r="AH22" s="279">
        <f t="shared" si="31"/>
        <v>71.756999780000001</v>
      </c>
      <c r="AI22" s="338">
        <v>0</v>
      </c>
      <c r="AJ22" s="339">
        <v>0</v>
      </c>
      <c r="AK22" s="340">
        <f t="shared" si="7"/>
        <v>113.674500119</v>
      </c>
      <c r="AL22" s="275">
        <f t="shared" si="21"/>
        <v>1420</v>
      </c>
      <c r="AM22" s="258">
        <f t="shared" si="22"/>
        <v>10.878999930000001</v>
      </c>
      <c r="AN22" s="258" t="e">
        <f t="shared" si="23"/>
        <v>#DIV/0!</v>
      </c>
      <c r="AO22" s="258">
        <f t="shared" si="24"/>
        <v>0.24454285650000002</v>
      </c>
      <c r="AQ22" s="336">
        <f t="shared" si="8"/>
        <v>0.84040000069999998</v>
      </c>
      <c r="AR22" s="336" t="e">
        <f t="shared" si="9"/>
        <v>#DIV/0!</v>
      </c>
      <c r="AS22" s="330" t="e">
        <f t="shared" si="10"/>
        <v>#DIV/0!</v>
      </c>
      <c r="AT22" s="341" t="e">
        <f t="shared" si="11"/>
        <v>#DIV/0!</v>
      </c>
      <c r="AU22" s="319">
        <f t="shared" si="12"/>
        <v>1000</v>
      </c>
    </row>
    <row r="23" spans="1:48" s="319" customFormat="1">
      <c r="B23" s="322">
        <v>20</v>
      </c>
      <c r="C23" s="1">
        <v>1408</v>
      </c>
      <c r="D23" s="1">
        <v>0</v>
      </c>
      <c r="E23" s="1">
        <v>0</v>
      </c>
      <c r="F23" s="1">
        <v>0</v>
      </c>
      <c r="G23" s="1">
        <v>0</v>
      </c>
      <c r="H23" s="1">
        <v>24</v>
      </c>
      <c r="I23" s="1">
        <v>0</v>
      </c>
      <c r="J23" s="1">
        <v>0</v>
      </c>
      <c r="K23" s="1">
        <v>0</v>
      </c>
      <c r="L23" s="1">
        <v>0</v>
      </c>
      <c r="M23" s="320">
        <f t="shared" si="26"/>
        <v>58.666666666666664</v>
      </c>
      <c r="N23" s="320" t="e">
        <f t="shared" si="27"/>
        <v>#DIV/0!</v>
      </c>
      <c r="O23" s="274" t="e">
        <f t="shared" si="15"/>
        <v>#DIV/0!</v>
      </c>
      <c r="P23" s="320" t="e">
        <f t="shared" si="16"/>
        <v>#DIV/0!</v>
      </c>
      <c r="Q23" s="320">
        <f>C23*(0.144797979*0.9)</f>
        <v>183.48799898879997</v>
      </c>
      <c r="R23" s="320">
        <f>C23*0.049953835</f>
        <v>70.33499968000001</v>
      </c>
      <c r="S23" s="320">
        <f>D23*(0.300453514*0.9)</f>
        <v>0</v>
      </c>
      <c r="T23" s="320">
        <f>D23*0.051020408</f>
        <v>0</v>
      </c>
      <c r="U23" s="320">
        <f>E23*(0.256790123*0.9)</f>
        <v>0</v>
      </c>
      <c r="V23" s="320">
        <f>E23*0.05</f>
        <v>0</v>
      </c>
      <c r="W23" s="320">
        <f t="shared" si="36"/>
        <v>0</v>
      </c>
      <c r="X23" s="320">
        <f>F23*0.054054054054</f>
        <v>0</v>
      </c>
      <c r="Y23" s="274">
        <f>G23*(0.277777777777777*0.9)</f>
        <v>0</v>
      </c>
      <c r="Z23" s="274">
        <f>G23*0.05</f>
        <v>0</v>
      </c>
      <c r="AA23" s="432">
        <f t="shared" si="17"/>
        <v>1154.1770013312</v>
      </c>
      <c r="AB23" s="432">
        <f t="shared" si="18"/>
        <v>0</v>
      </c>
      <c r="AC23" s="432">
        <f t="shared" si="19"/>
        <v>0</v>
      </c>
      <c r="AD23" s="432">
        <f t="shared" si="20"/>
        <v>0</v>
      </c>
      <c r="AE23" s="432">
        <f t="shared" si="4"/>
        <v>0</v>
      </c>
      <c r="AF23" s="438">
        <f t="shared" si="30"/>
        <v>1154.1770013312</v>
      </c>
      <c r="AG23" s="170">
        <f t="shared" si="5"/>
        <v>183.48799898879997</v>
      </c>
      <c r="AH23" s="279">
        <f t="shared" si="31"/>
        <v>70.33499968000001</v>
      </c>
      <c r="AI23" s="320">
        <v>0</v>
      </c>
      <c r="AJ23" s="323">
        <v>0</v>
      </c>
      <c r="AK23" s="329">
        <f t="shared" si="7"/>
        <v>81.972798390000008</v>
      </c>
      <c r="AL23" s="275">
        <f t="shared" si="21"/>
        <v>1408</v>
      </c>
      <c r="AM23" s="258">
        <f t="shared" si="22"/>
        <v>13.031818109999998</v>
      </c>
      <c r="AN23" s="258" t="e">
        <f t="shared" si="23"/>
        <v>#DIV/0!</v>
      </c>
      <c r="AO23" s="258" t="e">
        <f t="shared" si="24"/>
        <v>#DIV/0!</v>
      </c>
      <c r="AQ23" s="336">
        <f t="shared" si="8"/>
        <v>0.81972798390000001</v>
      </c>
      <c r="AR23" s="336" t="e">
        <f t="shared" si="9"/>
        <v>#DIV/0!</v>
      </c>
      <c r="AS23" s="330" t="e">
        <f t="shared" si="10"/>
        <v>#DIV/0!</v>
      </c>
      <c r="AT23" s="330" t="e">
        <f t="shared" si="11"/>
        <v>#DIV/0!</v>
      </c>
      <c r="AU23" s="319">
        <f t="shared" si="12"/>
        <v>1408</v>
      </c>
    </row>
    <row r="24" spans="1:48" s="319" customFormat="1">
      <c r="A24" s="406"/>
      <c r="B24" s="320">
        <v>21</v>
      </c>
      <c r="C24" s="1">
        <v>1420</v>
      </c>
      <c r="D24" s="1">
        <v>0</v>
      </c>
      <c r="E24" s="1">
        <v>0</v>
      </c>
      <c r="F24" s="1">
        <v>0</v>
      </c>
      <c r="G24" s="1">
        <v>0</v>
      </c>
      <c r="H24" s="1">
        <v>24</v>
      </c>
      <c r="I24" s="1">
        <v>0</v>
      </c>
      <c r="J24" s="1">
        <v>0</v>
      </c>
      <c r="K24" s="1">
        <v>0</v>
      </c>
      <c r="L24" s="1">
        <v>0</v>
      </c>
      <c r="M24" s="320">
        <f t="shared" si="26"/>
        <v>59.166666666666664</v>
      </c>
      <c r="N24" s="320" t="e">
        <f t="shared" si="27"/>
        <v>#DIV/0!</v>
      </c>
      <c r="O24" s="274" t="e">
        <f t="shared" si="15"/>
        <v>#DIV/0!</v>
      </c>
      <c r="P24" s="320" t="e">
        <f t="shared" si="16"/>
        <v>#DIV/0!</v>
      </c>
      <c r="Q24" s="362">
        <f>C24*(0.131111111111111*0.9)</f>
        <v>167.55999999999986</v>
      </c>
      <c r="R24" s="320">
        <f t="shared" ref="R24:R28" si="37">C24*0.05</f>
        <v>71</v>
      </c>
      <c r="S24" s="320">
        <f>D24*(0.3*0.9)</f>
        <v>0</v>
      </c>
      <c r="T24" s="320">
        <f>D24*0.05</f>
        <v>0</v>
      </c>
      <c r="U24" s="320">
        <f>E24*(0.254629629*0.9)</f>
        <v>0</v>
      </c>
      <c r="V24" s="320">
        <f>E24*0.05</f>
        <v>0</v>
      </c>
      <c r="W24" s="320">
        <f t="shared" si="36"/>
        <v>0</v>
      </c>
      <c r="X24" s="320">
        <f>F24*0.05</f>
        <v>0</v>
      </c>
      <c r="Y24" s="274">
        <f>G24*(0.3*0.9)</f>
        <v>0</v>
      </c>
      <c r="Z24" s="274">
        <f>G24*0.05</f>
        <v>0</v>
      </c>
      <c r="AA24" s="432">
        <f t="shared" si="17"/>
        <v>1181.44</v>
      </c>
      <c r="AB24" s="432">
        <f t="shared" si="18"/>
        <v>0</v>
      </c>
      <c r="AC24" s="432">
        <f t="shared" si="19"/>
        <v>0</v>
      </c>
      <c r="AD24" s="432">
        <f t="shared" si="20"/>
        <v>0</v>
      </c>
      <c r="AE24" s="432">
        <f t="shared" si="4"/>
        <v>0</v>
      </c>
      <c r="AF24" s="43">
        <f t="shared" si="30"/>
        <v>1181.44</v>
      </c>
      <c r="AG24" s="446">
        <f>Q24+S24+U24+Y24</f>
        <v>167.55999999999986</v>
      </c>
      <c r="AH24" s="275">
        <f t="shared" si="31"/>
        <v>71</v>
      </c>
      <c r="AI24" s="320">
        <v>0</v>
      </c>
      <c r="AJ24" s="323">
        <v>0</v>
      </c>
      <c r="AK24" s="329">
        <f t="shared" si="7"/>
        <v>83.2</v>
      </c>
      <c r="AL24" s="275">
        <f t="shared" si="21"/>
        <v>1420</v>
      </c>
      <c r="AM24" s="258">
        <f t="shared" si="22"/>
        <v>11.79999999999999</v>
      </c>
      <c r="AN24" s="258" t="e">
        <f t="shared" si="23"/>
        <v>#DIV/0!</v>
      </c>
      <c r="AO24" s="258" t="e">
        <f t="shared" si="24"/>
        <v>#DIV/0!</v>
      </c>
      <c r="AQ24" s="336">
        <f t="shared" si="8"/>
        <v>0.83200000000000007</v>
      </c>
      <c r="AR24" s="330" t="e">
        <f t="shared" si="9"/>
        <v>#DIV/0!</v>
      </c>
      <c r="AS24" s="330" t="e">
        <f t="shared" si="10"/>
        <v>#DIV/0!</v>
      </c>
      <c r="AT24" s="330" t="e">
        <f t="shared" si="11"/>
        <v>#DIV/0!</v>
      </c>
      <c r="AU24" s="319">
        <f t="shared" si="12"/>
        <v>1420</v>
      </c>
    </row>
    <row r="25" spans="1:48" s="407" customFormat="1">
      <c r="B25" s="408">
        <v>22</v>
      </c>
      <c r="C25" s="1">
        <v>1420</v>
      </c>
      <c r="D25" s="1">
        <v>0</v>
      </c>
      <c r="E25" s="1">
        <v>0</v>
      </c>
      <c r="F25" s="1">
        <v>0</v>
      </c>
      <c r="G25" s="1">
        <v>0</v>
      </c>
      <c r="H25" s="1">
        <v>24</v>
      </c>
      <c r="I25" s="1">
        <v>0</v>
      </c>
      <c r="J25" s="1">
        <v>0</v>
      </c>
      <c r="K25" s="1">
        <v>0</v>
      </c>
      <c r="L25" s="1">
        <v>0</v>
      </c>
      <c r="M25" s="408">
        <f t="shared" si="26"/>
        <v>59.166666666666664</v>
      </c>
      <c r="N25" s="408" t="e">
        <f t="shared" si="27"/>
        <v>#DIV/0!</v>
      </c>
      <c r="O25" s="274" t="e">
        <f t="shared" si="15"/>
        <v>#DIV/0!</v>
      </c>
      <c r="P25" s="408" t="e">
        <f t="shared" si="16"/>
        <v>#DIV/0!</v>
      </c>
      <c r="Q25" s="417">
        <f>C25*(0.133333333333333*0.9)</f>
        <v>170.39999999999958</v>
      </c>
      <c r="R25" s="417">
        <f>C25*0.05</f>
        <v>71</v>
      </c>
      <c r="S25" s="408">
        <f>D25*(0.302222222*0.9)</f>
        <v>0</v>
      </c>
      <c r="T25" s="408">
        <f>D25*0.050666666</f>
        <v>0</v>
      </c>
      <c r="U25" s="408">
        <f>E25*(0.254629629*0.9)</f>
        <v>0</v>
      </c>
      <c r="V25" s="408">
        <f>E25*0.05</f>
        <v>0</v>
      </c>
      <c r="W25" s="408">
        <f t="shared" si="36"/>
        <v>0</v>
      </c>
      <c r="X25" s="408">
        <f>F25*0.0555555555555555</f>
        <v>0</v>
      </c>
      <c r="Y25" s="274">
        <f t="shared" si="28"/>
        <v>0</v>
      </c>
      <c r="Z25" s="274">
        <f t="shared" si="29"/>
        <v>0</v>
      </c>
      <c r="AA25" s="432">
        <f t="shared" si="17"/>
        <v>1178.6000000000004</v>
      </c>
      <c r="AB25" s="432">
        <f t="shared" si="18"/>
        <v>0</v>
      </c>
      <c r="AC25" s="432">
        <f t="shared" si="19"/>
        <v>0</v>
      </c>
      <c r="AD25" s="432">
        <f t="shared" si="20"/>
        <v>0</v>
      </c>
      <c r="AE25" s="432">
        <f t="shared" si="4"/>
        <v>0</v>
      </c>
      <c r="AF25" s="43">
        <f t="shared" si="30"/>
        <v>1178.6000000000004</v>
      </c>
      <c r="AG25" s="446">
        <f t="shared" ref="AG25:AG34" si="38">Q25+S25+U25+Y25</f>
        <v>170.39999999999958</v>
      </c>
      <c r="AH25" s="275">
        <f t="shared" si="31"/>
        <v>71</v>
      </c>
      <c r="AI25" s="408">
        <v>0</v>
      </c>
      <c r="AJ25" s="409">
        <v>0</v>
      </c>
      <c r="AK25" s="410">
        <f>AF25/(C25+D25+E25)*100</f>
        <v>83.000000000000028</v>
      </c>
      <c r="AL25" s="275">
        <f t="shared" si="21"/>
        <v>1420</v>
      </c>
      <c r="AM25" s="258">
        <f t="shared" si="22"/>
        <v>11.99999999999997</v>
      </c>
      <c r="AN25" s="258" t="e">
        <f t="shared" si="23"/>
        <v>#DIV/0!</v>
      </c>
      <c r="AO25" s="258" t="e">
        <f t="shared" si="24"/>
        <v>#DIV/0!</v>
      </c>
      <c r="AP25" s="407">
        <f>AA25/C25</f>
        <v>0.83000000000000029</v>
      </c>
      <c r="AQ25" s="411">
        <f t="shared" si="8"/>
        <v>0.83000000000000029</v>
      </c>
      <c r="AR25" s="411" t="e">
        <f t="shared" si="9"/>
        <v>#DIV/0!</v>
      </c>
      <c r="AS25" s="411" t="e">
        <f t="shared" si="10"/>
        <v>#DIV/0!</v>
      </c>
      <c r="AT25" s="330" t="e">
        <f t="shared" si="11"/>
        <v>#DIV/0!</v>
      </c>
      <c r="AU25" s="319">
        <f t="shared" si="12"/>
        <v>1420</v>
      </c>
    </row>
    <row r="26" spans="1:48" s="319" customFormat="1">
      <c r="A26" s="406"/>
      <c r="B26" s="320">
        <v>23</v>
      </c>
      <c r="C26" s="1">
        <v>880</v>
      </c>
      <c r="D26" s="1">
        <v>120</v>
      </c>
      <c r="E26" s="1">
        <v>0</v>
      </c>
      <c r="F26" s="1">
        <v>116</v>
      </c>
      <c r="G26" s="1">
        <v>180</v>
      </c>
      <c r="H26" s="1">
        <v>17</v>
      </c>
      <c r="I26" s="1">
        <v>2</v>
      </c>
      <c r="J26" s="1">
        <v>0</v>
      </c>
      <c r="K26" s="1">
        <v>2</v>
      </c>
      <c r="L26" s="1">
        <v>3</v>
      </c>
      <c r="M26" s="320">
        <f t="shared" ref="M26" si="39">C26/H26</f>
        <v>51.764705882352942</v>
      </c>
      <c r="N26" s="320">
        <f t="shared" ref="N26" si="40">D26/I26</f>
        <v>60</v>
      </c>
      <c r="O26" s="274">
        <f t="shared" si="15"/>
        <v>60</v>
      </c>
      <c r="P26" s="320">
        <f t="shared" ref="P26" si="41">F26/K26</f>
        <v>58</v>
      </c>
      <c r="Q26" s="320">
        <f>C26*(0.135555555555555*0.9)</f>
        <v>107.35999999999957</v>
      </c>
      <c r="R26" s="320">
        <f>C26*0.05</f>
        <v>44</v>
      </c>
      <c r="S26" s="320">
        <f>D26*(0.167*0.9)</f>
        <v>18.036000000000001</v>
      </c>
      <c r="T26" s="320">
        <f>D26*0.049875</f>
        <v>5.9850000000000003</v>
      </c>
      <c r="U26" s="320">
        <f>E26*(0.277777777777777*0.9)</f>
        <v>0</v>
      </c>
      <c r="V26" s="320">
        <f>E26*0.05</f>
        <v>0</v>
      </c>
      <c r="W26" s="320">
        <f t="shared" si="36"/>
        <v>0</v>
      </c>
      <c r="X26" s="320">
        <f>F26*0.0498706897</f>
        <v>5.7850000051999997</v>
      </c>
      <c r="Y26" s="274">
        <f>G26*(0.188888888888888*0.9)</f>
        <v>30.599999999999856</v>
      </c>
      <c r="Z26" s="274">
        <f>G26*0.05</f>
        <v>9</v>
      </c>
      <c r="AA26" s="432">
        <f t="shared" si="17"/>
        <v>728.64000000000044</v>
      </c>
      <c r="AB26" s="432">
        <f t="shared" si="18"/>
        <v>95.978999999999999</v>
      </c>
      <c r="AC26" s="432">
        <f t="shared" si="19"/>
        <v>0</v>
      </c>
      <c r="AD26" s="432">
        <f t="shared" si="20"/>
        <v>110.2149999948</v>
      </c>
      <c r="AE26" s="432">
        <f t="shared" si="4"/>
        <v>140.40000000000015</v>
      </c>
      <c r="AF26" s="43">
        <f t="shared" si="30"/>
        <v>1075.2339999948006</v>
      </c>
      <c r="AG26" s="446">
        <f t="shared" si="38"/>
        <v>155.99599999999944</v>
      </c>
      <c r="AH26" s="279">
        <f t="shared" si="31"/>
        <v>64.770000005199989</v>
      </c>
      <c r="AI26" s="320">
        <v>0</v>
      </c>
      <c r="AJ26" s="323">
        <v>0</v>
      </c>
      <c r="AK26" s="329">
        <f>AF26/(C26+D26+E26)*100</f>
        <v>107.52339999948006</v>
      </c>
      <c r="AL26" s="275">
        <f t="shared" si="21"/>
        <v>1296</v>
      </c>
      <c r="AM26" s="258">
        <f t="shared" si="22"/>
        <v>12.199999999999951</v>
      </c>
      <c r="AN26" s="258">
        <f t="shared" si="23"/>
        <v>15.030000000000001</v>
      </c>
      <c r="AO26" s="258">
        <f t="shared" si="24"/>
        <v>0.16999999999999921</v>
      </c>
      <c r="AP26" s="319">
        <f>AA26/C26</f>
        <v>0.82800000000000051</v>
      </c>
      <c r="AQ26" s="330">
        <f t="shared" si="8"/>
        <v>0.82800000000000051</v>
      </c>
      <c r="AR26" s="330">
        <f t="shared" si="9"/>
        <v>0.79982500000000001</v>
      </c>
      <c r="AS26" s="330" t="e">
        <f t="shared" si="10"/>
        <v>#DIV/0!</v>
      </c>
      <c r="AT26" s="330">
        <f t="shared" si="11"/>
        <v>0.95012931029999992</v>
      </c>
      <c r="AU26" s="319">
        <f t="shared" si="12"/>
        <v>1116</v>
      </c>
    </row>
    <row r="27" spans="1:48" s="319" customFormat="1">
      <c r="B27" s="413">
        <v>24</v>
      </c>
      <c r="C27" s="1">
        <v>615</v>
      </c>
      <c r="D27" s="1">
        <v>240</v>
      </c>
      <c r="E27" s="1">
        <v>0</v>
      </c>
      <c r="F27" s="1">
        <v>165</v>
      </c>
      <c r="G27" s="1">
        <v>300</v>
      </c>
      <c r="H27" s="1">
        <v>12</v>
      </c>
      <c r="I27" s="1">
        <v>4</v>
      </c>
      <c r="J27" s="1">
        <v>0</v>
      </c>
      <c r="K27" s="1">
        <v>3</v>
      </c>
      <c r="L27" s="1">
        <v>5</v>
      </c>
      <c r="M27" s="413">
        <f t="shared" si="26"/>
        <v>51.25</v>
      </c>
      <c r="N27" s="413">
        <f t="shared" si="27"/>
        <v>60</v>
      </c>
      <c r="O27" s="274">
        <f t="shared" si="15"/>
        <v>60</v>
      </c>
      <c r="P27" s="413">
        <f>F27/K27</f>
        <v>55</v>
      </c>
      <c r="Q27" s="413">
        <f>C27*(0.144444444444444*0.9)</f>
        <v>79.949999999999747</v>
      </c>
      <c r="R27" s="413">
        <f t="shared" si="37"/>
        <v>30.75</v>
      </c>
      <c r="S27" s="413">
        <f>D27*(0.188888888888888*0.9)</f>
        <v>40.799999999999812</v>
      </c>
      <c r="T27" s="413">
        <f>D27*0.05</f>
        <v>12</v>
      </c>
      <c r="U27" s="413">
        <f>E27*(0.264550266*0.9)</f>
        <v>0</v>
      </c>
      <c r="V27" s="413">
        <f>E27*0.05</f>
        <v>0</v>
      </c>
      <c r="W27" s="413">
        <f t="shared" si="36"/>
        <v>0</v>
      </c>
      <c r="X27" s="413">
        <f>F27*0.049860606</f>
        <v>8.2269999899999995</v>
      </c>
      <c r="Y27" s="274">
        <f>G27*(0.188888888888888*0.9)</f>
        <v>50.999999999999766</v>
      </c>
      <c r="Z27" s="274">
        <f>G27*0.05</f>
        <v>15</v>
      </c>
      <c r="AA27" s="432">
        <f t="shared" si="17"/>
        <v>504.3000000000003</v>
      </c>
      <c r="AB27" s="432">
        <f t="shared" si="18"/>
        <v>187.20000000000019</v>
      </c>
      <c r="AC27" s="432">
        <f t="shared" si="19"/>
        <v>0</v>
      </c>
      <c r="AD27" s="432">
        <f t="shared" si="20"/>
        <v>156.77300001</v>
      </c>
      <c r="AE27" s="432">
        <f t="shared" si="4"/>
        <v>234.00000000000023</v>
      </c>
      <c r="AF27" s="43">
        <f t="shared" si="30"/>
        <v>1082.2730000100007</v>
      </c>
      <c r="AG27" s="446">
        <f t="shared" si="38"/>
        <v>171.74999999999932</v>
      </c>
      <c r="AH27" s="275">
        <f t="shared" si="31"/>
        <v>65.976999989999996</v>
      </c>
      <c r="AI27" s="320">
        <v>0</v>
      </c>
      <c r="AJ27" s="323">
        <v>0</v>
      </c>
      <c r="AK27" s="329">
        <f>AF27/(C27+D27+E27)*100</f>
        <v>126.58163742807025</v>
      </c>
      <c r="AL27" s="275">
        <f t="shared" si="21"/>
        <v>1320</v>
      </c>
      <c r="AM27" s="258">
        <f t="shared" si="22"/>
        <v>12.999999999999959</v>
      </c>
      <c r="AN27" s="258">
        <f t="shared" si="23"/>
        <v>16.999999999999922</v>
      </c>
      <c r="AO27" s="258">
        <f t="shared" si="24"/>
        <v>0.16999999999999921</v>
      </c>
      <c r="AQ27" s="330">
        <f t="shared" si="8"/>
        <v>0.82000000000000051</v>
      </c>
      <c r="AR27" s="330">
        <f t="shared" si="9"/>
        <v>0.7800000000000008</v>
      </c>
      <c r="AS27" s="330" t="e">
        <f t="shared" si="10"/>
        <v>#DIV/0!</v>
      </c>
      <c r="AT27" s="330">
        <f t="shared" si="11"/>
        <v>0.95013939400000003</v>
      </c>
      <c r="AU27" s="319">
        <f t="shared" si="12"/>
        <v>1020</v>
      </c>
    </row>
    <row r="28" spans="1:48" s="319" customFormat="1" ht="16.5" customHeight="1">
      <c r="B28" s="320">
        <v>25</v>
      </c>
      <c r="C28" s="1">
        <v>1003</v>
      </c>
      <c r="D28" s="1">
        <v>0</v>
      </c>
      <c r="E28" s="1">
        <v>0</v>
      </c>
      <c r="F28" s="1">
        <v>0</v>
      </c>
      <c r="G28" s="1">
        <v>348</v>
      </c>
      <c r="H28" s="1">
        <v>17</v>
      </c>
      <c r="I28" s="1">
        <v>0</v>
      </c>
      <c r="J28" s="1">
        <v>0</v>
      </c>
      <c r="K28" s="1">
        <v>0</v>
      </c>
      <c r="L28" s="1">
        <v>6</v>
      </c>
      <c r="M28" s="320">
        <f t="shared" ref="M28" si="42">C28/H28</f>
        <v>59</v>
      </c>
      <c r="N28" s="320" t="e">
        <f t="shared" ref="N28" si="43">D28/I28</f>
        <v>#DIV/0!</v>
      </c>
      <c r="O28" s="274">
        <f t="shared" si="15"/>
        <v>58</v>
      </c>
      <c r="P28" s="320" t="e">
        <f t="shared" ref="P28" si="44">F28/K28</f>
        <v>#DIV/0!</v>
      </c>
      <c r="Q28" s="320">
        <f>C28*(0.14*0.9)</f>
        <v>126.37800000000003</v>
      </c>
      <c r="R28" s="320">
        <f t="shared" si="37"/>
        <v>50.150000000000006</v>
      </c>
      <c r="S28" s="320">
        <f>D28*(0.3*0.9)</f>
        <v>0</v>
      </c>
      <c r="T28" s="320">
        <f>D28*0.05</f>
        <v>0</v>
      </c>
      <c r="U28" s="320">
        <f>E28*(0.277777777777777*0.9)</f>
        <v>0</v>
      </c>
      <c r="V28" s="320">
        <f>E28*0.0518518518518</f>
        <v>0</v>
      </c>
      <c r="W28" s="320">
        <f t="shared" si="36"/>
        <v>0</v>
      </c>
      <c r="X28" s="320">
        <f>F28*0.05</f>
        <v>0</v>
      </c>
      <c r="Y28" s="274">
        <f>G28*(0.194444444444444*0.9)</f>
        <v>60.899999999999864</v>
      </c>
      <c r="Z28" s="274">
        <f>G28*0.05</f>
        <v>17.400000000000002</v>
      </c>
      <c r="AA28" s="432">
        <f t="shared" si="17"/>
        <v>826.47199999999998</v>
      </c>
      <c r="AB28" s="432">
        <f t="shared" si="18"/>
        <v>0</v>
      </c>
      <c r="AC28" s="432">
        <f t="shared" si="19"/>
        <v>0</v>
      </c>
      <c r="AD28" s="432">
        <f t="shared" si="20"/>
        <v>0</v>
      </c>
      <c r="AE28" s="432">
        <f t="shared" si="4"/>
        <v>269.70000000000016</v>
      </c>
      <c r="AF28" s="43">
        <f t="shared" si="30"/>
        <v>1096.172</v>
      </c>
      <c r="AG28" s="446">
        <f t="shared" si="38"/>
        <v>187.27799999999991</v>
      </c>
      <c r="AH28" s="275">
        <f t="shared" si="31"/>
        <v>67.550000000000011</v>
      </c>
      <c r="AI28" s="320">
        <v>0</v>
      </c>
      <c r="AJ28" s="323">
        <v>0</v>
      </c>
      <c r="AK28" s="329">
        <f t="shared" ref="AK28:AK40" si="45">AF28/(C28+D28)*100</f>
        <v>109.28933200398805</v>
      </c>
      <c r="AL28" s="275">
        <f t="shared" si="21"/>
        <v>1350.9999999999998</v>
      </c>
      <c r="AM28" s="258">
        <f t="shared" si="22"/>
        <v>12.600000000000003</v>
      </c>
      <c r="AN28" s="258" t="e">
        <f t="shared" si="23"/>
        <v>#DIV/0!</v>
      </c>
      <c r="AO28" s="258">
        <f t="shared" si="24"/>
        <v>0.1749999999999996</v>
      </c>
      <c r="AQ28" s="330">
        <f t="shared" si="8"/>
        <v>0.82399999999999995</v>
      </c>
      <c r="AR28" s="330" t="e">
        <f t="shared" si="9"/>
        <v>#DIV/0!</v>
      </c>
      <c r="AS28" s="330" t="e">
        <f t="shared" si="10"/>
        <v>#DIV/0!</v>
      </c>
      <c r="AT28" s="330" t="e">
        <f t="shared" si="11"/>
        <v>#DIV/0!</v>
      </c>
      <c r="AU28" s="319">
        <f t="shared" si="12"/>
        <v>1003</v>
      </c>
    </row>
    <row r="29" spans="1:48" s="319" customFormat="1" ht="16.5" customHeight="1">
      <c r="B29" s="320">
        <v>26</v>
      </c>
      <c r="C29" s="1">
        <v>904</v>
      </c>
      <c r="D29" s="1">
        <v>120</v>
      </c>
      <c r="E29" s="1">
        <v>0</v>
      </c>
      <c r="F29" s="1">
        <v>0</v>
      </c>
      <c r="G29" s="1">
        <v>351</v>
      </c>
      <c r="H29" s="1">
        <v>15.3</v>
      </c>
      <c r="I29" s="1">
        <v>2</v>
      </c>
      <c r="J29" s="1">
        <v>0</v>
      </c>
      <c r="K29" s="1">
        <v>0</v>
      </c>
      <c r="L29" s="1">
        <v>6</v>
      </c>
      <c r="M29" s="320">
        <f t="shared" si="26"/>
        <v>59.084967320261434</v>
      </c>
      <c r="N29" s="320">
        <f t="shared" si="27"/>
        <v>60</v>
      </c>
      <c r="O29" s="274">
        <f t="shared" si="15"/>
        <v>58.5</v>
      </c>
      <c r="P29" s="320" t="e">
        <f t="shared" ref="P29:P35" si="46">F29/K29</f>
        <v>#DIV/0!</v>
      </c>
      <c r="Q29" s="321">
        <f>C29*(0.142841691*0.9)</f>
        <v>116.21599979760001</v>
      </c>
      <c r="R29" s="320">
        <f>C29*0.049917035</f>
        <v>45.124999639999999</v>
      </c>
      <c r="S29" s="321">
        <f>D29*(0.188888888*0.9)</f>
        <v>20.399999904000001</v>
      </c>
      <c r="T29" s="320">
        <f>D29*0.05</f>
        <v>6</v>
      </c>
      <c r="U29" s="320">
        <f>E29*(0.277777777777777*0.9)</f>
        <v>0</v>
      </c>
      <c r="V29" s="320">
        <f>E29*0.05</f>
        <v>0</v>
      </c>
      <c r="W29" s="320">
        <f t="shared" si="36"/>
        <v>0</v>
      </c>
      <c r="X29" s="320">
        <f>F29*0.05</f>
        <v>0</v>
      </c>
      <c r="Y29" s="274">
        <f>G29*(0.188888888*0.9)</f>
        <v>59.6699997192</v>
      </c>
      <c r="Z29" s="279">
        <f>G29*0.05</f>
        <v>17.55</v>
      </c>
      <c r="AA29" s="432">
        <f t="shared" si="17"/>
        <v>742.65900056240002</v>
      </c>
      <c r="AB29" s="432">
        <f t="shared" si="18"/>
        <v>93.600000096000002</v>
      </c>
      <c r="AC29" s="432">
        <f t="shared" si="19"/>
        <v>0</v>
      </c>
      <c r="AD29" s="432">
        <f t="shared" si="20"/>
        <v>0</v>
      </c>
      <c r="AE29" s="462">
        <f t="shared" si="4"/>
        <v>273.78000028079998</v>
      </c>
      <c r="AF29" s="438">
        <f t="shared" si="30"/>
        <v>1110.0390009391999</v>
      </c>
      <c r="AG29" s="439">
        <f t="shared" si="38"/>
        <v>196.28599942080001</v>
      </c>
      <c r="AH29" s="279">
        <f t="shared" si="31"/>
        <v>68.674999639999996</v>
      </c>
      <c r="AI29" s="320">
        <v>0</v>
      </c>
      <c r="AJ29" s="323">
        <v>0</v>
      </c>
      <c r="AK29" s="329">
        <f t="shared" si="45"/>
        <v>108.40224618546874</v>
      </c>
      <c r="AL29" s="275">
        <f t="shared" si="21"/>
        <v>1374.9999999999998</v>
      </c>
      <c r="AM29" s="258">
        <f t="shared" si="22"/>
        <v>12.85575219</v>
      </c>
      <c r="AN29" s="258">
        <f t="shared" si="23"/>
        <v>16.99999992</v>
      </c>
      <c r="AO29" s="258">
        <f t="shared" si="24"/>
        <v>0.1699999992</v>
      </c>
      <c r="AQ29" s="330">
        <f t="shared" si="8"/>
        <v>0.82152544309999997</v>
      </c>
      <c r="AR29" s="330">
        <f t="shared" si="9"/>
        <v>0.78000000079999998</v>
      </c>
      <c r="AS29" s="330" t="e">
        <f t="shared" si="10"/>
        <v>#DIV/0!</v>
      </c>
      <c r="AT29" s="330" t="e">
        <f t="shared" si="11"/>
        <v>#DIV/0!</v>
      </c>
      <c r="AU29" s="319">
        <f t="shared" si="12"/>
        <v>1024</v>
      </c>
    </row>
    <row r="30" spans="1:48" ht="16.5" customHeight="1">
      <c r="B30" s="1">
        <v>27</v>
      </c>
      <c r="C30" s="1">
        <v>828</v>
      </c>
      <c r="D30" s="1">
        <v>180</v>
      </c>
      <c r="E30" s="1">
        <v>0</v>
      </c>
      <c r="F30" s="1">
        <v>0</v>
      </c>
      <c r="G30" s="1">
        <v>240</v>
      </c>
      <c r="H30" s="1">
        <v>14.16</v>
      </c>
      <c r="I30" s="1">
        <v>3</v>
      </c>
      <c r="J30" s="1">
        <v>0</v>
      </c>
      <c r="K30" s="1">
        <v>0</v>
      </c>
      <c r="L30" s="1">
        <v>4</v>
      </c>
      <c r="M30" s="1">
        <f t="shared" si="26"/>
        <v>58.474576271186443</v>
      </c>
      <c r="N30" s="1">
        <f t="shared" si="27"/>
        <v>60</v>
      </c>
      <c r="O30" s="274">
        <f t="shared" si="15"/>
        <v>60</v>
      </c>
      <c r="P30" s="1" t="e">
        <f t="shared" si="46"/>
        <v>#DIV/0!</v>
      </c>
      <c r="Q30" s="1">
        <f>C30*(0.14139694*0.9)</f>
        <v>105.36899968799999</v>
      </c>
      <c r="R30" s="1">
        <f>C30*0.049931159</f>
        <v>41.342999652000003</v>
      </c>
      <c r="S30" s="1">
        <f>D30*(0.188888888*0.9)</f>
        <v>30.599999856</v>
      </c>
      <c r="T30" s="1">
        <f>D30*0.05</f>
        <v>9</v>
      </c>
      <c r="U30" s="1">
        <f>E30*(0.279279272727273*0.9)</f>
        <v>0</v>
      </c>
      <c r="V30" s="1">
        <f>E30*0.0513513513513513</f>
        <v>0</v>
      </c>
      <c r="W30" s="1">
        <f t="shared" si="36"/>
        <v>0</v>
      </c>
      <c r="X30" s="1">
        <f>F30*0.066666666</f>
        <v>0</v>
      </c>
      <c r="Y30" s="274">
        <f>G30*(0.198*0.9)</f>
        <v>42.768000000000008</v>
      </c>
      <c r="Z30" s="274">
        <f>G30*0.049875</f>
        <v>11.97</v>
      </c>
      <c r="AA30" s="432">
        <f t="shared" si="17"/>
        <v>681.28800065999997</v>
      </c>
      <c r="AB30" s="462">
        <f t="shared" si="18"/>
        <v>140.40000014399999</v>
      </c>
      <c r="AC30" s="432">
        <f t="shared" si="19"/>
        <v>0</v>
      </c>
      <c r="AD30" s="432">
        <f t="shared" si="20"/>
        <v>0</v>
      </c>
      <c r="AE30" s="432">
        <f t="shared" si="4"/>
        <v>185.262</v>
      </c>
      <c r="AF30" s="438">
        <f t="shared" si="30"/>
        <v>1006.950000804</v>
      </c>
      <c r="AG30" s="439">
        <f t="shared" si="38"/>
        <v>178.73699954399999</v>
      </c>
      <c r="AH30" s="279">
        <f t="shared" si="31"/>
        <v>62.312999652000002</v>
      </c>
      <c r="AI30" s="1">
        <v>0</v>
      </c>
      <c r="AJ30" s="6">
        <v>0</v>
      </c>
      <c r="AK30" s="32">
        <f t="shared" si="45"/>
        <v>99.895833413095232</v>
      </c>
      <c r="AL30" s="275">
        <f t="shared" si="21"/>
        <v>1247.9999999999998</v>
      </c>
      <c r="AM30" s="258">
        <f t="shared" si="22"/>
        <v>12.725724599999999</v>
      </c>
      <c r="AN30" s="258">
        <f t="shared" si="23"/>
        <v>16.99999992</v>
      </c>
      <c r="AO30" s="258">
        <f t="shared" si="24"/>
        <v>0.17820000000000003</v>
      </c>
      <c r="AQ30" s="428">
        <f t="shared" si="8"/>
        <v>0.82281159500000001</v>
      </c>
      <c r="AR30" s="428">
        <f t="shared" si="9"/>
        <v>0.78000000079999998</v>
      </c>
      <c r="AS30" s="428" t="e">
        <f t="shared" si="10"/>
        <v>#DIV/0!</v>
      </c>
      <c r="AT30" s="428" t="e">
        <f t="shared" si="11"/>
        <v>#DIV/0!</v>
      </c>
      <c r="AU30">
        <f t="shared" si="12"/>
        <v>1008</v>
      </c>
    </row>
    <row r="31" spans="1:48" s="17" customFormat="1">
      <c r="A31" s="238"/>
      <c r="B31" s="18">
        <v>28</v>
      </c>
      <c r="C31" s="1">
        <v>1172</v>
      </c>
      <c r="D31" s="1">
        <v>0</v>
      </c>
      <c r="E31" s="1">
        <v>0</v>
      </c>
      <c r="F31" s="1">
        <v>58</v>
      </c>
      <c r="G31" s="1">
        <v>200</v>
      </c>
      <c r="H31" s="1">
        <v>19.25</v>
      </c>
      <c r="I31" s="1">
        <v>0</v>
      </c>
      <c r="J31" s="1">
        <v>0</v>
      </c>
      <c r="K31" s="1">
        <v>1</v>
      </c>
      <c r="L31" s="1">
        <v>3.2</v>
      </c>
      <c r="M31" s="18">
        <f t="shared" si="26"/>
        <v>60.883116883116884</v>
      </c>
      <c r="N31" s="18" t="e">
        <f t="shared" si="27"/>
        <v>#DIV/0!</v>
      </c>
      <c r="O31" s="274">
        <f t="shared" si="15"/>
        <v>62.5</v>
      </c>
      <c r="P31" s="18">
        <f t="shared" si="46"/>
        <v>58</v>
      </c>
      <c r="Q31" s="433">
        <f>C31*(0.144444444444444*0.9)</f>
        <v>152.35999999999953</v>
      </c>
      <c r="R31" s="18">
        <f>C31*0.05</f>
        <v>58.6</v>
      </c>
      <c r="S31" s="18">
        <f>D31*(0.332056194*0.9)</f>
        <v>0</v>
      </c>
      <c r="T31" s="18">
        <f>D31*0.048850574</f>
        <v>0</v>
      </c>
      <c r="U31" s="18">
        <f>E31*(0.227920227988888*0.9)</f>
        <v>0</v>
      </c>
      <c r="V31" s="18">
        <f>E31*0.04871794875</f>
        <v>0</v>
      </c>
      <c r="W31" s="18">
        <f t="shared" si="36"/>
        <v>0</v>
      </c>
      <c r="X31" s="18">
        <f>F31*0.04987932</f>
        <v>2.8930005599999999</v>
      </c>
      <c r="Y31" s="274">
        <f>G31*(0.18888888889*0.9)</f>
        <v>34.000000000199996</v>
      </c>
      <c r="Z31" s="442">
        <f>G31*0.05</f>
        <v>10</v>
      </c>
      <c r="AA31" s="432">
        <f t="shared" si="17"/>
        <v>961.04000000000042</v>
      </c>
      <c r="AB31" s="432">
        <f t="shared" si="18"/>
        <v>0</v>
      </c>
      <c r="AC31" s="432">
        <f t="shared" si="19"/>
        <v>0</v>
      </c>
      <c r="AD31" s="432">
        <f t="shared" si="20"/>
        <v>55.106999440000003</v>
      </c>
      <c r="AE31" s="432">
        <f t="shared" si="4"/>
        <v>155.9999999998</v>
      </c>
      <c r="AF31" s="43">
        <f t="shared" si="30"/>
        <v>1172.1469994398003</v>
      </c>
      <c r="AG31" s="446">
        <f t="shared" si="38"/>
        <v>186.36000000019953</v>
      </c>
      <c r="AH31" s="275">
        <f t="shared" si="31"/>
        <v>71.493000559999999</v>
      </c>
      <c r="AI31" s="18">
        <v>0</v>
      </c>
      <c r="AJ31" s="39">
        <v>0</v>
      </c>
      <c r="AK31" s="189">
        <f t="shared" si="45"/>
        <v>100.01254261431743</v>
      </c>
      <c r="AL31" s="275">
        <f t="shared" si="21"/>
        <v>1429.9999999999998</v>
      </c>
      <c r="AM31" s="258">
        <f t="shared" si="22"/>
        <v>12.999999999999959</v>
      </c>
      <c r="AN31" s="258" t="e">
        <f t="shared" si="23"/>
        <v>#DIV/0!</v>
      </c>
      <c r="AO31" s="258">
        <f t="shared" si="24"/>
        <v>0.17000000000099999</v>
      </c>
      <c r="AQ31" s="239">
        <f t="shared" si="8"/>
        <v>0.8200000000000004</v>
      </c>
      <c r="AR31" s="239" t="e">
        <f t="shared" si="9"/>
        <v>#DIV/0!</v>
      </c>
      <c r="AS31" s="239" t="e">
        <f t="shared" si="10"/>
        <v>#DIV/0!</v>
      </c>
      <c r="AT31" s="239">
        <f t="shared" si="11"/>
        <v>0.95012068000000005</v>
      </c>
      <c r="AU31">
        <f t="shared" si="12"/>
        <v>1230</v>
      </c>
    </row>
    <row r="32" spans="1:48">
      <c r="B32" s="1">
        <v>29</v>
      </c>
      <c r="C32" s="1">
        <v>818</v>
      </c>
      <c r="D32" s="1">
        <v>0</v>
      </c>
      <c r="E32" s="1">
        <v>0</v>
      </c>
      <c r="F32" s="1">
        <v>174</v>
      </c>
      <c r="G32" s="1">
        <v>180</v>
      </c>
      <c r="H32" s="1">
        <v>13.36</v>
      </c>
      <c r="I32" s="1">
        <v>0</v>
      </c>
      <c r="J32" s="1">
        <v>0</v>
      </c>
      <c r="K32" s="1">
        <v>3</v>
      </c>
      <c r="L32" s="1">
        <v>3</v>
      </c>
      <c r="M32" s="1">
        <f t="shared" si="26"/>
        <v>61.227544910179645</v>
      </c>
      <c r="N32" s="1" t="e">
        <f t="shared" si="27"/>
        <v>#DIV/0!</v>
      </c>
      <c r="O32" s="274">
        <f t="shared" si="15"/>
        <v>60</v>
      </c>
      <c r="P32" s="1">
        <f t="shared" si="46"/>
        <v>58</v>
      </c>
      <c r="Q32" s="1">
        <f>C32*(0.155555555555555*0.9)</f>
        <v>114.5199999999996</v>
      </c>
      <c r="R32" s="1">
        <f>C32*0.05</f>
        <v>40.900000000000006</v>
      </c>
      <c r="S32" s="1">
        <f>D32*(0.305555555555555*0.9)</f>
        <v>0</v>
      </c>
      <c r="T32" s="1">
        <f>D32*0.05</f>
        <v>0</v>
      </c>
      <c r="U32" s="1">
        <f>E32*(0.28888888888889*0.9)</f>
        <v>0</v>
      </c>
      <c r="V32" s="1">
        <f>E32*0.05</f>
        <v>0</v>
      </c>
      <c r="W32" s="1">
        <f t="shared" si="36"/>
        <v>0</v>
      </c>
      <c r="X32" s="1">
        <f>F32*0.05</f>
        <v>8.7000000000000011</v>
      </c>
      <c r="Y32" s="274">
        <f>G32*(0.198*0.9)</f>
        <v>32.076000000000008</v>
      </c>
      <c r="Z32" s="274">
        <f>G32*0.0498722222222222</f>
        <v>8.9769999999999968</v>
      </c>
      <c r="AA32" s="432">
        <f t="shared" si="17"/>
        <v>662.58000000000038</v>
      </c>
      <c r="AB32" s="432">
        <f t="shared" si="18"/>
        <v>0</v>
      </c>
      <c r="AC32" s="432">
        <f t="shared" si="19"/>
        <v>0</v>
      </c>
      <c r="AD32" s="432">
        <f t="shared" si="20"/>
        <v>165.3</v>
      </c>
      <c r="AE32" s="432">
        <f t="shared" si="4"/>
        <v>138.94699999999997</v>
      </c>
      <c r="AF32" s="43">
        <f t="shared" si="30"/>
        <v>966.82700000000034</v>
      </c>
      <c r="AG32" s="446">
        <f t="shared" si="38"/>
        <v>146.59599999999961</v>
      </c>
      <c r="AH32" s="279">
        <f t="shared" si="31"/>
        <v>58.577000000000005</v>
      </c>
      <c r="AI32" s="1">
        <v>0</v>
      </c>
      <c r="AJ32" s="6">
        <v>0</v>
      </c>
      <c r="AK32" s="45">
        <f t="shared" si="45"/>
        <v>118.19400977995113</v>
      </c>
      <c r="AL32" s="275">
        <f t="shared" si="21"/>
        <v>1172</v>
      </c>
      <c r="AM32" s="258">
        <f t="shared" si="22"/>
        <v>13.999999999999952</v>
      </c>
      <c r="AN32" s="258" t="e">
        <f t="shared" si="23"/>
        <v>#DIV/0!</v>
      </c>
      <c r="AO32" s="258">
        <f t="shared" si="24"/>
        <v>0.17820000000000005</v>
      </c>
      <c r="AQ32" s="239">
        <f t="shared" si="8"/>
        <v>0.8100000000000005</v>
      </c>
      <c r="AR32" s="239" t="e">
        <f t="shared" si="9"/>
        <v>#DIV/0!</v>
      </c>
      <c r="AS32" s="239" t="e">
        <f t="shared" si="10"/>
        <v>#DIV/0!</v>
      </c>
      <c r="AT32" s="239">
        <f t="shared" si="11"/>
        <v>0.95000000000000007</v>
      </c>
      <c r="AU32">
        <f t="shared" si="12"/>
        <v>992</v>
      </c>
    </row>
    <row r="33" spans="1:47">
      <c r="B33" s="1">
        <v>30</v>
      </c>
      <c r="C33" s="1">
        <v>525</v>
      </c>
      <c r="D33" s="1">
        <v>120</v>
      </c>
      <c r="E33" s="1">
        <v>0</v>
      </c>
      <c r="F33" s="1">
        <v>55</v>
      </c>
      <c r="G33" s="1">
        <v>610</v>
      </c>
      <c r="H33" s="1">
        <v>9</v>
      </c>
      <c r="I33" s="1">
        <v>2</v>
      </c>
      <c r="J33" s="1">
        <v>0</v>
      </c>
      <c r="K33" s="1">
        <v>1</v>
      </c>
      <c r="L33" s="1">
        <v>9.5</v>
      </c>
      <c r="M33" s="1">
        <f t="shared" si="26"/>
        <v>58.333333333333336</v>
      </c>
      <c r="N33" s="1">
        <f t="shared" si="27"/>
        <v>60</v>
      </c>
      <c r="O33" s="274">
        <f t="shared" si="15"/>
        <v>64.21052631578948</v>
      </c>
      <c r="P33" s="1">
        <f t="shared" si="46"/>
        <v>55</v>
      </c>
      <c r="Q33" s="15">
        <f>C33*(0.133333333333333*0.9)</f>
        <v>62.999999999999844</v>
      </c>
      <c r="R33" s="436">
        <f>C33*0.05</f>
        <v>26.25</v>
      </c>
      <c r="S33" s="1">
        <f>D33*(0.209*0.9)</f>
        <v>22.571999999999999</v>
      </c>
      <c r="T33" s="1">
        <f>D33*0.05</f>
        <v>6</v>
      </c>
      <c r="U33" s="1">
        <f>E33*(0.21021021021*0.9)</f>
        <v>0</v>
      </c>
      <c r="V33" s="1">
        <f>E33*0.05135135135135</f>
        <v>0</v>
      </c>
      <c r="W33" s="1">
        <f t="shared" si="36"/>
        <v>0</v>
      </c>
      <c r="X33" s="1">
        <f>F33*0.04991818181818</f>
        <v>2.7454999999998999</v>
      </c>
      <c r="Y33" s="274">
        <f>G33*(0.1825956288*0.9)</f>
        <v>100.24500021119999</v>
      </c>
      <c r="Z33" s="274">
        <f>G33*0.04997540989</f>
        <v>30.4850000329</v>
      </c>
      <c r="AA33" s="432">
        <f t="shared" si="17"/>
        <v>435.75000000000017</v>
      </c>
      <c r="AB33" s="432">
        <f t="shared" si="18"/>
        <v>91.427999999999997</v>
      </c>
      <c r="AC33" s="432">
        <f t="shared" si="19"/>
        <v>0</v>
      </c>
      <c r="AD33" s="432">
        <f t="shared" si="20"/>
        <v>52.2545000000001</v>
      </c>
      <c r="AE33" s="432">
        <f t="shared" si="4"/>
        <v>479.26999975589996</v>
      </c>
      <c r="AF33" s="43">
        <f t="shared" si="30"/>
        <v>1058.7024997559001</v>
      </c>
      <c r="AG33" s="446">
        <f t="shared" si="38"/>
        <v>185.81700021119985</v>
      </c>
      <c r="AH33" s="275">
        <f t="shared" si="31"/>
        <v>65.480500032899897</v>
      </c>
      <c r="AI33" s="1">
        <v>0</v>
      </c>
      <c r="AJ33" s="6">
        <v>0</v>
      </c>
      <c r="AK33" s="45">
        <f t="shared" si="45"/>
        <v>164.13992244277523</v>
      </c>
      <c r="AL33" s="275">
        <f t="shared" si="21"/>
        <v>1310</v>
      </c>
      <c r="AM33" s="258">
        <f t="shared" si="22"/>
        <v>11.99999999999997</v>
      </c>
      <c r="AN33" s="258">
        <f t="shared" si="23"/>
        <v>18.809999999999999</v>
      </c>
      <c r="AO33" s="258">
        <f t="shared" si="24"/>
        <v>0.16433606592</v>
      </c>
      <c r="AQ33" s="239">
        <f t="shared" si="8"/>
        <v>0.83000000000000029</v>
      </c>
      <c r="AR33" s="239">
        <f t="shared" si="9"/>
        <v>0.76190000000000002</v>
      </c>
      <c r="AS33" s="239" t="e">
        <f t="shared" si="10"/>
        <v>#DIV/0!</v>
      </c>
      <c r="AT33" s="239">
        <f t="shared" si="11"/>
        <v>0.95008181818182003</v>
      </c>
      <c r="AU33">
        <f t="shared" si="12"/>
        <v>700</v>
      </c>
    </row>
    <row r="34" spans="1:47" s="248" customFormat="1">
      <c r="B34" s="81">
        <v>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249" t="e">
        <f t="shared" si="26"/>
        <v>#DIV/0!</v>
      </c>
      <c r="N34" s="249" t="e">
        <f t="shared" si="27"/>
        <v>#DIV/0!</v>
      </c>
      <c r="O34" s="274" t="e">
        <f t="shared" si="15"/>
        <v>#DIV/0!</v>
      </c>
      <c r="P34" s="249" t="e">
        <f t="shared" si="46"/>
        <v>#DIV/0!</v>
      </c>
      <c r="Q34" s="249">
        <f>C34*(0.188888888888888*0.9)</f>
        <v>0</v>
      </c>
      <c r="R34" s="249">
        <f>C34*0.05</f>
        <v>0</v>
      </c>
      <c r="S34" s="249">
        <f>D34*(0.3096446704*0.9)</f>
        <v>0</v>
      </c>
      <c r="T34" s="249">
        <f>D34*0.05</f>
        <v>0</v>
      </c>
      <c r="U34" s="249">
        <f>E34*(0.222222222222222*0.9)</f>
        <v>0</v>
      </c>
      <c r="V34" s="249">
        <f>E34*0.05</f>
        <v>0</v>
      </c>
      <c r="W34" s="81">
        <f t="shared" si="36"/>
        <v>0</v>
      </c>
      <c r="X34" s="81">
        <f>F34*0.0512096777</f>
        <v>0</v>
      </c>
      <c r="Y34" s="274">
        <f t="shared" si="28"/>
        <v>0</v>
      </c>
      <c r="Z34" s="274">
        <f>G34*0.05</f>
        <v>0</v>
      </c>
      <c r="AA34" s="432">
        <f t="shared" si="17"/>
        <v>0</v>
      </c>
      <c r="AB34" s="432">
        <f t="shared" si="18"/>
        <v>0</v>
      </c>
      <c r="AC34" s="432">
        <f t="shared" si="19"/>
        <v>0</v>
      </c>
      <c r="AD34" s="432">
        <f t="shared" si="20"/>
        <v>0</v>
      </c>
      <c r="AE34" s="432">
        <f t="shared" si="4"/>
        <v>0</v>
      </c>
      <c r="AF34" s="43">
        <f t="shared" si="30"/>
        <v>0</v>
      </c>
      <c r="AG34" s="446">
        <f t="shared" si="38"/>
        <v>0</v>
      </c>
      <c r="AH34" s="275">
        <f t="shared" si="31"/>
        <v>0</v>
      </c>
      <c r="AI34" s="249">
        <v>0</v>
      </c>
      <c r="AJ34" s="250">
        <v>0</v>
      </c>
      <c r="AK34" s="251" t="e">
        <f t="shared" si="45"/>
        <v>#DIV/0!</v>
      </c>
      <c r="AL34" s="275">
        <f t="shared" si="21"/>
        <v>0</v>
      </c>
      <c r="AM34" s="258" t="e">
        <f t="shared" si="22"/>
        <v>#DIV/0!</v>
      </c>
      <c r="AN34" s="258" t="e">
        <f t="shared" si="23"/>
        <v>#DIV/0!</v>
      </c>
      <c r="AO34" s="258" t="e">
        <f t="shared" si="24"/>
        <v>#DIV/0!</v>
      </c>
      <c r="AQ34" s="252" t="e">
        <f t="shared" si="8"/>
        <v>#DIV/0!</v>
      </c>
      <c r="AR34" s="252" t="e">
        <f t="shared" si="9"/>
        <v>#DIV/0!</v>
      </c>
      <c r="AS34" s="252" t="e">
        <f t="shared" si="10"/>
        <v>#DIV/0!</v>
      </c>
      <c r="AT34" s="239" t="e">
        <f t="shared" si="11"/>
        <v>#DIV/0!</v>
      </c>
      <c r="AU34">
        <f t="shared" si="12"/>
        <v>0</v>
      </c>
    </row>
    <row r="35" spans="1:47">
      <c r="B35" s="1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2">
        <v>0</v>
      </c>
      <c r="L35" s="2"/>
      <c r="M35" s="1" t="e">
        <f t="shared" ref="M35:N40" si="47">C35/H35</f>
        <v>#DIV/0!</v>
      </c>
      <c r="N35" s="1" t="e">
        <f t="shared" si="47"/>
        <v>#DIV/0!</v>
      </c>
      <c r="O35" s="274" t="e">
        <f t="shared" si="15"/>
        <v>#DIV/0!</v>
      </c>
      <c r="P35" s="1" t="e">
        <f t="shared" si="46"/>
        <v>#DIV/0!</v>
      </c>
      <c r="Q35" s="1">
        <f t="shared" ref="Q35:Q40" si="48">C35*(0.1*0.9)</f>
        <v>0</v>
      </c>
      <c r="R35" s="1">
        <f t="shared" ref="R35:R40" si="49">C35*0.045</f>
        <v>0</v>
      </c>
      <c r="S35" s="1">
        <f t="shared" ref="S35:S40" si="50">D35*(0.18*0.9)</f>
        <v>0</v>
      </c>
      <c r="T35" s="1">
        <f t="shared" ref="T35:T40" si="51">D35*0.045</f>
        <v>0</v>
      </c>
      <c r="U35" s="1"/>
      <c r="V35" s="1"/>
      <c r="W35" s="1"/>
      <c r="X35" s="1"/>
      <c r="Y35" s="1"/>
      <c r="Z35" s="1"/>
      <c r="AA35" s="289">
        <f t="shared" si="17"/>
        <v>0</v>
      </c>
      <c r="AB35" s="289">
        <f t="shared" si="18"/>
        <v>0</v>
      </c>
      <c r="AC35" s="289">
        <f t="shared" si="19"/>
        <v>0</v>
      </c>
      <c r="AD35" s="289">
        <f t="shared" si="20"/>
        <v>0</v>
      </c>
      <c r="AE35" s="432">
        <f t="shared" si="4"/>
        <v>0</v>
      </c>
      <c r="AF35" s="43">
        <f t="shared" si="30"/>
        <v>0</v>
      </c>
      <c r="AG35" s="1">
        <f t="shared" ref="AG35:AG40" si="52">Q35+S35</f>
        <v>0</v>
      </c>
      <c r="AH35" s="275">
        <f t="shared" si="31"/>
        <v>0</v>
      </c>
      <c r="AI35" s="1">
        <v>0</v>
      </c>
      <c r="AJ35" s="1">
        <v>0</v>
      </c>
      <c r="AK35" s="32" t="e">
        <f t="shared" si="45"/>
        <v>#DIV/0!</v>
      </c>
      <c r="AL35" s="275">
        <f t="shared" si="21"/>
        <v>0</v>
      </c>
      <c r="AM35" t="e">
        <f>(Q35+#REF!)/C35*100</f>
        <v>#REF!</v>
      </c>
      <c r="AU35">
        <f t="shared" si="12"/>
        <v>0</v>
      </c>
    </row>
    <row r="36" spans="1:4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47"/>
        <v>#DIV/0!</v>
      </c>
      <c r="N36" s="1" t="e">
        <f t="shared" si="47"/>
        <v>#DIV/0!</v>
      </c>
      <c r="O36" s="1"/>
      <c r="P36" s="1"/>
      <c r="Q36" s="1">
        <f t="shared" si="48"/>
        <v>0</v>
      </c>
      <c r="R36" s="1">
        <f>C36*0.045</f>
        <v>0</v>
      </c>
      <c r="S36" s="1">
        <f t="shared" si="50"/>
        <v>0</v>
      </c>
      <c r="T36" s="1">
        <f t="shared" si="51"/>
        <v>0</v>
      </c>
      <c r="U36" s="1"/>
      <c r="V36" s="1"/>
      <c r="W36" s="1"/>
      <c r="X36" s="1"/>
      <c r="Y36" s="1"/>
      <c r="Z36" s="1"/>
      <c r="AA36" s="274">
        <f t="shared" si="17"/>
        <v>0</v>
      </c>
      <c r="AB36" s="274">
        <f t="shared" si="18"/>
        <v>0</v>
      </c>
      <c r="AC36" s="1"/>
      <c r="AD36" s="1"/>
      <c r="AE36" s="1"/>
      <c r="AF36" s="246">
        <f t="shared" ref="AF36:AF40" si="53">AA36+AB36+AC36+AD36</f>
        <v>0</v>
      </c>
      <c r="AG36" s="1">
        <f t="shared" si="52"/>
        <v>0</v>
      </c>
      <c r="AH36" s="275">
        <f t="shared" si="31"/>
        <v>0</v>
      </c>
      <c r="AI36" s="1">
        <v>0</v>
      </c>
      <c r="AJ36" s="1">
        <v>0</v>
      </c>
      <c r="AK36" s="32" t="e">
        <f t="shared" si="45"/>
        <v>#DIV/0!</v>
      </c>
      <c r="AL36" s="275">
        <f t="shared" si="21"/>
        <v>0</v>
      </c>
      <c r="AM36" t="e">
        <f>(Q36+#REF!)/C36*100</f>
        <v>#REF!</v>
      </c>
      <c r="AU36">
        <f t="shared" si="12"/>
        <v>0</v>
      </c>
    </row>
    <row r="37" spans="1:4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47"/>
        <v>#DIV/0!</v>
      </c>
      <c r="N37" s="1" t="e">
        <f t="shared" si="47"/>
        <v>#DIV/0!</v>
      </c>
      <c r="O37" s="1"/>
      <c r="P37" s="1"/>
      <c r="Q37" s="1">
        <f t="shared" si="48"/>
        <v>0</v>
      </c>
      <c r="R37" s="1">
        <f t="shared" si="49"/>
        <v>0</v>
      </c>
      <c r="S37" s="1">
        <f t="shared" si="50"/>
        <v>0</v>
      </c>
      <c r="T37" s="1">
        <f t="shared" si="51"/>
        <v>0</v>
      </c>
      <c r="U37" s="1"/>
      <c r="V37" s="1"/>
      <c r="W37" s="1"/>
      <c r="X37" s="1"/>
      <c r="Y37" s="1"/>
      <c r="Z37" s="1"/>
      <c r="AA37" s="274">
        <f t="shared" si="17"/>
        <v>0</v>
      </c>
      <c r="AB37" s="274">
        <f t="shared" si="18"/>
        <v>0</v>
      </c>
      <c r="AC37" s="1"/>
      <c r="AD37" s="1"/>
      <c r="AE37" s="1"/>
      <c r="AF37" s="246">
        <f t="shared" si="53"/>
        <v>0</v>
      </c>
      <c r="AG37" s="1">
        <f t="shared" si="52"/>
        <v>0</v>
      </c>
      <c r="AH37" s="275">
        <f t="shared" si="31"/>
        <v>0</v>
      </c>
      <c r="AI37" s="1">
        <v>0</v>
      </c>
      <c r="AJ37" s="1">
        <v>0</v>
      </c>
      <c r="AK37" s="32" t="e">
        <f t="shared" si="45"/>
        <v>#DIV/0!</v>
      </c>
      <c r="AL37" s="275">
        <f t="shared" si="21"/>
        <v>0</v>
      </c>
      <c r="AM37" t="e">
        <f>(Q37+#REF!)/C37*100</f>
        <v>#REF!</v>
      </c>
    </row>
    <row r="38" spans="1:47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47"/>
        <v>#DIV/0!</v>
      </c>
      <c r="N38" s="1" t="e">
        <f t="shared" si="47"/>
        <v>#DIV/0!</v>
      </c>
      <c r="O38" s="1"/>
      <c r="P38" s="1"/>
      <c r="Q38" s="1">
        <f t="shared" si="48"/>
        <v>0</v>
      </c>
      <c r="R38" s="1">
        <f t="shared" si="49"/>
        <v>0</v>
      </c>
      <c r="S38" s="1">
        <f t="shared" si="50"/>
        <v>0</v>
      </c>
      <c r="T38" s="1">
        <f t="shared" si="51"/>
        <v>0</v>
      </c>
      <c r="U38" s="1"/>
      <c r="V38" s="1"/>
      <c r="W38" s="1"/>
      <c r="X38" s="1"/>
      <c r="Y38" s="1"/>
      <c r="Z38" s="1"/>
      <c r="AA38" s="274">
        <f t="shared" si="17"/>
        <v>0</v>
      </c>
      <c r="AB38" s="274">
        <f t="shared" si="18"/>
        <v>0</v>
      </c>
      <c r="AC38" s="1"/>
      <c r="AD38" s="1"/>
      <c r="AE38" s="1"/>
      <c r="AF38" s="246">
        <f t="shared" si="53"/>
        <v>0</v>
      </c>
      <c r="AG38" s="1">
        <f t="shared" si="52"/>
        <v>0</v>
      </c>
      <c r="AH38" s="275">
        <f t="shared" si="31"/>
        <v>0</v>
      </c>
      <c r="AI38" s="1">
        <v>0</v>
      </c>
      <c r="AJ38" s="1">
        <v>0</v>
      </c>
      <c r="AK38" s="32" t="e">
        <f t="shared" si="45"/>
        <v>#DIV/0!</v>
      </c>
      <c r="AL38" s="1"/>
      <c r="AM38" t="e">
        <f>(Q38+#REF!)/C38*100</f>
        <v>#REF!</v>
      </c>
    </row>
    <row r="39" spans="1:4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47"/>
        <v>#DIV/0!</v>
      </c>
      <c r="N39" s="1" t="e">
        <f t="shared" si="47"/>
        <v>#DIV/0!</v>
      </c>
      <c r="O39" s="1"/>
      <c r="P39" s="1"/>
      <c r="Q39" s="1">
        <f t="shared" si="48"/>
        <v>0</v>
      </c>
      <c r="R39" s="1">
        <f t="shared" si="49"/>
        <v>0</v>
      </c>
      <c r="S39" s="1">
        <f t="shared" si="50"/>
        <v>0</v>
      </c>
      <c r="T39" s="1">
        <f t="shared" si="51"/>
        <v>0</v>
      </c>
      <c r="U39" s="1"/>
      <c r="V39" s="1"/>
      <c r="W39" s="1"/>
      <c r="X39" s="1"/>
      <c r="Y39" s="1"/>
      <c r="Z39" s="1"/>
      <c r="AA39" s="274">
        <f t="shared" si="17"/>
        <v>0</v>
      </c>
      <c r="AB39" s="274">
        <f t="shared" si="18"/>
        <v>0</v>
      </c>
      <c r="AC39" s="1"/>
      <c r="AD39" s="1"/>
      <c r="AE39" s="1"/>
      <c r="AF39" s="246">
        <f t="shared" si="53"/>
        <v>0</v>
      </c>
      <c r="AG39" s="1">
        <f t="shared" si="52"/>
        <v>0</v>
      </c>
      <c r="AH39" s="275">
        <f t="shared" si="31"/>
        <v>0</v>
      </c>
      <c r="AI39" s="1">
        <v>0</v>
      </c>
      <c r="AJ39" s="1"/>
      <c r="AK39" s="32" t="e">
        <f t="shared" si="45"/>
        <v>#DIV/0!</v>
      </c>
      <c r="AL39" s="1"/>
      <c r="AM39" t="e">
        <f>(Q39+#REF!)/C39*100</f>
        <v>#REF!</v>
      </c>
    </row>
    <row r="40" spans="1:4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e">
        <f t="shared" si="47"/>
        <v>#DIV/0!</v>
      </c>
      <c r="N40" s="1" t="e">
        <f t="shared" si="47"/>
        <v>#DIV/0!</v>
      </c>
      <c r="O40" s="1"/>
      <c r="P40" s="1"/>
      <c r="Q40" s="1">
        <f t="shared" si="48"/>
        <v>0</v>
      </c>
      <c r="R40" s="1">
        <f t="shared" si="49"/>
        <v>0</v>
      </c>
      <c r="S40" s="1">
        <f t="shared" si="50"/>
        <v>0</v>
      </c>
      <c r="T40" s="1">
        <f t="shared" si="51"/>
        <v>0</v>
      </c>
      <c r="U40" s="1"/>
      <c r="V40" s="1"/>
      <c r="W40" s="1"/>
      <c r="X40" s="1"/>
      <c r="Y40" s="1"/>
      <c r="Z40" s="1"/>
      <c r="AA40" s="274">
        <f t="shared" si="17"/>
        <v>0</v>
      </c>
      <c r="AB40" s="274">
        <f t="shared" si="18"/>
        <v>0</v>
      </c>
      <c r="AC40" s="1"/>
      <c r="AD40" s="1"/>
      <c r="AE40" s="1"/>
      <c r="AF40" s="246">
        <f t="shared" si="53"/>
        <v>0</v>
      </c>
      <c r="AG40" s="1">
        <f t="shared" si="52"/>
        <v>0</v>
      </c>
      <c r="AH40" s="275">
        <f t="shared" si="31"/>
        <v>0</v>
      </c>
      <c r="AI40" s="1">
        <v>0</v>
      </c>
      <c r="AJ40" s="1"/>
      <c r="AK40" s="32" t="e">
        <f t="shared" si="45"/>
        <v>#DIV/0!</v>
      </c>
      <c r="AL40" s="1"/>
      <c r="AM40" t="e">
        <f>(Q40+#REF!)/C40*100</f>
        <v>#REF!</v>
      </c>
    </row>
    <row r="41" spans="1:47">
      <c r="A41" t="s">
        <v>27</v>
      </c>
      <c r="B41" s="1" t="s">
        <v>9</v>
      </c>
      <c r="C41" s="1">
        <f>SUM(C4:C34)</f>
        <v>27650</v>
      </c>
      <c r="D41" s="1">
        <f t="shared" ref="D41:AU41" si="54">SUM(D4:D34)</f>
        <v>1618</v>
      </c>
      <c r="E41" s="1">
        <f t="shared" si="54"/>
        <v>0</v>
      </c>
      <c r="F41" s="1">
        <f t="shared" si="54"/>
        <v>1851</v>
      </c>
      <c r="G41" s="1"/>
      <c r="H41" s="1">
        <f t="shared" si="54"/>
        <v>472.1</v>
      </c>
      <c r="I41" s="1">
        <f t="shared" si="54"/>
        <v>26.5</v>
      </c>
      <c r="J41" s="1">
        <f t="shared" si="54"/>
        <v>0</v>
      </c>
      <c r="K41" s="1">
        <f>SUM(K4:K35)</f>
        <v>32.769999999999996</v>
      </c>
      <c r="L41" s="1"/>
      <c r="M41" s="1" t="e">
        <f t="shared" si="54"/>
        <v>#DIV/0!</v>
      </c>
      <c r="N41" s="1" t="e">
        <f t="shared" si="54"/>
        <v>#DIV/0!</v>
      </c>
      <c r="O41" s="1" t="e">
        <f t="shared" si="54"/>
        <v>#DIV/0!</v>
      </c>
      <c r="P41" s="1" t="e">
        <f>SUM(P4:P35)</f>
        <v>#DIV/0!</v>
      </c>
      <c r="Q41" s="1">
        <f t="shared" si="54"/>
        <v>4088.9169963578533</v>
      </c>
      <c r="R41" s="1">
        <f t="shared" si="54"/>
        <v>1383.1859980459999</v>
      </c>
      <c r="S41" s="1">
        <f t="shared" si="54"/>
        <v>331.77799975999937</v>
      </c>
      <c r="T41" s="1">
        <f t="shared" si="54"/>
        <v>80.876999999999995</v>
      </c>
      <c r="U41" s="1">
        <f t="shared" si="54"/>
        <v>0</v>
      </c>
      <c r="V41" s="1">
        <f t="shared" si="54"/>
        <v>0</v>
      </c>
      <c r="W41" s="1">
        <f t="shared" si="54"/>
        <v>0</v>
      </c>
      <c r="X41" s="1">
        <f t="shared" si="54"/>
        <v>91.9114905978319</v>
      </c>
      <c r="Y41" s="1"/>
      <c r="Z41" s="1"/>
      <c r="AA41" s="274">
        <f t="shared" si="17"/>
        <v>22177.897005596147</v>
      </c>
      <c r="AB41" s="274">
        <f t="shared" si="18"/>
        <v>1205.3450002400007</v>
      </c>
      <c r="AC41" s="1">
        <f t="shared" si="54"/>
        <v>0</v>
      </c>
      <c r="AD41" s="1">
        <f t="shared" si="54"/>
        <v>1759.088509402168</v>
      </c>
      <c r="AE41" s="1"/>
      <c r="AF41" s="1">
        <f t="shared" si="54"/>
        <v>27702.584515764822</v>
      </c>
      <c r="AG41" s="1">
        <f t="shared" si="54"/>
        <v>5066.8419957784527</v>
      </c>
      <c r="AH41" s="1">
        <f t="shared" si="54"/>
        <v>1724.5734884567319</v>
      </c>
      <c r="AI41" s="1">
        <f t="shared" si="54"/>
        <v>0</v>
      </c>
      <c r="AJ41" s="1">
        <f t="shared" si="54"/>
        <v>0</v>
      </c>
      <c r="AK41" s="1" t="e">
        <f t="shared" si="54"/>
        <v>#DIV/0!</v>
      </c>
      <c r="AL41" s="1">
        <f t="shared" si="54"/>
        <v>34494</v>
      </c>
      <c r="AM41" s="1" t="e">
        <f t="shared" si="54"/>
        <v>#DIV/0!</v>
      </c>
      <c r="AN41" s="1" t="e">
        <f t="shared" si="54"/>
        <v>#DIV/0!</v>
      </c>
      <c r="AO41" s="1" t="e">
        <f t="shared" si="54"/>
        <v>#DIV/0!</v>
      </c>
      <c r="AP41" s="1" t="e">
        <f t="shared" si="54"/>
        <v>#REF!</v>
      </c>
      <c r="AQ41" s="1" t="e">
        <f t="shared" si="54"/>
        <v>#DIV/0!</v>
      </c>
      <c r="AR41" s="1" t="e">
        <f t="shared" si="54"/>
        <v>#DIV/0!</v>
      </c>
      <c r="AS41" s="1" t="e">
        <f t="shared" si="54"/>
        <v>#DIV/0!</v>
      </c>
      <c r="AT41" s="1" t="e">
        <f t="shared" si="54"/>
        <v>#DIV/0!</v>
      </c>
      <c r="AU41" s="1">
        <f t="shared" si="54"/>
        <v>31119</v>
      </c>
    </row>
    <row r="42" spans="1:47">
      <c r="A42" t="s">
        <v>28</v>
      </c>
      <c r="B42" s="1"/>
      <c r="C42" s="1">
        <v>0</v>
      </c>
      <c r="D42" s="1">
        <f>D41+'Daily CEM-1'!D40</f>
        <v>3550</v>
      </c>
      <c r="E42" s="1">
        <f>E41+'Daily CEM-1'!E40</f>
        <v>0</v>
      </c>
      <c r="F42" s="1">
        <f>F41+'Daily CEM-1'!F40</f>
        <v>2036</v>
      </c>
      <c r="G42" s="1"/>
      <c r="H42" s="1">
        <f>H41+'Daily CEM-1'!H40</f>
        <v>1032.73</v>
      </c>
      <c r="I42" s="1">
        <f>I41+'Daily CEM-1'!I40</f>
        <v>54.7</v>
      </c>
      <c r="J42" s="1">
        <f>J41+'Daily CEM-1'!J40</f>
        <v>0</v>
      </c>
      <c r="K42" s="1">
        <f>K41+'Daily CEM-1'!K40</f>
        <v>35.769999999999996</v>
      </c>
      <c r="L42" s="1"/>
      <c r="M42" s="1" t="e">
        <f>M41+'Daily CEM-1'!M40</f>
        <v>#DIV/0!</v>
      </c>
      <c r="N42" s="1" t="e">
        <f>N41+'Daily CEM-1'!N40</f>
        <v>#DIV/0!</v>
      </c>
      <c r="O42" s="1" t="e">
        <f>O41+'Daily CEM-1'!O40</f>
        <v>#DIV/0!</v>
      </c>
      <c r="P42" s="1" t="e">
        <f>P41+'Daily CEM-1'!P40</f>
        <v>#DIV/0!</v>
      </c>
      <c r="Q42" s="1">
        <f>Q41+'Daily CEM-1'!R40</f>
        <v>9585.4724939124826</v>
      </c>
      <c r="R42" s="1">
        <f>R41+'Daily CEM-1'!S40</f>
        <v>3224.7219932839998</v>
      </c>
      <c r="S42" s="1">
        <f>S41+'Daily CEM-1'!T40</f>
        <v>723.00799927340893</v>
      </c>
      <c r="T42" s="1">
        <f>T41+'Daily CEM-1'!U40</f>
        <v>178.08999983360002</v>
      </c>
      <c r="U42" s="1">
        <f>U41+'Daily CEM-1'!V40</f>
        <v>0</v>
      </c>
      <c r="V42" s="1">
        <f>V41+'Daily CEM-1'!W40</f>
        <v>0</v>
      </c>
      <c r="W42" s="1">
        <f>W41+'Daily CEM-1'!X40</f>
        <v>0</v>
      </c>
      <c r="X42" s="1">
        <f>X41+'Daily CEM-1'!Y40</f>
        <v>100.9984905528319</v>
      </c>
      <c r="Y42" s="1"/>
      <c r="Z42" s="1"/>
      <c r="AA42" s="274">
        <f>C42-Q42-R42</f>
        <v>-12810.194487196482</v>
      </c>
      <c r="AB42" s="274">
        <f t="shared" si="18"/>
        <v>2648.9020008929911</v>
      </c>
      <c r="AC42" s="1">
        <f>AC41+'Daily CEM-1'!AD40</f>
        <v>0</v>
      </c>
      <c r="AD42" s="1">
        <f>AD41+'Daily CEM-1'!AE40</f>
        <v>1935.001509447168</v>
      </c>
      <c r="AE42" s="1"/>
      <c r="AF42" s="1">
        <f>AF41+'Daily CEM-1'!AG40</f>
        <v>62014.38302467372</v>
      </c>
      <c r="AG42" s="1">
        <f>AG41+'Daily CEM-1'!AH40</f>
        <v>11918.921492141882</v>
      </c>
      <c r="AH42" s="1">
        <f>AH41+'Daily CEM-1'!AI40</f>
        <v>3898.6954831844018</v>
      </c>
      <c r="AI42" s="1">
        <f>AI41+'Daily CEM-1'!AJ40</f>
        <v>0</v>
      </c>
      <c r="AJ42" s="1">
        <f>AJ41+'Daily CEM-1'!AK40</f>
        <v>0</v>
      </c>
      <c r="AK42" s="1" t="e">
        <f>AK41+'Daily CEM-1'!AL40</f>
        <v>#DIV/0!</v>
      </c>
      <c r="AL42" s="1">
        <f>AL41+'Daily CEM-1'!AM40</f>
        <v>77832</v>
      </c>
      <c r="AM42" s="1" t="e">
        <f>AM41+'Daily CEM-1'!AN40</f>
        <v>#DIV/0!</v>
      </c>
      <c r="AN42" s="1" t="e">
        <f>AN41+'Daily CEM-1'!AO40</f>
        <v>#DIV/0!</v>
      </c>
      <c r="AO42" s="1" t="e">
        <f>AO41+'Daily CEM-1'!AP40</f>
        <v>#DIV/0!</v>
      </c>
      <c r="AP42" s="1" t="e">
        <f>AP41+'Daily CEM-1'!AQ40</f>
        <v>#REF!</v>
      </c>
      <c r="AQ42" s="1" t="e">
        <f>AQ41+'Daily CEM-1'!AR40</f>
        <v>#DIV/0!</v>
      </c>
      <c r="AR42" s="1" t="e">
        <f>AR41+'Daily CEM-1'!AS40</f>
        <v>#DIV/0!</v>
      </c>
      <c r="AS42" s="1" t="e">
        <f>AS41+'Daily CEM-1'!AT40</f>
        <v>#DIV/0!</v>
      </c>
      <c r="AT42" s="1" t="e">
        <f>AT41+'Daily CEM-1'!AU40</f>
        <v>#DIV/0!</v>
      </c>
      <c r="AU42" s="1" t="e">
        <f>AU41+'Daily CEM-1'!AV40</f>
        <v>#DIV/0!</v>
      </c>
    </row>
    <row r="43" spans="1:47">
      <c r="A43" t="s">
        <v>28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t="e">
        <v>#DIV/0!</v>
      </c>
    </row>
    <row r="45" spans="1:47">
      <c r="B45" t="s">
        <v>214</v>
      </c>
      <c r="C45">
        <v>1600</v>
      </c>
      <c r="D45" t="s">
        <v>215</v>
      </c>
      <c r="H45">
        <v>8000</v>
      </c>
      <c r="I45" t="s">
        <v>216</v>
      </c>
    </row>
    <row r="46" spans="1:47">
      <c r="C46">
        <f>Cement!H30*1600/8000</f>
        <v>4.7999999999592549E-2</v>
      </c>
      <c r="D46" t="s">
        <v>217</v>
      </c>
      <c r="H46">
        <v>13500</v>
      </c>
      <c r="I46" t="s">
        <v>216</v>
      </c>
      <c r="AA46">
        <v>63</v>
      </c>
    </row>
    <row r="53" spans="17:19">
      <c r="Q53">
        <f>200/85</f>
        <v>2.3529411764705883</v>
      </c>
      <c r="S53">
        <f>24-2.35</f>
        <v>21.65</v>
      </c>
    </row>
  </sheetData>
  <mergeCells count="2">
    <mergeCell ref="C2:E2"/>
    <mergeCell ref="H2:J2"/>
  </mergeCells>
  <pageMargins left="0.7" right="0.7" top="0.75" bottom="0.75" header="0.3" footer="0.3"/>
  <pageSetup paperSize="9" scale="4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O36"/>
  <sheetViews>
    <sheetView topLeftCell="V2" zoomScale="60" zoomScaleNormal="60" workbookViewId="0">
      <selection activeCell="AK29" sqref="AK29"/>
    </sheetView>
  </sheetViews>
  <sheetFormatPr defaultRowHeight="15"/>
  <cols>
    <col min="3" max="3" width="23.42578125" customWidth="1"/>
    <col min="6" max="6" width="20.42578125" bestFit="1" customWidth="1"/>
    <col min="14" max="14" width="30.85546875" customWidth="1"/>
    <col min="17" max="17" width="31.7109375" customWidth="1"/>
    <col min="18" max="18" width="11.7109375" customWidth="1"/>
    <col min="25" max="25" width="32.7109375" customWidth="1"/>
    <col min="28" max="28" width="38.140625" customWidth="1"/>
    <col min="33" max="33" width="32.7109375" customWidth="1"/>
    <col min="36" max="36" width="38.140625" customWidth="1"/>
    <col min="40" max="40" width="6.85546875" bestFit="1" customWidth="1"/>
    <col min="41" max="41" width="35.140625" bestFit="1" customWidth="1"/>
  </cols>
  <sheetData>
    <row r="1" spans="1:41" ht="29.25" thickBot="1">
      <c r="A1" s="625" t="s">
        <v>226</v>
      </c>
      <c r="B1" s="625"/>
      <c r="C1" s="625"/>
      <c r="E1" s="624" t="s">
        <v>16</v>
      </c>
      <c r="F1" s="624"/>
      <c r="G1" s="624"/>
      <c r="L1" s="625" t="s">
        <v>226</v>
      </c>
      <c r="M1" s="625"/>
      <c r="N1" s="625"/>
      <c r="P1" s="624" t="s">
        <v>16</v>
      </c>
      <c r="Q1" s="624"/>
      <c r="R1" s="624"/>
      <c r="W1" s="625" t="s">
        <v>226</v>
      </c>
      <c r="X1" s="625"/>
      <c r="Y1" s="625"/>
      <c r="AA1" s="624" t="s">
        <v>16</v>
      </c>
      <c r="AB1" s="624"/>
      <c r="AC1" s="624"/>
      <c r="AE1" s="625" t="s">
        <v>226</v>
      </c>
      <c r="AF1" s="625"/>
      <c r="AG1" s="625"/>
      <c r="AI1" s="624" t="s">
        <v>16</v>
      </c>
      <c r="AJ1" s="624"/>
      <c r="AK1" s="624"/>
      <c r="AN1" s="624" t="s">
        <v>16</v>
      </c>
      <c r="AO1" s="624"/>
    </row>
    <row r="2" spans="1:41">
      <c r="A2" s="54" t="s">
        <v>10</v>
      </c>
      <c r="B2" s="55" t="s">
        <v>227</v>
      </c>
      <c r="C2" s="56" t="s">
        <v>228</v>
      </c>
      <c r="E2" s="18" t="s">
        <v>10</v>
      </c>
      <c r="F2" s="58" t="s">
        <v>229</v>
      </c>
      <c r="G2" s="59" t="s">
        <v>230</v>
      </c>
      <c r="L2" s="54" t="s">
        <v>10</v>
      </c>
      <c r="M2" s="55" t="s">
        <v>227</v>
      </c>
      <c r="N2" s="56" t="s">
        <v>231</v>
      </c>
      <c r="P2" s="18" t="s">
        <v>10</v>
      </c>
      <c r="Q2" s="58" t="s">
        <v>232</v>
      </c>
      <c r="R2" s="59" t="s">
        <v>230</v>
      </c>
      <c r="W2" s="54" t="s">
        <v>10</v>
      </c>
      <c r="X2" s="55" t="s">
        <v>227</v>
      </c>
      <c r="Y2" s="56" t="s">
        <v>233</v>
      </c>
      <c r="AA2" s="18" t="s">
        <v>10</v>
      </c>
      <c r="AB2" s="58" t="s">
        <v>234</v>
      </c>
      <c r="AC2" s="59" t="s">
        <v>230</v>
      </c>
      <c r="AE2" s="54" t="s">
        <v>10</v>
      </c>
      <c r="AF2" s="55" t="s">
        <v>227</v>
      </c>
      <c r="AG2" s="56" t="s">
        <v>235</v>
      </c>
      <c r="AI2" s="18" t="s">
        <v>10</v>
      </c>
      <c r="AJ2" s="58" t="s">
        <v>236</v>
      </c>
      <c r="AK2" s="59" t="s">
        <v>230</v>
      </c>
      <c r="AN2" s="18" t="s">
        <v>10</v>
      </c>
      <c r="AO2" s="58" t="s">
        <v>237</v>
      </c>
    </row>
    <row r="3" spans="1:41">
      <c r="A3" s="1">
        <v>1</v>
      </c>
      <c r="B3" s="1">
        <v>0</v>
      </c>
      <c r="C3" s="1">
        <v>0</v>
      </c>
      <c r="E3" s="1">
        <v>1</v>
      </c>
      <c r="F3" s="1">
        <v>0</v>
      </c>
      <c r="G3" s="1">
        <f>B3+C3-F3</f>
        <v>0</v>
      </c>
      <c r="L3" s="1">
        <v>1</v>
      </c>
      <c r="M3" s="1">
        <v>0</v>
      </c>
      <c r="N3" s="1">
        <v>0</v>
      </c>
      <c r="P3" s="1">
        <v>1</v>
      </c>
      <c r="Q3" s="1">
        <v>0</v>
      </c>
      <c r="R3" s="1">
        <f>M3+N3-Q3</f>
        <v>0</v>
      </c>
      <c r="W3" s="1">
        <v>1</v>
      </c>
      <c r="X3" s="1">
        <v>0</v>
      </c>
      <c r="Y3" s="1">
        <v>0</v>
      </c>
      <c r="AA3" s="1">
        <v>1</v>
      </c>
      <c r="AB3" s="1">
        <v>0</v>
      </c>
      <c r="AC3" s="1">
        <f>X3+Y3-AB3</f>
        <v>0</v>
      </c>
      <c r="AE3" s="1">
        <v>1</v>
      </c>
      <c r="AF3" s="1">
        <v>0</v>
      </c>
      <c r="AG3" s="1">
        <v>0</v>
      </c>
      <c r="AI3" s="1">
        <v>1</v>
      </c>
      <c r="AJ3" s="1">
        <v>0</v>
      </c>
      <c r="AK3" s="1">
        <f>AF3+AG3-AJ3</f>
        <v>0</v>
      </c>
      <c r="AN3" s="1">
        <v>1</v>
      </c>
      <c r="AO3" s="1">
        <v>0</v>
      </c>
    </row>
    <row r="4" spans="1:41">
      <c r="A4" s="1">
        <v>2</v>
      </c>
      <c r="B4" s="1">
        <f>G3</f>
        <v>0</v>
      </c>
      <c r="C4" s="1">
        <v>0</v>
      </c>
      <c r="E4" s="1">
        <v>2</v>
      </c>
      <c r="F4" s="1">
        <v>0</v>
      </c>
      <c r="G4" s="1">
        <f t="shared" ref="G4:G33" si="0">B4+C4-F4</f>
        <v>0</v>
      </c>
      <c r="L4" s="1">
        <v>2</v>
      </c>
      <c r="M4" s="1">
        <f>R3</f>
        <v>0</v>
      </c>
      <c r="N4" s="1">
        <v>0</v>
      </c>
      <c r="P4" s="1">
        <v>2</v>
      </c>
      <c r="Q4" s="1">
        <v>0</v>
      </c>
      <c r="R4" s="1">
        <f t="shared" ref="R4:R33" si="1">M4+N4-Q4</f>
        <v>0</v>
      </c>
      <c r="W4" s="1">
        <v>2</v>
      </c>
      <c r="X4" s="1">
        <f>AC3</f>
        <v>0</v>
      </c>
      <c r="Y4" s="1">
        <v>0</v>
      </c>
      <c r="AA4" s="1">
        <v>2</v>
      </c>
      <c r="AB4" s="1">
        <v>0</v>
      </c>
      <c r="AC4" s="1">
        <f t="shared" ref="AC4:AC33" si="2">X4+Y4-AB4</f>
        <v>0</v>
      </c>
      <c r="AE4" s="1">
        <v>2</v>
      </c>
      <c r="AF4" s="1">
        <f>AK3</f>
        <v>0</v>
      </c>
      <c r="AG4" s="1">
        <v>0</v>
      </c>
      <c r="AI4" s="1">
        <v>2</v>
      </c>
      <c r="AJ4" s="1">
        <v>0</v>
      </c>
      <c r="AK4" s="1">
        <f t="shared" ref="AK4:AK33" si="3">AF4+AG4-AJ4</f>
        <v>0</v>
      </c>
      <c r="AN4" s="1">
        <v>2</v>
      </c>
      <c r="AO4" s="1">
        <v>0</v>
      </c>
    </row>
    <row r="5" spans="1:41">
      <c r="A5" s="1">
        <v>3</v>
      </c>
      <c r="B5" s="1">
        <f>G4</f>
        <v>0</v>
      </c>
      <c r="C5" s="1">
        <v>0</v>
      </c>
      <c r="E5" s="1">
        <v>3</v>
      </c>
      <c r="F5" s="1">
        <v>0</v>
      </c>
      <c r="G5" s="1">
        <f t="shared" si="0"/>
        <v>0</v>
      </c>
      <c r="L5" s="1">
        <v>3</v>
      </c>
      <c r="M5" s="1">
        <f>R4</f>
        <v>0</v>
      </c>
      <c r="N5" s="1">
        <v>0</v>
      </c>
      <c r="P5" s="1">
        <v>3</v>
      </c>
      <c r="Q5" s="1">
        <v>0</v>
      </c>
      <c r="R5" s="1">
        <f t="shared" si="1"/>
        <v>0</v>
      </c>
      <c r="W5" s="1">
        <v>3</v>
      </c>
      <c r="X5" s="1">
        <f>AC4</f>
        <v>0</v>
      </c>
      <c r="Y5" s="1">
        <v>0</v>
      </c>
      <c r="AA5" s="1">
        <v>3</v>
      </c>
      <c r="AB5" s="1">
        <v>0</v>
      </c>
      <c r="AC5" s="1">
        <f t="shared" si="2"/>
        <v>0</v>
      </c>
      <c r="AE5" s="1">
        <v>3</v>
      </c>
      <c r="AF5" s="1">
        <f>AK4</f>
        <v>0</v>
      </c>
      <c r="AG5" s="1">
        <v>0</v>
      </c>
      <c r="AI5" s="1">
        <v>3</v>
      </c>
      <c r="AJ5" s="1">
        <v>0</v>
      </c>
      <c r="AK5" s="1">
        <f t="shared" si="3"/>
        <v>0</v>
      </c>
      <c r="AN5" s="1">
        <v>3</v>
      </c>
      <c r="AO5" s="1">
        <v>0</v>
      </c>
    </row>
    <row r="6" spans="1:41">
      <c r="A6" s="1">
        <v>4</v>
      </c>
      <c r="B6" s="1">
        <v>0</v>
      </c>
      <c r="C6" s="1">
        <v>0</v>
      </c>
      <c r="E6" s="1">
        <v>4</v>
      </c>
      <c r="F6" s="1">
        <v>0</v>
      </c>
      <c r="G6" s="1">
        <f t="shared" si="0"/>
        <v>0</v>
      </c>
      <c r="L6" s="1">
        <v>4</v>
      </c>
      <c r="M6" s="1">
        <v>0</v>
      </c>
      <c r="N6" s="1">
        <v>0</v>
      </c>
      <c r="P6" s="1">
        <v>4</v>
      </c>
      <c r="Q6" s="1">
        <v>0</v>
      </c>
      <c r="R6" s="1">
        <f t="shared" si="1"/>
        <v>0</v>
      </c>
      <c r="W6" s="1">
        <v>4</v>
      </c>
      <c r="X6" s="1">
        <v>0</v>
      </c>
      <c r="Y6" s="1">
        <v>0</v>
      </c>
      <c r="AA6" s="1">
        <v>4</v>
      </c>
      <c r="AB6" s="1">
        <v>0</v>
      </c>
      <c r="AC6" s="1">
        <f t="shared" si="2"/>
        <v>0</v>
      </c>
      <c r="AE6" s="1">
        <v>4</v>
      </c>
      <c r="AF6" s="1">
        <v>0</v>
      </c>
      <c r="AG6" s="1">
        <v>0</v>
      </c>
      <c r="AI6" s="1">
        <v>4</v>
      </c>
      <c r="AJ6" s="1">
        <v>0</v>
      </c>
      <c r="AK6" s="1">
        <f t="shared" si="3"/>
        <v>0</v>
      </c>
      <c r="AN6" s="1">
        <v>4</v>
      </c>
      <c r="AO6" s="1">
        <v>0</v>
      </c>
    </row>
    <row r="7" spans="1:41">
      <c r="A7" s="1">
        <v>5</v>
      </c>
      <c r="B7" s="1">
        <f>G6</f>
        <v>0</v>
      </c>
      <c r="C7" s="1">
        <v>0</v>
      </c>
      <c r="E7" s="1">
        <v>5</v>
      </c>
      <c r="F7" s="1">
        <v>0</v>
      </c>
      <c r="G7" s="1">
        <f t="shared" si="0"/>
        <v>0</v>
      </c>
      <c r="L7" s="1">
        <v>5</v>
      </c>
      <c r="M7" s="1">
        <f>R6</f>
        <v>0</v>
      </c>
      <c r="N7" s="1">
        <v>0</v>
      </c>
      <c r="P7" s="1">
        <v>5</v>
      </c>
      <c r="Q7" s="1">
        <v>0</v>
      </c>
      <c r="R7" s="1">
        <f t="shared" si="1"/>
        <v>0</v>
      </c>
      <c r="W7" s="1">
        <v>5</v>
      </c>
      <c r="X7" s="1">
        <f>AC6</f>
        <v>0</v>
      </c>
      <c r="Y7" s="1">
        <v>0</v>
      </c>
      <c r="AA7" s="1">
        <v>5</v>
      </c>
      <c r="AB7" s="1">
        <v>0</v>
      </c>
      <c r="AC7" s="1">
        <f t="shared" si="2"/>
        <v>0</v>
      </c>
      <c r="AE7" s="1">
        <v>5</v>
      </c>
      <c r="AF7" s="1">
        <f>AK6</f>
        <v>0</v>
      </c>
      <c r="AG7" s="1">
        <v>0</v>
      </c>
      <c r="AI7" s="1">
        <v>5</v>
      </c>
      <c r="AJ7" s="1">
        <v>0</v>
      </c>
      <c r="AK7" s="1">
        <f t="shared" si="3"/>
        <v>0</v>
      </c>
      <c r="AN7" s="1">
        <v>5</v>
      </c>
      <c r="AO7" s="1">
        <v>0</v>
      </c>
    </row>
    <row r="8" spans="1:41">
      <c r="A8" s="1">
        <v>6</v>
      </c>
      <c r="B8" s="1">
        <f>G7</f>
        <v>0</v>
      </c>
      <c r="C8" s="1">
        <v>0</v>
      </c>
      <c r="E8" s="1">
        <v>6</v>
      </c>
      <c r="F8" s="1">
        <v>0</v>
      </c>
      <c r="G8" s="1">
        <f t="shared" si="0"/>
        <v>0</v>
      </c>
      <c r="L8" s="1">
        <v>6</v>
      </c>
      <c r="M8" s="1">
        <f>R7</f>
        <v>0</v>
      </c>
      <c r="N8" s="1">
        <v>0</v>
      </c>
      <c r="P8" s="1">
        <v>6</v>
      </c>
      <c r="Q8" s="1">
        <v>0</v>
      </c>
      <c r="R8" s="1">
        <f t="shared" si="1"/>
        <v>0</v>
      </c>
      <c r="W8" s="1">
        <v>6</v>
      </c>
      <c r="X8" s="1">
        <f>AC7</f>
        <v>0</v>
      </c>
      <c r="Y8" s="1">
        <v>0</v>
      </c>
      <c r="AA8" s="1">
        <v>6</v>
      </c>
      <c r="AB8" s="1">
        <v>0</v>
      </c>
      <c r="AC8" s="1">
        <f t="shared" si="2"/>
        <v>0</v>
      </c>
      <c r="AE8" s="1">
        <v>6</v>
      </c>
      <c r="AF8" s="1">
        <f>AK7</f>
        <v>0</v>
      </c>
      <c r="AG8" s="1">
        <v>0</v>
      </c>
      <c r="AI8" s="1">
        <v>6</v>
      </c>
      <c r="AJ8" s="1">
        <v>0</v>
      </c>
      <c r="AK8" s="1">
        <f t="shared" si="3"/>
        <v>0</v>
      </c>
      <c r="AN8" s="1">
        <v>6</v>
      </c>
      <c r="AO8" s="1">
        <v>0</v>
      </c>
    </row>
    <row r="9" spans="1:41">
      <c r="A9" s="1">
        <v>7</v>
      </c>
      <c r="B9" s="1">
        <v>0</v>
      </c>
      <c r="C9" s="1">
        <v>0</v>
      </c>
      <c r="E9" s="1">
        <v>7</v>
      </c>
      <c r="F9" s="1">
        <v>0</v>
      </c>
      <c r="G9" s="1">
        <f t="shared" si="0"/>
        <v>0</v>
      </c>
      <c r="L9" s="1">
        <v>7</v>
      </c>
      <c r="M9" s="1">
        <v>0</v>
      </c>
      <c r="N9" s="1">
        <v>0</v>
      </c>
      <c r="P9" s="1">
        <v>7</v>
      </c>
      <c r="Q9" s="1">
        <v>0</v>
      </c>
      <c r="R9" s="1">
        <f t="shared" si="1"/>
        <v>0</v>
      </c>
      <c r="W9" s="1">
        <v>7</v>
      </c>
      <c r="X9" s="1">
        <v>0</v>
      </c>
      <c r="Y9" s="1">
        <v>0</v>
      </c>
      <c r="AA9" s="1">
        <v>7</v>
      </c>
      <c r="AB9" s="1">
        <v>0</v>
      </c>
      <c r="AC9" s="1">
        <f t="shared" si="2"/>
        <v>0</v>
      </c>
      <c r="AE9" s="1">
        <v>7</v>
      </c>
      <c r="AF9" s="1">
        <v>0</v>
      </c>
      <c r="AG9" s="1">
        <v>0</v>
      </c>
      <c r="AI9" s="1">
        <v>7</v>
      </c>
      <c r="AJ9" s="1">
        <v>0</v>
      </c>
      <c r="AK9" s="1">
        <f t="shared" si="3"/>
        <v>0</v>
      </c>
      <c r="AN9" s="1">
        <v>7</v>
      </c>
      <c r="AO9" s="1">
        <v>0</v>
      </c>
    </row>
    <row r="10" spans="1:41">
      <c r="A10" s="1">
        <v>8</v>
      </c>
      <c r="B10" s="1">
        <f>G9</f>
        <v>0</v>
      </c>
      <c r="C10" s="1">
        <v>0</v>
      </c>
      <c r="E10" s="1">
        <v>8</v>
      </c>
      <c r="F10" s="1">
        <v>0</v>
      </c>
      <c r="G10" s="1">
        <f t="shared" si="0"/>
        <v>0</v>
      </c>
      <c r="L10" s="1">
        <v>8</v>
      </c>
      <c r="M10" s="1">
        <f>R9</f>
        <v>0</v>
      </c>
      <c r="N10" s="1">
        <v>0</v>
      </c>
      <c r="P10" s="1">
        <v>8</v>
      </c>
      <c r="Q10" s="1">
        <v>0</v>
      </c>
      <c r="R10" s="1">
        <f t="shared" si="1"/>
        <v>0</v>
      </c>
      <c r="W10" s="1">
        <v>8</v>
      </c>
      <c r="X10" s="1">
        <f>AC9</f>
        <v>0</v>
      </c>
      <c r="Y10" s="1">
        <v>0</v>
      </c>
      <c r="AA10" s="1">
        <v>8</v>
      </c>
      <c r="AB10" s="1">
        <v>0</v>
      </c>
      <c r="AC10" s="1">
        <f t="shared" si="2"/>
        <v>0</v>
      </c>
      <c r="AE10" s="1">
        <v>8</v>
      </c>
      <c r="AF10" s="1">
        <f>AK9</f>
        <v>0</v>
      </c>
      <c r="AG10" s="1">
        <v>0</v>
      </c>
      <c r="AI10" s="1">
        <v>8</v>
      </c>
      <c r="AJ10" s="1">
        <v>0</v>
      </c>
      <c r="AK10" s="1">
        <f t="shared" si="3"/>
        <v>0</v>
      </c>
      <c r="AN10" s="1">
        <v>8</v>
      </c>
      <c r="AO10" s="1">
        <v>0</v>
      </c>
    </row>
    <row r="11" spans="1:41">
      <c r="A11" s="1">
        <v>9</v>
      </c>
      <c r="B11" s="1">
        <f>G10</f>
        <v>0</v>
      </c>
      <c r="C11" s="1">
        <v>0</v>
      </c>
      <c r="E11" s="1">
        <v>9</v>
      </c>
      <c r="F11" s="1">
        <v>0</v>
      </c>
      <c r="G11" s="1">
        <f t="shared" si="0"/>
        <v>0</v>
      </c>
      <c r="L11" s="1">
        <v>9</v>
      </c>
      <c r="M11" s="1">
        <f>R10</f>
        <v>0</v>
      </c>
      <c r="N11" s="1">
        <v>0</v>
      </c>
      <c r="P11" s="1">
        <v>9</v>
      </c>
      <c r="Q11" s="1">
        <v>0</v>
      </c>
      <c r="R11" s="1">
        <f t="shared" si="1"/>
        <v>0</v>
      </c>
      <c r="W11" s="1">
        <v>9</v>
      </c>
      <c r="X11" s="1">
        <f>AC10</f>
        <v>0</v>
      </c>
      <c r="Y11" s="1">
        <v>0</v>
      </c>
      <c r="AA11" s="1">
        <v>9</v>
      </c>
      <c r="AB11" s="1">
        <v>0</v>
      </c>
      <c r="AC11" s="1">
        <f t="shared" si="2"/>
        <v>0</v>
      </c>
      <c r="AE11" s="1">
        <v>9</v>
      </c>
      <c r="AF11" s="1">
        <f>AK10</f>
        <v>0</v>
      </c>
      <c r="AG11" s="1">
        <v>0</v>
      </c>
      <c r="AI11" s="1">
        <v>9</v>
      </c>
      <c r="AJ11" s="1">
        <v>0</v>
      </c>
      <c r="AK11" s="1">
        <f t="shared" si="3"/>
        <v>0</v>
      </c>
      <c r="AN11" s="1">
        <v>9</v>
      </c>
      <c r="AO11" s="1">
        <v>0</v>
      </c>
    </row>
    <row r="12" spans="1:41">
      <c r="A12" s="1">
        <v>10</v>
      </c>
      <c r="B12" s="1">
        <v>0</v>
      </c>
      <c r="C12" s="1">
        <v>0</v>
      </c>
      <c r="E12" s="1">
        <v>10</v>
      </c>
      <c r="F12" s="1">
        <v>0</v>
      </c>
      <c r="G12" s="1">
        <f t="shared" si="0"/>
        <v>0</v>
      </c>
      <c r="L12" s="1">
        <v>10</v>
      </c>
      <c r="M12" s="1">
        <v>0</v>
      </c>
      <c r="N12" s="1">
        <v>0</v>
      </c>
      <c r="P12" s="1">
        <v>10</v>
      </c>
      <c r="Q12" s="1">
        <v>0</v>
      </c>
      <c r="R12" s="1">
        <f t="shared" si="1"/>
        <v>0</v>
      </c>
      <c r="W12" s="1">
        <v>10</v>
      </c>
      <c r="X12" s="1">
        <v>0</v>
      </c>
      <c r="Y12" s="1">
        <v>0</v>
      </c>
      <c r="AA12" s="1">
        <v>10</v>
      </c>
      <c r="AB12" s="1">
        <v>0</v>
      </c>
      <c r="AC12" s="1">
        <f t="shared" si="2"/>
        <v>0</v>
      </c>
      <c r="AE12" s="1">
        <v>10</v>
      </c>
      <c r="AF12" s="1">
        <v>0</v>
      </c>
      <c r="AG12" s="1">
        <v>0</v>
      </c>
      <c r="AI12" s="1">
        <v>10</v>
      </c>
      <c r="AJ12" s="1">
        <v>0</v>
      </c>
      <c r="AK12" s="1">
        <f t="shared" si="3"/>
        <v>0</v>
      </c>
      <c r="AN12" s="1">
        <v>10</v>
      </c>
      <c r="AO12" s="1">
        <v>0</v>
      </c>
    </row>
    <row r="13" spans="1:41">
      <c r="A13" s="1">
        <v>11</v>
      </c>
      <c r="B13" s="1">
        <f>G12</f>
        <v>0</v>
      </c>
      <c r="C13" s="1">
        <v>0</v>
      </c>
      <c r="E13" s="1">
        <v>11</v>
      </c>
      <c r="F13" s="1">
        <v>0</v>
      </c>
      <c r="G13" s="1">
        <f t="shared" si="0"/>
        <v>0</v>
      </c>
      <c r="L13" s="1">
        <v>11</v>
      </c>
      <c r="M13" s="1">
        <f>R12</f>
        <v>0</v>
      </c>
      <c r="N13" s="1">
        <v>0</v>
      </c>
      <c r="P13" s="1">
        <v>11</v>
      </c>
      <c r="Q13" s="1">
        <v>0</v>
      </c>
      <c r="R13" s="1">
        <f t="shared" si="1"/>
        <v>0</v>
      </c>
      <c r="W13" s="1">
        <v>11</v>
      </c>
      <c r="X13" s="1">
        <f>AC12</f>
        <v>0</v>
      </c>
      <c r="Y13" s="1">
        <v>0</v>
      </c>
      <c r="AA13" s="1">
        <v>11</v>
      </c>
      <c r="AB13" s="1">
        <v>0</v>
      </c>
      <c r="AC13" s="1">
        <f t="shared" si="2"/>
        <v>0</v>
      </c>
      <c r="AE13" s="1">
        <v>11</v>
      </c>
      <c r="AF13" s="1">
        <f>AK12</f>
        <v>0</v>
      </c>
      <c r="AG13" s="1">
        <v>0</v>
      </c>
      <c r="AI13" s="1">
        <v>11</v>
      </c>
      <c r="AJ13" s="1">
        <v>0</v>
      </c>
      <c r="AK13" s="1">
        <f t="shared" si="3"/>
        <v>0</v>
      </c>
      <c r="AN13" s="1">
        <v>11</v>
      </c>
      <c r="AO13" s="1">
        <v>0</v>
      </c>
    </row>
    <row r="14" spans="1:41">
      <c r="A14" s="1">
        <v>12</v>
      </c>
      <c r="B14" s="1">
        <f>G13</f>
        <v>0</v>
      </c>
      <c r="C14" s="1">
        <v>0</v>
      </c>
      <c r="E14" s="1">
        <v>12</v>
      </c>
      <c r="F14" s="1">
        <v>0</v>
      </c>
      <c r="G14" s="1">
        <f t="shared" si="0"/>
        <v>0</v>
      </c>
      <c r="L14" s="1">
        <v>12</v>
      </c>
      <c r="M14" s="1">
        <f>R13</f>
        <v>0</v>
      </c>
      <c r="N14" s="1">
        <v>0</v>
      </c>
      <c r="P14" s="1">
        <v>12</v>
      </c>
      <c r="Q14" s="1">
        <v>0</v>
      </c>
      <c r="R14" s="1">
        <f t="shared" si="1"/>
        <v>0</v>
      </c>
      <c r="W14" s="1">
        <v>12</v>
      </c>
      <c r="X14" s="1">
        <f>AC13</f>
        <v>0</v>
      </c>
      <c r="Y14" s="1">
        <v>0</v>
      </c>
      <c r="AA14" s="1">
        <v>12</v>
      </c>
      <c r="AB14" s="1">
        <v>0</v>
      </c>
      <c r="AC14" s="1">
        <f t="shared" si="2"/>
        <v>0</v>
      </c>
      <c r="AE14" s="1">
        <v>12</v>
      </c>
      <c r="AF14" s="1">
        <f>AK13</f>
        <v>0</v>
      </c>
      <c r="AG14" s="1">
        <v>0.1</v>
      </c>
      <c r="AI14" s="1">
        <v>12</v>
      </c>
      <c r="AJ14" s="1">
        <v>0.1</v>
      </c>
      <c r="AK14" s="1">
        <f t="shared" si="3"/>
        <v>0</v>
      </c>
      <c r="AN14" s="1">
        <v>12</v>
      </c>
      <c r="AO14" s="1">
        <v>0</v>
      </c>
    </row>
    <row r="15" spans="1:41">
      <c r="A15" s="1">
        <v>13</v>
      </c>
      <c r="B15" s="1">
        <v>0</v>
      </c>
      <c r="C15" s="1">
        <v>0</v>
      </c>
      <c r="E15" s="1">
        <v>13</v>
      </c>
      <c r="F15" s="1">
        <v>0</v>
      </c>
      <c r="G15" s="1">
        <f t="shared" si="0"/>
        <v>0</v>
      </c>
      <c r="L15" s="1">
        <v>13</v>
      </c>
      <c r="M15" s="1">
        <v>0</v>
      </c>
      <c r="N15" s="1">
        <v>0</v>
      </c>
      <c r="P15" s="1">
        <v>13</v>
      </c>
      <c r="Q15" s="1">
        <v>0</v>
      </c>
      <c r="R15" s="1">
        <f t="shared" si="1"/>
        <v>0</v>
      </c>
      <c r="W15" s="1">
        <v>13</v>
      </c>
      <c r="X15" s="1">
        <v>0</v>
      </c>
      <c r="Y15" s="1">
        <v>0</v>
      </c>
      <c r="AA15" s="1">
        <v>13</v>
      </c>
      <c r="AB15" s="1">
        <v>0</v>
      </c>
      <c r="AC15" s="1">
        <f t="shared" si="2"/>
        <v>0</v>
      </c>
      <c r="AE15" s="1">
        <v>13</v>
      </c>
      <c r="AF15" s="1">
        <v>0</v>
      </c>
      <c r="AG15" s="1">
        <v>0</v>
      </c>
      <c r="AI15" s="1">
        <v>13</v>
      </c>
      <c r="AJ15" s="1">
        <v>0</v>
      </c>
      <c r="AK15" s="1">
        <f t="shared" si="3"/>
        <v>0</v>
      </c>
      <c r="AN15" s="1">
        <v>13</v>
      </c>
      <c r="AO15" s="1">
        <v>0</v>
      </c>
    </row>
    <row r="16" spans="1:41">
      <c r="A16" s="1">
        <v>14</v>
      </c>
      <c r="B16" s="1">
        <f>G15</f>
        <v>0</v>
      </c>
      <c r="C16" s="1">
        <v>0</v>
      </c>
      <c r="E16" s="1">
        <v>14</v>
      </c>
      <c r="F16" s="1">
        <v>0</v>
      </c>
      <c r="G16" s="1">
        <f t="shared" si="0"/>
        <v>0</v>
      </c>
      <c r="L16" s="1">
        <v>14</v>
      </c>
      <c r="M16" s="1">
        <f>R15</f>
        <v>0</v>
      </c>
      <c r="N16" s="1">
        <v>0</v>
      </c>
      <c r="P16" s="1">
        <v>14</v>
      </c>
      <c r="Q16" s="1">
        <v>0</v>
      </c>
      <c r="R16" s="1">
        <f t="shared" si="1"/>
        <v>0</v>
      </c>
      <c r="W16" s="1">
        <v>14</v>
      </c>
      <c r="X16" s="1">
        <f>AC15</f>
        <v>0</v>
      </c>
      <c r="Y16" s="1">
        <v>0</v>
      </c>
      <c r="AA16" s="1">
        <v>14</v>
      </c>
      <c r="AB16" s="1">
        <v>0</v>
      </c>
      <c r="AC16" s="1">
        <f t="shared" si="2"/>
        <v>0</v>
      </c>
      <c r="AE16" s="1">
        <v>14</v>
      </c>
      <c r="AF16" s="1">
        <f>AK15</f>
        <v>0</v>
      </c>
      <c r="AG16" s="1">
        <v>0</v>
      </c>
      <c r="AI16" s="1">
        <v>14</v>
      </c>
      <c r="AJ16" s="1">
        <v>0</v>
      </c>
      <c r="AK16" s="1">
        <f t="shared" si="3"/>
        <v>0</v>
      </c>
      <c r="AN16" s="1">
        <v>14</v>
      </c>
      <c r="AO16" s="1">
        <v>0</v>
      </c>
    </row>
    <row r="17" spans="1:41">
      <c r="A17" s="1">
        <v>15</v>
      </c>
      <c r="B17" s="1">
        <f>G16</f>
        <v>0</v>
      </c>
      <c r="C17" s="1">
        <v>0</v>
      </c>
      <c r="E17" s="1">
        <v>15</v>
      </c>
      <c r="F17" s="1">
        <v>0</v>
      </c>
      <c r="G17" s="1">
        <f t="shared" si="0"/>
        <v>0</v>
      </c>
      <c r="L17" s="1">
        <v>15</v>
      </c>
      <c r="M17" s="1">
        <f>R16</f>
        <v>0</v>
      </c>
      <c r="N17" s="1">
        <v>0</v>
      </c>
      <c r="P17" s="1">
        <v>15</v>
      </c>
      <c r="Q17" s="1">
        <v>0</v>
      </c>
      <c r="R17" s="1">
        <f t="shared" si="1"/>
        <v>0</v>
      </c>
      <c r="W17" s="1">
        <v>15</v>
      </c>
      <c r="X17" s="1">
        <f>AC16</f>
        <v>0</v>
      </c>
      <c r="Y17" s="1">
        <v>0</v>
      </c>
      <c r="AA17" s="1">
        <v>15</v>
      </c>
      <c r="AB17" s="1">
        <v>0</v>
      </c>
      <c r="AC17" s="1">
        <f t="shared" si="2"/>
        <v>0</v>
      </c>
      <c r="AE17" s="1">
        <v>15</v>
      </c>
      <c r="AF17" s="1">
        <f>AK16</f>
        <v>0</v>
      </c>
      <c r="AG17" s="1">
        <v>0</v>
      </c>
      <c r="AI17" s="1">
        <v>15</v>
      </c>
      <c r="AJ17" s="1">
        <v>0</v>
      </c>
      <c r="AK17" s="1">
        <f t="shared" si="3"/>
        <v>0</v>
      </c>
      <c r="AN17" s="1">
        <v>15</v>
      </c>
      <c r="AO17" s="1">
        <v>0</v>
      </c>
    </row>
    <row r="18" spans="1:41">
      <c r="A18" s="1">
        <v>16</v>
      </c>
      <c r="B18" s="1">
        <v>0</v>
      </c>
      <c r="C18" s="1">
        <v>0</v>
      </c>
      <c r="E18" s="1">
        <v>16</v>
      </c>
      <c r="F18" s="1">
        <v>0</v>
      </c>
      <c r="G18" s="1">
        <f t="shared" si="0"/>
        <v>0</v>
      </c>
      <c r="L18" s="1">
        <v>16</v>
      </c>
      <c r="M18" s="1">
        <v>0</v>
      </c>
      <c r="N18" s="1">
        <v>0</v>
      </c>
      <c r="P18" s="1">
        <v>16</v>
      </c>
      <c r="Q18" s="1">
        <v>0</v>
      </c>
      <c r="R18" s="1">
        <f t="shared" si="1"/>
        <v>0</v>
      </c>
      <c r="W18" s="1">
        <v>16</v>
      </c>
      <c r="X18" s="1">
        <v>0</v>
      </c>
      <c r="Y18" s="1">
        <v>0</v>
      </c>
      <c r="AA18" s="1">
        <v>16</v>
      </c>
      <c r="AB18" s="1">
        <v>0</v>
      </c>
      <c r="AC18" s="1">
        <f t="shared" si="2"/>
        <v>0</v>
      </c>
      <c r="AE18" s="1">
        <v>16</v>
      </c>
      <c r="AF18" s="1">
        <v>0</v>
      </c>
      <c r="AG18" s="1">
        <v>0.25</v>
      </c>
      <c r="AI18" s="1">
        <v>16</v>
      </c>
      <c r="AJ18" s="1">
        <v>0.25</v>
      </c>
      <c r="AK18" s="1">
        <f t="shared" si="3"/>
        <v>0</v>
      </c>
      <c r="AN18" s="1">
        <v>16</v>
      </c>
      <c r="AO18" s="1">
        <v>0</v>
      </c>
    </row>
    <row r="19" spans="1:41">
      <c r="A19" s="1">
        <v>17</v>
      </c>
      <c r="B19" s="1">
        <f>G18</f>
        <v>0</v>
      </c>
      <c r="C19" s="1">
        <v>0</v>
      </c>
      <c r="E19" s="1">
        <v>17</v>
      </c>
      <c r="F19" s="1">
        <v>0</v>
      </c>
      <c r="G19" s="1">
        <f t="shared" si="0"/>
        <v>0</v>
      </c>
      <c r="L19" s="1">
        <v>17</v>
      </c>
      <c r="M19" s="1">
        <f>R18</f>
        <v>0</v>
      </c>
      <c r="N19" s="1">
        <v>0</v>
      </c>
      <c r="P19" s="1">
        <v>17</v>
      </c>
      <c r="Q19" s="1">
        <v>0</v>
      </c>
      <c r="R19" s="1">
        <f t="shared" si="1"/>
        <v>0</v>
      </c>
      <c r="W19" s="1">
        <v>17</v>
      </c>
      <c r="X19" s="1">
        <f>AC18</f>
        <v>0</v>
      </c>
      <c r="Y19" s="1">
        <v>0</v>
      </c>
      <c r="AA19" s="1">
        <v>17</v>
      </c>
      <c r="AB19" s="1">
        <v>0</v>
      </c>
      <c r="AC19" s="1">
        <f t="shared" si="2"/>
        <v>0</v>
      </c>
      <c r="AE19" s="1">
        <v>17</v>
      </c>
      <c r="AF19" s="1">
        <f>AK18</f>
        <v>0</v>
      </c>
      <c r="AG19" s="1">
        <v>0</v>
      </c>
      <c r="AI19" s="1">
        <v>17</v>
      </c>
      <c r="AJ19" s="1">
        <v>0</v>
      </c>
      <c r="AK19" s="1">
        <f t="shared" si="3"/>
        <v>0</v>
      </c>
      <c r="AN19" s="1">
        <v>17</v>
      </c>
      <c r="AO19" s="1">
        <v>0</v>
      </c>
    </row>
    <row r="20" spans="1:41">
      <c r="A20" s="1">
        <v>18</v>
      </c>
      <c r="B20" s="1">
        <f>G19</f>
        <v>0</v>
      </c>
      <c r="C20" s="1">
        <v>0</v>
      </c>
      <c r="E20" s="1">
        <v>18</v>
      </c>
      <c r="F20" s="1">
        <v>0</v>
      </c>
      <c r="G20" s="1">
        <f t="shared" si="0"/>
        <v>0</v>
      </c>
      <c r="L20" s="1">
        <v>18</v>
      </c>
      <c r="M20" s="1">
        <f>R19</f>
        <v>0</v>
      </c>
      <c r="N20" s="1">
        <v>0</v>
      </c>
      <c r="P20" s="1">
        <v>18</v>
      </c>
      <c r="Q20" s="1">
        <v>0</v>
      </c>
      <c r="R20" s="1">
        <f t="shared" si="1"/>
        <v>0</v>
      </c>
      <c r="W20" s="1">
        <v>18</v>
      </c>
      <c r="X20" s="1">
        <f>AC19</f>
        <v>0</v>
      </c>
      <c r="Y20" s="1">
        <v>0</v>
      </c>
      <c r="AA20" s="1">
        <v>18</v>
      </c>
      <c r="AB20" s="1">
        <v>0</v>
      </c>
      <c r="AC20" s="1">
        <f t="shared" si="2"/>
        <v>0</v>
      </c>
      <c r="AE20" s="1">
        <v>18</v>
      </c>
      <c r="AF20" s="1">
        <f>AK19</f>
        <v>0</v>
      </c>
      <c r="AG20" s="1">
        <v>0</v>
      </c>
      <c r="AI20" s="1">
        <v>18</v>
      </c>
      <c r="AJ20" s="1">
        <v>0</v>
      </c>
      <c r="AK20" s="1">
        <f t="shared" si="3"/>
        <v>0</v>
      </c>
      <c r="AN20" s="1">
        <v>18</v>
      </c>
      <c r="AO20" s="1">
        <v>0</v>
      </c>
    </row>
    <row r="21" spans="1:41">
      <c r="A21" s="1">
        <v>19</v>
      </c>
      <c r="B21" s="1">
        <v>0</v>
      </c>
      <c r="C21" s="1">
        <v>0</v>
      </c>
      <c r="E21" s="1">
        <v>19</v>
      </c>
      <c r="F21" s="1">
        <v>0</v>
      </c>
      <c r="G21" s="1">
        <f t="shared" si="0"/>
        <v>0</v>
      </c>
      <c r="L21" s="1">
        <v>19</v>
      </c>
      <c r="M21" s="1">
        <v>0</v>
      </c>
      <c r="N21" s="1">
        <v>0</v>
      </c>
      <c r="P21" s="1">
        <v>19</v>
      </c>
      <c r="Q21" s="1">
        <v>0</v>
      </c>
      <c r="R21" s="1">
        <f t="shared" si="1"/>
        <v>0</v>
      </c>
      <c r="W21" s="1">
        <v>19</v>
      </c>
      <c r="X21" s="1">
        <v>0</v>
      </c>
      <c r="Y21" s="1">
        <v>0</v>
      </c>
      <c r="AA21" s="1">
        <v>19</v>
      </c>
      <c r="AB21" s="1">
        <v>0</v>
      </c>
      <c r="AC21" s="1">
        <f t="shared" si="2"/>
        <v>0</v>
      </c>
      <c r="AE21" s="1">
        <v>19</v>
      </c>
      <c r="AF21" s="1">
        <v>0</v>
      </c>
      <c r="AG21" s="1">
        <v>0</v>
      </c>
      <c r="AI21" s="1">
        <v>19</v>
      </c>
      <c r="AJ21" s="1">
        <v>0</v>
      </c>
      <c r="AK21" s="1">
        <f t="shared" si="3"/>
        <v>0</v>
      </c>
      <c r="AN21" s="1">
        <v>19</v>
      </c>
      <c r="AO21" s="1">
        <v>0</v>
      </c>
    </row>
    <row r="22" spans="1:41">
      <c r="A22" s="1">
        <v>20</v>
      </c>
      <c r="B22" s="1">
        <f>G21</f>
        <v>0</v>
      </c>
      <c r="C22" s="1">
        <v>0</v>
      </c>
      <c r="E22" s="1">
        <v>20</v>
      </c>
      <c r="F22" s="1">
        <v>0</v>
      </c>
      <c r="G22" s="1">
        <f t="shared" si="0"/>
        <v>0</v>
      </c>
      <c r="L22" s="1">
        <v>20</v>
      </c>
      <c r="M22" s="1">
        <f>R21</f>
        <v>0</v>
      </c>
      <c r="N22" s="1">
        <v>0</v>
      </c>
      <c r="P22" s="1">
        <v>20</v>
      </c>
      <c r="Q22" s="1">
        <v>0</v>
      </c>
      <c r="R22" s="1">
        <f t="shared" si="1"/>
        <v>0</v>
      </c>
      <c r="W22" s="1">
        <v>20</v>
      </c>
      <c r="X22" s="1">
        <f>AC21</f>
        <v>0</v>
      </c>
      <c r="Y22" s="1">
        <v>0</v>
      </c>
      <c r="AA22" s="1">
        <v>20</v>
      </c>
      <c r="AB22" s="1">
        <v>0</v>
      </c>
      <c r="AC22" s="1">
        <f t="shared" si="2"/>
        <v>0</v>
      </c>
      <c r="AE22" s="1">
        <v>20</v>
      </c>
      <c r="AF22" s="1">
        <f>AK21</f>
        <v>0</v>
      </c>
      <c r="AG22" s="1">
        <v>0</v>
      </c>
      <c r="AI22" s="1">
        <v>20</v>
      </c>
      <c r="AJ22" s="1">
        <v>0</v>
      </c>
      <c r="AK22" s="1">
        <f t="shared" si="3"/>
        <v>0</v>
      </c>
      <c r="AN22" s="1">
        <v>20</v>
      </c>
      <c r="AO22" s="1">
        <v>0</v>
      </c>
    </row>
    <row r="23" spans="1:41">
      <c r="A23" s="1">
        <v>21</v>
      </c>
      <c r="B23" s="1">
        <f>G22</f>
        <v>0</v>
      </c>
      <c r="C23" s="1">
        <v>0</v>
      </c>
      <c r="E23" s="1">
        <v>21</v>
      </c>
      <c r="F23" s="1">
        <v>0</v>
      </c>
      <c r="G23" s="1">
        <f t="shared" si="0"/>
        <v>0</v>
      </c>
      <c r="L23" s="1">
        <v>21</v>
      </c>
      <c r="M23" s="1">
        <f>R22</f>
        <v>0</v>
      </c>
      <c r="N23" s="1">
        <v>0</v>
      </c>
      <c r="P23" s="1">
        <v>21</v>
      </c>
      <c r="Q23" s="1">
        <v>0</v>
      </c>
      <c r="R23" s="1">
        <f t="shared" si="1"/>
        <v>0</v>
      </c>
      <c r="W23" s="1">
        <v>21</v>
      </c>
      <c r="X23" s="1">
        <f>AC22</f>
        <v>0</v>
      </c>
      <c r="Y23" s="1">
        <v>0</v>
      </c>
      <c r="AA23" s="1">
        <v>21</v>
      </c>
      <c r="AB23" s="1">
        <v>0</v>
      </c>
      <c r="AC23" s="1">
        <f t="shared" si="2"/>
        <v>0</v>
      </c>
      <c r="AE23" s="1">
        <v>21</v>
      </c>
      <c r="AF23" s="1">
        <f>AK22</f>
        <v>0</v>
      </c>
      <c r="AG23" s="1">
        <v>0</v>
      </c>
      <c r="AI23" s="1">
        <v>21</v>
      </c>
      <c r="AJ23" s="1">
        <v>0</v>
      </c>
      <c r="AK23" s="1">
        <f t="shared" si="3"/>
        <v>0</v>
      </c>
      <c r="AN23" s="1">
        <v>21</v>
      </c>
      <c r="AO23" s="1">
        <v>0</v>
      </c>
    </row>
    <row r="24" spans="1:41">
      <c r="A24" s="1">
        <v>22</v>
      </c>
      <c r="B24" s="1">
        <v>0</v>
      </c>
      <c r="C24" s="1">
        <v>0</v>
      </c>
      <c r="E24" s="1">
        <v>22</v>
      </c>
      <c r="F24" s="1">
        <v>0</v>
      </c>
      <c r="G24" s="1">
        <f>B24+C24-F24</f>
        <v>0</v>
      </c>
      <c r="L24" s="1">
        <v>22</v>
      </c>
      <c r="M24" s="1">
        <v>0</v>
      </c>
      <c r="N24" s="1">
        <v>0</v>
      </c>
      <c r="P24" s="1">
        <v>22</v>
      </c>
      <c r="Q24" s="1">
        <v>0</v>
      </c>
      <c r="R24" s="1">
        <f t="shared" si="1"/>
        <v>0</v>
      </c>
      <c r="W24" s="1">
        <v>22</v>
      </c>
      <c r="X24" s="1">
        <v>0</v>
      </c>
      <c r="Y24" s="1">
        <v>0</v>
      </c>
      <c r="AA24" s="1">
        <v>22</v>
      </c>
      <c r="AB24" s="1">
        <v>0</v>
      </c>
      <c r="AC24" s="1">
        <f t="shared" si="2"/>
        <v>0</v>
      </c>
      <c r="AE24" s="1">
        <v>22</v>
      </c>
      <c r="AF24" s="1">
        <v>0</v>
      </c>
      <c r="AG24" s="1">
        <v>0</v>
      </c>
      <c r="AI24" s="1">
        <v>22</v>
      </c>
      <c r="AJ24" s="1">
        <v>0</v>
      </c>
      <c r="AK24" s="1">
        <f t="shared" si="3"/>
        <v>0</v>
      </c>
      <c r="AN24" s="1">
        <v>22</v>
      </c>
      <c r="AO24" s="1">
        <v>0</v>
      </c>
    </row>
    <row r="25" spans="1:41">
      <c r="A25" s="1">
        <v>23</v>
      </c>
      <c r="B25" s="1">
        <f>G24</f>
        <v>0</v>
      </c>
      <c r="C25" s="1">
        <v>0</v>
      </c>
      <c r="E25" s="1">
        <v>23</v>
      </c>
      <c r="F25" s="1">
        <v>0</v>
      </c>
      <c r="G25" s="1">
        <f t="shared" si="0"/>
        <v>0</v>
      </c>
      <c r="L25" s="1">
        <v>23</v>
      </c>
      <c r="M25" s="1">
        <f>R24</f>
        <v>0</v>
      </c>
      <c r="N25" s="1">
        <v>0</v>
      </c>
      <c r="P25" s="1">
        <v>23</v>
      </c>
      <c r="Q25" s="1">
        <v>0</v>
      </c>
      <c r="R25" s="1">
        <f t="shared" si="1"/>
        <v>0</v>
      </c>
      <c r="W25" s="1">
        <v>23</v>
      </c>
      <c r="X25" s="1">
        <f>AC24</f>
        <v>0</v>
      </c>
      <c r="Y25" s="1">
        <v>0.1</v>
      </c>
      <c r="AA25" s="1">
        <v>23</v>
      </c>
      <c r="AB25" s="1">
        <v>0.1</v>
      </c>
      <c r="AC25" s="1">
        <f t="shared" si="2"/>
        <v>0</v>
      </c>
      <c r="AE25" s="1">
        <v>23</v>
      </c>
      <c r="AF25" s="1">
        <f>AK24</f>
        <v>0</v>
      </c>
      <c r="AG25" s="1">
        <v>0</v>
      </c>
      <c r="AI25" s="1">
        <v>23</v>
      </c>
      <c r="AJ25" s="1">
        <v>0</v>
      </c>
      <c r="AK25" s="1">
        <f t="shared" si="3"/>
        <v>0</v>
      </c>
      <c r="AN25" s="1">
        <v>23</v>
      </c>
      <c r="AO25" s="1">
        <v>0</v>
      </c>
    </row>
    <row r="26" spans="1:41">
      <c r="A26" s="1">
        <v>24</v>
      </c>
      <c r="B26" s="1">
        <f>G25</f>
        <v>0</v>
      </c>
      <c r="C26" s="1">
        <v>0</v>
      </c>
      <c r="E26" s="1">
        <v>24</v>
      </c>
      <c r="F26" s="1">
        <v>0</v>
      </c>
      <c r="G26" s="1">
        <f t="shared" si="0"/>
        <v>0</v>
      </c>
      <c r="L26" s="1">
        <v>24</v>
      </c>
      <c r="M26" s="1">
        <f>R25</f>
        <v>0</v>
      </c>
      <c r="N26" s="1">
        <v>0</v>
      </c>
      <c r="P26" s="1">
        <v>24</v>
      </c>
      <c r="Q26" s="1">
        <v>0</v>
      </c>
      <c r="R26" s="1">
        <f t="shared" si="1"/>
        <v>0</v>
      </c>
      <c r="W26" s="1">
        <v>24</v>
      </c>
      <c r="X26" s="1">
        <f>AC25</f>
        <v>0</v>
      </c>
      <c r="Y26" s="1">
        <v>0</v>
      </c>
      <c r="AA26" s="1">
        <v>24</v>
      </c>
      <c r="AB26" s="1">
        <v>0</v>
      </c>
      <c r="AC26" s="1">
        <f t="shared" si="2"/>
        <v>0</v>
      </c>
      <c r="AE26" s="1">
        <v>24</v>
      </c>
      <c r="AF26" s="1">
        <f>AK25</f>
        <v>0</v>
      </c>
      <c r="AG26" s="1">
        <v>0</v>
      </c>
      <c r="AI26" s="1">
        <v>24</v>
      </c>
      <c r="AJ26" s="1">
        <v>0</v>
      </c>
      <c r="AK26" s="1">
        <f t="shared" si="3"/>
        <v>0</v>
      </c>
      <c r="AN26" s="1">
        <v>24</v>
      </c>
      <c r="AO26" s="1">
        <v>0</v>
      </c>
    </row>
    <row r="27" spans="1:41">
      <c r="A27" s="1">
        <v>25</v>
      </c>
      <c r="B27" s="1">
        <v>0</v>
      </c>
      <c r="C27" s="1">
        <v>0</v>
      </c>
      <c r="E27" s="1">
        <v>25</v>
      </c>
      <c r="F27" s="1">
        <v>0</v>
      </c>
      <c r="G27" s="1">
        <f t="shared" si="0"/>
        <v>0</v>
      </c>
      <c r="L27" s="1">
        <v>25</v>
      </c>
      <c r="M27" s="1">
        <v>0</v>
      </c>
      <c r="N27" s="1">
        <v>0</v>
      </c>
      <c r="P27" s="1">
        <v>25</v>
      </c>
      <c r="Q27" s="1">
        <v>0</v>
      </c>
      <c r="R27" s="1">
        <f t="shared" si="1"/>
        <v>0</v>
      </c>
      <c r="W27" s="1">
        <v>25</v>
      </c>
      <c r="X27" s="1">
        <v>0</v>
      </c>
      <c r="Y27" s="1">
        <v>0</v>
      </c>
      <c r="AA27" s="1">
        <v>25</v>
      </c>
      <c r="AB27" s="1">
        <v>0</v>
      </c>
      <c r="AC27" s="1">
        <f t="shared" si="2"/>
        <v>0</v>
      </c>
      <c r="AE27" s="1">
        <v>25</v>
      </c>
      <c r="AF27" s="1">
        <v>0</v>
      </c>
      <c r="AG27" s="1">
        <v>0</v>
      </c>
      <c r="AI27" s="1">
        <v>25</v>
      </c>
      <c r="AJ27" s="1">
        <v>0</v>
      </c>
      <c r="AK27" s="1">
        <f t="shared" si="3"/>
        <v>0</v>
      </c>
      <c r="AN27" s="1">
        <v>25</v>
      </c>
      <c r="AO27" s="1">
        <v>0</v>
      </c>
    </row>
    <row r="28" spans="1:41">
      <c r="A28" s="1">
        <v>26</v>
      </c>
      <c r="B28" s="1">
        <f>G27</f>
        <v>0</v>
      </c>
      <c r="C28" s="1">
        <v>0</v>
      </c>
      <c r="E28" s="1">
        <v>26</v>
      </c>
      <c r="F28" s="1">
        <v>0</v>
      </c>
      <c r="G28" s="1">
        <f t="shared" si="0"/>
        <v>0</v>
      </c>
      <c r="L28" s="1">
        <v>26</v>
      </c>
      <c r="M28" s="1">
        <f>R27</f>
        <v>0</v>
      </c>
      <c r="N28" s="1">
        <v>0</v>
      </c>
      <c r="P28" s="1">
        <v>26</v>
      </c>
      <c r="Q28" s="1">
        <v>0</v>
      </c>
      <c r="R28" s="1">
        <f t="shared" si="1"/>
        <v>0</v>
      </c>
      <c r="W28" s="1">
        <v>26</v>
      </c>
      <c r="X28" s="1">
        <f>AC27</f>
        <v>0</v>
      </c>
      <c r="Y28" s="1">
        <v>0</v>
      </c>
      <c r="AA28" s="1">
        <v>26</v>
      </c>
      <c r="AB28" s="1">
        <v>0</v>
      </c>
      <c r="AC28" s="1">
        <f t="shared" si="2"/>
        <v>0</v>
      </c>
      <c r="AE28" s="1">
        <v>26</v>
      </c>
      <c r="AF28" s="1">
        <f>AK27</f>
        <v>0</v>
      </c>
      <c r="AG28" s="1">
        <v>0</v>
      </c>
      <c r="AI28" s="1">
        <v>26</v>
      </c>
      <c r="AJ28" s="1">
        <v>0</v>
      </c>
      <c r="AK28" s="1">
        <f t="shared" si="3"/>
        <v>0</v>
      </c>
      <c r="AN28" s="1">
        <v>26</v>
      </c>
      <c r="AO28" s="1">
        <v>0</v>
      </c>
    </row>
    <row r="29" spans="1:41">
      <c r="A29" s="1">
        <v>27</v>
      </c>
      <c r="B29" s="1">
        <f>G28</f>
        <v>0</v>
      </c>
      <c r="C29" s="1">
        <v>0</v>
      </c>
      <c r="E29" s="1">
        <v>27</v>
      </c>
      <c r="F29" s="1">
        <v>0</v>
      </c>
      <c r="G29" s="1">
        <f t="shared" si="0"/>
        <v>0</v>
      </c>
      <c r="L29" s="1">
        <v>27</v>
      </c>
      <c r="M29" s="1">
        <f>R28</f>
        <v>0</v>
      </c>
      <c r="N29" s="1">
        <v>0</v>
      </c>
      <c r="P29" s="1">
        <v>27</v>
      </c>
      <c r="Q29" s="1">
        <v>0</v>
      </c>
      <c r="R29" s="1">
        <f t="shared" si="1"/>
        <v>0</v>
      </c>
      <c r="W29" s="1">
        <v>27</v>
      </c>
      <c r="X29" s="1">
        <f>AC28</f>
        <v>0</v>
      </c>
      <c r="Y29" s="1">
        <v>0</v>
      </c>
      <c r="AA29" s="1">
        <v>27</v>
      </c>
      <c r="AB29" s="1">
        <v>0</v>
      </c>
      <c r="AC29" s="1">
        <f t="shared" si="2"/>
        <v>0</v>
      </c>
      <c r="AE29" s="1">
        <v>27</v>
      </c>
      <c r="AF29" s="1">
        <f>AK28</f>
        <v>0</v>
      </c>
      <c r="AG29" s="1">
        <v>0</v>
      </c>
      <c r="AI29" s="1">
        <v>27</v>
      </c>
      <c r="AJ29" s="1">
        <v>0</v>
      </c>
      <c r="AK29" s="1">
        <f t="shared" si="3"/>
        <v>0</v>
      </c>
      <c r="AN29" s="1">
        <v>27</v>
      </c>
      <c r="AO29" s="1">
        <v>0</v>
      </c>
    </row>
    <row r="30" spans="1:41">
      <c r="A30" s="1">
        <v>28</v>
      </c>
      <c r="B30" s="1">
        <v>0</v>
      </c>
      <c r="C30" s="1">
        <v>0</v>
      </c>
      <c r="E30" s="1">
        <v>28</v>
      </c>
      <c r="F30" s="1">
        <v>0</v>
      </c>
      <c r="G30" s="1">
        <f t="shared" si="0"/>
        <v>0</v>
      </c>
      <c r="L30" s="1">
        <v>28</v>
      </c>
      <c r="M30" s="1">
        <v>0</v>
      </c>
      <c r="N30" s="1">
        <v>0</v>
      </c>
      <c r="P30" s="1">
        <v>28</v>
      </c>
      <c r="Q30" s="1">
        <v>0</v>
      </c>
      <c r="R30" s="1">
        <f t="shared" si="1"/>
        <v>0</v>
      </c>
      <c r="W30" s="1">
        <v>28</v>
      </c>
      <c r="X30" s="1">
        <v>0</v>
      </c>
      <c r="Y30" s="1">
        <v>0</v>
      </c>
      <c r="AA30" s="1">
        <v>28</v>
      </c>
      <c r="AB30" s="1">
        <v>0</v>
      </c>
      <c r="AC30" s="1">
        <f t="shared" si="2"/>
        <v>0</v>
      </c>
      <c r="AE30" s="1">
        <v>28</v>
      </c>
      <c r="AF30" s="1">
        <v>0</v>
      </c>
      <c r="AG30" s="1">
        <v>0</v>
      </c>
      <c r="AI30" s="1">
        <v>28</v>
      </c>
      <c r="AJ30" s="1">
        <v>0</v>
      </c>
      <c r="AK30" s="1">
        <f t="shared" si="3"/>
        <v>0</v>
      </c>
      <c r="AN30" s="1">
        <v>28</v>
      </c>
      <c r="AO30" s="1">
        <v>0</v>
      </c>
    </row>
    <row r="31" spans="1:41">
      <c r="A31" s="1">
        <v>29</v>
      </c>
      <c r="B31" s="1">
        <f>G30</f>
        <v>0</v>
      </c>
      <c r="C31" s="1">
        <v>0</v>
      </c>
      <c r="E31" s="1">
        <v>29</v>
      </c>
      <c r="F31" s="1">
        <v>0</v>
      </c>
      <c r="G31" s="1">
        <f t="shared" si="0"/>
        <v>0</v>
      </c>
      <c r="L31" s="1">
        <v>29</v>
      </c>
      <c r="M31" s="1">
        <f>R30</f>
        <v>0</v>
      </c>
      <c r="N31" s="1">
        <v>0</v>
      </c>
      <c r="P31" s="1">
        <v>29</v>
      </c>
      <c r="Q31" s="1">
        <v>0</v>
      </c>
      <c r="R31" s="1">
        <f t="shared" si="1"/>
        <v>0</v>
      </c>
      <c r="W31" s="1">
        <v>29</v>
      </c>
      <c r="X31" s="1">
        <f>AC30</f>
        <v>0</v>
      </c>
      <c r="Y31" s="1">
        <v>0.15</v>
      </c>
      <c r="AA31" s="1">
        <v>29</v>
      </c>
      <c r="AB31" s="1">
        <v>0.15</v>
      </c>
      <c r="AC31" s="1">
        <f t="shared" si="2"/>
        <v>0</v>
      </c>
      <c r="AE31" s="1">
        <v>29</v>
      </c>
      <c r="AF31" s="1">
        <f>AK30</f>
        <v>0</v>
      </c>
      <c r="AG31" s="1">
        <v>0</v>
      </c>
      <c r="AI31" s="1">
        <v>29</v>
      </c>
      <c r="AJ31" s="1">
        <v>0</v>
      </c>
      <c r="AK31" s="1">
        <f t="shared" si="3"/>
        <v>0</v>
      </c>
      <c r="AN31" s="1">
        <v>29</v>
      </c>
      <c r="AO31" s="1">
        <v>0.15</v>
      </c>
    </row>
    <row r="32" spans="1:41">
      <c r="A32" s="1">
        <v>30</v>
      </c>
      <c r="B32" s="1">
        <f>G31</f>
        <v>0</v>
      </c>
      <c r="C32" s="1">
        <v>0</v>
      </c>
      <c r="E32" s="1">
        <v>30</v>
      </c>
      <c r="F32" s="1">
        <v>0</v>
      </c>
      <c r="G32" s="1">
        <f t="shared" si="0"/>
        <v>0</v>
      </c>
      <c r="L32" s="1">
        <v>30</v>
      </c>
      <c r="M32" s="1">
        <f>R31</f>
        <v>0</v>
      </c>
      <c r="N32" s="1">
        <v>0</v>
      </c>
      <c r="P32" s="1">
        <v>30</v>
      </c>
      <c r="Q32" s="1">
        <v>0</v>
      </c>
      <c r="R32" s="1">
        <f t="shared" si="1"/>
        <v>0</v>
      </c>
      <c r="W32" s="1">
        <v>30</v>
      </c>
      <c r="X32" s="1">
        <f>AC31</f>
        <v>0</v>
      </c>
      <c r="Y32" s="1">
        <v>0</v>
      </c>
      <c r="AA32" s="1">
        <v>30</v>
      </c>
      <c r="AB32" s="1">
        <v>0</v>
      </c>
      <c r="AC32" s="1">
        <f t="shared" si="2"/>
        <v>0</v>
      </c>
      <c r="AE32" s="1">
        <v>30</v>
      </c>
      <c r="AF32" s="1">
        <f>AK31</f>
        <v>0</v>
      </c>
      <c r="AG32" s="1">
        <v>0</v>
      </c>
      <c r="AI32" s="1">
        <v>30</v>
      </c>
      <c r="AJ32" s="1">
        <v>0</v>
      </c>
      <c r="AK32" s="1">
        <f t="shared" si="3"/>
        <v>0</v>
      </c>
      <c r="AN32" s="1">
        <v>30</v>
      </c>
      <c r="AO32" s="1">
        <v>0</v>
      </c>
    </row>
    <row r="33" spans="1:41">
      <c r="A33" s="1">
        <v>31</v>
      </c>
      <c r="B33" s="1">
        <v>0</v>
      </c>
      <c r="C33" s="1">
        <v>0</v>
      </c>
      <c r="E33" s="1">
        <v>31</v>
      </c>
      <c r="F33" s="1">
        <v>0</v>
      </c>
      <c r="G33" s="1">
        <f t="shared" si="0"/>
        <v>0</v>
      </c>
      <c r="L33" s="1">
        <v>31</v>
      </c>
      <c r="M33" s="1">
        <v>0</v>
      </c>
      <c r="N33" s="1">
        <v>0</v>
      </c>
      <c r="P33" s="1">
        <v>31</v>
      </c>
      <c r="Q33" s="1">
        <v>0</v>
      </c>
      <c r="R33" s="1">
        <f t="shared" si="1"/>
        <v>0</v>
      </c>
      <c r="W33" s="1">
        <v>31</v>
      </c>
      <c r="X33" s="1">
        <v>0</v>
      </c>
      <c r="Y33" s="1">
        <v>0</v>
      </c>
      <c r="AA33" s="1">
        <v>31</v>
      </c>
      <c r="AB33" s="1">
        <v>0</v>
      </c>
      <c r="AC33" s="1">
        <f t="shared" si="2"/>
        <v>0</v>
      </c>
      <c r="AE33" s="1">
        <v>31</v>
      </c>
      <c r="AF33" s="1">
        <v>0</v>
      </c>
      <c r="AG33" s="1">
        <v>0</v>
      </c>
      <c r="AI33" s="1">
        <v>31</v>
      </c>
      <c r="AJ33" s="1">
        <v>0</v>
      </c>
      <c r="AK33" s="1">
        <f t="shared" si="3"/>
        <v>0</v>
      </c>
      <c r="AN33" s="1">
        <v>31</v>
      </c>
      <c r="AO33" s="1">
        <v>0</v>
      </c>
    </row>
    <row r="34" spans="1:41" ht="17.25" customHeight="1" thickBot="1">
      <c r="A34" s="1" t="s">
        <v>27</v>
      </c>
      <c r="B34" s="1"/>
      <c r="C34" s="1">
        <f>SUM(C3:C33)</f>
        <v>0</v>
      </c>
      <c r="D34" s="57"/>
      <c r="E34" s="1" t="s">
        <v>27</v>
      </c>
      <c r="F34" s="1">
        <f>SUM(F3:F33)</f>
        <v>0</v>
      </c>
      <c r="G34" s="1"/>
      <c r="L34" s="1" t="s">
        <v>27</v>
      </c>
      <c r="M34" s="1"/>
      <c r="N34" s="1">
        <f>SUM(N3:N33)</f>
        <v>0</v>
      </c>
      <c r="O34" s="57"/>
      <c r="P34" s="1" t="s">
        <v>27</v>
      </c>
      <c r="Q34" s="1">
        <f>SUM(Q3:Q33)</f>
        <v>0</v>
      </c>
      <c r="R34" s="1"/>
      <c r="W34" s="1" t="s">
        <v>27</v>
      </c>
      <c r="X34" s="1"/>
      <c r="Y34" s="1">
        <f>SUM(Y3:Y33)</f>
        <v>0.25</v>
      </c>
      <c r="Z34" s="57"/>
      <c r="AA34" s="1" t="s">
        <v>27</v>
      </c>
      <c r="AB34" s="1">
        <f>SUM(AB3:AB33)</f>
        <v>0.25</v>
      </c>
      <c r="AC34" s="1"/>
      <c r="AE34" s="1" t="s">
        <v>27</v>
      </c>
      <c r="AF34" s="1"/>
      <c r="AG34" s="1">
        <f>SUM(AG3:AG33)</f>
        <v>0.35</v>
      </c>
      <c r="AH34" s="57"/>
      <c r="AI34" s="1" t="s">
        <v>27</v>
      </c>
      <c r="AJ34" s="1">
        <f>SUM(AJ3:AJ33)</f>
        <v>0.35</v>
      </c>
      <c r="AK34" s="1"/>
      <c r="AN34" s="1" t="s">
        <v>27</v>
      </c>
      <c r="AO34" s="1">
        <f>SUM(AO3:AO33)</f>
        <v>0.15</v>
      </c>
    </row>
    <row r="35" spans="1:41" ht="15.75" thickTop="1">
      <c r="A35" s="17" t="s">
        <v>28</v>
      </c>
      <c r="B35" s="17"/>
      <c r="C35" s="17">
        <f>C34+C36</f>
        <v>10</v>
      </c>
      <c r="E35" s="17" t="s">
        <v>28</v>
      </c>
      <c r="F35" s="17">
        <f>F36+SUM(F3:F33)</f>
        <v>10</v>
      </c>
      <c r="G35" s="17">
        <v>0</v>
      </c>
      <c r="L35" s="17" t="s">
        <v>28</v>
      </c>
      <c r="M35" s="17"/>
      <c r="N35" s="267">
        <f>N34+N36</f>
        <v>2</v>
      </c>
      <c r="P35" s="17" t="s">
        <v>28</v>
      </c>
      <c r="Q35" s="17">
        <f>Q36+SUM(Q3:Q33)</f>
        <v>2</v>
      </c>
      <c r="R35" s="17">
        <v>0</v>
      </c>
      <c r="W35" s="17" t="s">
        <v>28</v>
      </c>
      <c r="X35" s="17"/>
      <c r="Y35" s="17">
        <f>Y34+Y36</f>
        <v>0.25</v>
      </c>
      <c r="AA35" s="17" t="s">
        <v>28</v>
      </c>
      <c r="AB35" s="17">
        <f>AB36+SUM(AB3:AB33)</f>
        <v>0.25</v>
      </c>
      <c r="AC35" s="17">
        <v>0</v>
      </c>
      <c r="AE35" s="17" t="s">
        <v>28</v>
      </c>
      <c r="AF35" s="17"/>
      <c r="AG35" s="17">
        <f>AG34+AG36</f>
        <v>0.44999999999999996</v>
      </c>
      <c r="AI35" s="17" t="s">
        <v>28</v>
      </c>
      <c r="AJ35" s="17">
        <f>AJ36+SUM(AJ3:AJ33)</f>
        <v>0.44999999999999996</v>
      </c>
      <c r="AK35" s="17">
        <v>0</v>
      </c>
      <c r="AN35" s="17" t="s">
        <v>28</v>
      </c>
      <c r="AO35" s="17">
        <f>AO36+SUM(AO3:AO33)</f>
        <v>4.1500000000000004</v>
      </c>
    </row>
    <row r="36" spans="1:41">
      <c r="A36" t="s">
        <v>28</v>
      </c>
      <c r="C36">
        <v>10</v>
      </c>
      <c r="E36" t="s">
        <v>28</v>
      </c>
      <c r="F36">
        <v>10</v>
      </c>
      <c r="G36">
        <v>0</v>
      </c>
      <c r="L36" t="s">
        <v>28</v>
      </c>
      <c r="N36">
        <v>2</v>
      </c>
      <c r="P36" t="s">
        <v>28</v>
      </c>
      <c r="Q36">
        <v>2</v>
      </c>
      <c r="R36">
        <v>0</v>
      </c>
      <c r="W36" t="s">
        <v>28</v>
      </c>
      <c r="Y36">
        <v>0</v>
      </c>
      <c r="AA36" t="s">
        <v>28</v>
      </c>
      <c r="AB36">
        <v>0</v>
      </c>
      <c r="AC36">
        <v>0</v>
      </c>
      <c r="AE36" t="s">
        <v>28</v>
      </c>
      <c r="AG36">
        <v>0.1</v>
      </c>
      <c r="AI36" t="s">
        <v>28</v>
      </c>
      <c r="AJ36">
        <v>0.1</v>
      </c>
      <c r="AK36">
        <v>0</v>
      </c>
      <c r="AN36" t="s">
        <v>28</v>
      </c>
      <c r="AO36">
        <v>4</v>
      </c>
    </row>
  </sheetData>
  <mergeCells count="9">
    <mergeCell ref="AN1:AO1"/>
    <mergeCell ref="AE1:AG1"/>
    <mergeCell ref="AI1:AK1"/>
    <mergeCell ref="AA1:AC1"/>
    <mergeCell ref="A1:C1"/>
    <mergeCell ref="E1:G1"/>
    <mergeCell ref="L1:N1"/>
    <mergeCell ref="P1:R1"/>
    <mergeCell ref="W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6E0-5CEB-4565-A7B1-A2EDF575312F}">
  <dimension ref="C2:T36"/>
  <sheetViews>
    <sheetView topLeftCell="A15" workbookViewId="0">
      <selection activeCell="O31" sqref="O31"/>
    </sheetView>
  </sheetViews>
  <sheetFormatPr defaultRowHeight="15"/>
  <cols>
    <col min="3" max="3" width="9.140625" style="258"/>
    <col min="4" max="4" width="12.5703125" customWidth="1"/>
    <col min="11" max="11" width="9.140625" style="258"/>
    <col min="17" max="17" width="9.140625" style="258"/>
  </cols>
  <sheetData>
    <row r="2" spans="3:20">
      <c r="C2" s="258" t="s">
        <v>10</v>
      </c>
      <c r="D2" s="259" t="s">
        <v>238</v>
      </c>
      <c r="E2" s="259" t="s">
        <v>239</v>
      </c>
      <c r="F2" s="259" t="s">
        <v>240</v>
      </c>
      <c r="G2" s="259" t="s">
        <v>4</v>
      </c>
      <c r="H2" s="259" t="s">
        <v>241</v>
      </c>
      <c r="I2" s="259" t="s">
        <v>242</v>
      </c>
      <c r="K2" s="258" t="s">
        <v>10</v>
      </c>
      <c r="L2" s="260" t="s">
        <v>238</v>
      </c>
      <c r="M2" s="260" t="s">
        <v>239</v>
      </c>
      <c r="N2" s="260" t="s">
        <v>240</v>
      </c>
      <c r="O2" s="260" t="s">
        <v>4</v>
      </c>
      <c r="Q2" s="258" t="s">
        <v>10</v>
      </c>
      <c r="R2" s="260" t="s">
        <v>243</v>
      </c>
      <c r="S2" s="259" t="s">
        <v>244</v>
      </c>
    </row>
    <row r="3" spans="3:20">
      <c r="C3" s="258">
        <v>1</v>
      </c>
      <c r="D3">
        <f>'Mines (2)'!E3+'Mines (2)'!J3+'Mines (2)'!AB3</f>
        <v>3401</v>
      </c>
      <c r="E3">
        <f>'Mines (2)'!N3</f>
        <v>2</v>
      </c>
      <c r="F3">
        <f>Clinker!E3</f>
        <v>52</v>
      </c>
      <c r="G3">
        <f>'Mines (2)'!S3</f>
        <v>0</v>
      </c>
      <c r="H3">
        <v>10</v>
      </c>
      <c r="I3">
        <v>7</v>
      </c>
      <c r="K3" s="258">
        <v>1</v>
      </c>
      <c r="L3">
        <f>D3-(D3*(H3/100))</f>
        <v>3060.9</v>
      </c>
      <c r="M3">
        <f>E3-(E3*(H3/100))</f>
        <v>1.8</v>
      </c>
      <c r="N3">
        <f>F3-(F3*(I3/100))</f>
        <v>48.36</v>
      </c>
      <c r="O3">
        <f>G3-(G3*(H3/100))</f>
        <v>0</v>
      </c>
      <c r="Q3" s="258">
        <v>1</v>
      </c>
      <c r="R3">
        <f>Clinker!ED3</f>
        <v>313.33000000000004</v>
      </c>
      <c r="S3">
        <v>10</v>
      </c>
      <c r="T3">
        <f>R3-((R3*S3/100))</f>
        <v>281.99700000000001</v>
      </c>
    </row>
    <row r="4" spans="3:20">
      <c r="C4" s="258">
        <v>2</v>
      </c>
      <c r="D4">
        <f>'Mines (2)'!E4+'Mines (2)'!J4+'Mines (2)'!AB4</f>
        <v>1916</v>
      </c>
      <c r="E4">
        <f>'Mines (2)'!N4</f>
        <v>10</v>
      </c>
      <c r="F4">
        <f>Clinker!E4</f>
        <v>49</v>
      </c>
      <c r="G4">
        <f>'Mines (2)'!S4</f>
        <v>0</v>
      </c>
      <c r="H4">
        <v>10</v>
      </c>
      <c r="I4">
        <v>7</v>
      </c>
      <c r="K4" s="258">
        <v>2</v>
      </c>
      <c r="L4">
        <f t="shared" ref="L4:L33" si="0">D4-(D4*(H4/100))</f>
        <v>1724.4</v>
      </c>
      <c r="M4">
        <f t="shared" ref="M4:M33" si="1">E4-(E4*(H4/100))</f>
        <v>9</v>
      </c>
      <c r="N4">
        <f t="shared" ref="N4:N33" si="2">F4-(F4*(I4/100))</f>
        <v>45.57</v>
      </c>
      <c r="O4">
        <f t="shared" ref="O4:O33" si="3">G4-(G4*(H4/100))</f>
        <v>0</v>
      </c>
      <c r="Q4" s="258">
        <v>2</v>
      </c>
      <c r="R4">
        <f>Clinker!BB4</f>
        <v>0</v>
      </c>
      <c r="S4">
        <v>10</v>
      </c>
      <c r="T4">
        <f t="shared" ref="T4:T33" si="4">R4-((R4*S4/100))</f>
        <v>0</v>
      </c>
    </row>
    <row r="5" spans="3:20">
      <c r="C5" s="258">
        <v>3</v>
      </c>
      <c r="D5">
        <f>'Mines (2)'!E5+'Mines (2)'!J5+'Mines (2)'!AB5</f>
        <v>2530</v>
      </c>
      <c r="E5">
        <f>'Mines (2)'!N5</f>
        <v>80</v>
      </c>
      <c r="F5">
        <f>Clinker!E5</f>
        <v>67</v>
      </c>
      <c r="G5">
        <f>'Mines (2)'!S5</f>
        <v>0</v>
      </c>
      <c r="H5">
        <v>10</v>
      </c>
      <c r="I5">
        <v>7</v>
      </c>
      <c r="K5" s="258">
        <v>3</v>
      </c>
      <c r="L5">
        <f t="shared" si="0"/>
        <v>2277</v>
      </c>
      <c r="M5">
        <f t="shared" si="1"/>
        <v>72</v>
      </c>
      <c r="N5">
        <f t="shared" si="2"/>
        <v>62.31</v>
      </c>
      <c r="O5">
        <f t="shared" si="3"/>
        <v>0</v>
      </c>
      <c r="Q5" s="258">
        <v>3</v>
      </c>
      <c r="R5">
        <f>Clinker!BB5</f>
        <v>0</v>
      </c>
      <c r="S5">
        <v>10</v>
      </c>
      <c r="T5">
        <f t="shared" si="4"/>
        <v>0</v>
      </c>
    </row>
    <row r="6" spans="3:20">
      <c r="C6" s="258">
        <v>4</v>
      </c>
      <c r="D6">
        <f>'Mines (2)'!E6+'Mines (2)'!J6+'Mines (2)'!AB6</f>
        <v>3136</v>
      </c>
      <c r="E6">
        <f>'Mines (2)'!N6</f>
        <v>66</v>
      </c>
      <c r="F6">
        <f>Clinker!E6</f>
        <v>82</v>
      </c>
      <c r="G6">
        <f>'Mines (2)'!S6</f>
        <v>0</v>
      </c>
      <c r="H6">
        <v>10</v>
      </c>
      <c r="I6">
        <v>7</v>
      </c>
      <c r="K6" s="258">
        <v>4</v>
      </c>
      <c r="L6">
        <f t="shared" si="0"/>
        <v>2822.4</v>
      </c>
      <c r="M6">
        <f t="shared" si="1"/>
        <v>59.4</v>
      </c>
      <c r="N6">
        <f t="shared" si="2"/>
        <v>76.260000000000005</v>
      </c>
      <c r="O6">
        <f t="shared" si="3"/>
        <v>0</v>
      </c>
      <c r="Q6" s="258">
        <v>4</v>
      </c>
      <c r="R6">
        <f>Clinker!BB6</f>
        <v>0</v>
      </c>
      <c r="S6">
        <v>10</v>
      </c>
      <c r="T6">
        <f t="shared" si="4"/>
        <v>0</v>
      </c>
    </row>
    <row r="7" spans="3:20">
      <c r="C7" s="258">
        <v>5</v>
      </c>
      <c r="D7">
        <f>'Mines (2)'!E7+'Mines (2)'!J7+'Mines (2)'!AB7</f>
        <v>2777</v>
      </c>
      <c r="E7">
        <f>'Mines (2)'!N7</f>
        <v>58</v>
      </c>
      <c r="F7">
        <f>Clinker!E7</f>
        <v>73</v>
      </c>
      <c r="G7">
        <f>'Mines (2)'!S7</f>
        <v>0</v>
      </c>
      <c r="H7">
        <v>10</v>
      </c>
      <c r="I7">
        <v>7</v>
      </c>
      <c r="K7" s="258">
        <v>5</v>
      </c>
      <c r="L7">
        <f t="shared" si="0"/>
        <v>2499.3000000000002</v>
      </c>
      <c r="M7">
        <f t="shared" si="1"/>
        <v>52.2</v>
      </c>
      <c r="N7">
        <f t="shared" si="2"/>
        <v>67.89</v>
      </c>
      <c r="O7">
        <f t="shared" si="3"/>
        <v>0</v>
      </c>
      <c r="Q7" s="258">
        <v>5</v>
      </c>
      <c r="R7">
        <f>Clinker!BB7</f>
        <v>0</v>
      </c>
      <c r="S7">
        <v>10</v>
      </c>
      <c r="T7">
        <f t="shared" si="4"/>
        <v>0</v>
      </c>
    </row>
    <row r="8" spans="3:20">
      <c r="C8" s="258">
        <v>6</v>
      </c>
      <c r="D8">
        <f>'Mines (2)'!E8+'Mines (2)'!J8+'Mines (2)'!AB8</f>
        <v>2377</v>
      </c>
      <c r="E8">
        <f>'Mines (2)'!N8</f>
        <v>50</v>
      </c>
      <c r="F8">
        <f>Clinker!E8</f>
        <v>62</v>
      </c>
      <c r="G8">
        <f>'Mines (2)'!S8</f>
        <v>0</v>
      </c>
      <c r="H8">
        <v>10</v>
      </c>
      <c r="I8">
        <v>7</v>
      </c>
      <c r="K8" s="258">
        <v>6</v>
      </c>
      <c r="L8">
        <f t="shared" si="0"/>
        <v>2139.3000000000002</v>
      </c>
      <c r="M8">
        <f t="shared" si="1"/>
        <v>45</v>
      </c>
      <c r="N8">
        <f t="shared" si="2"/>
        <v>57.66</v>
      </c>
      <c r="O8">
        <f t="shared" si="3"/>
        <v>0</v>
      </c>
      <c r="Q8" s="258">
        <v>6</v>
      </c>
      <c r="R8">
        <f>Clinker!BB8</f>
        <v>0</v>
      </c>
      <c r="S8">
        <v>10</v>
      </c>
      <c r="T8">
        <f>R8-((R8*S8/100))</f>
        <v>0</v>
      </c>
    </row>
    <row r="9" spans="3:20">
      <c r="C9" s="258">
        <v>7</v>
      </c>
      <c r="D9">
        <f>'Mines (2)'!E9+'Mines (2)'!J9+'Mines (2)'!AB9</f>
        <v>2410</v>
      </c>
      <c r="E9">
        <f>'Mines (2)'!N9</f>
        <v>77</v>
      </c>
      <c r="F9">
        <f>Clinker!E9</f>
        <v>77</v>
      </c>
      <c r="G9">
        <f>'Mines (2)'!S9</f>
        <v>0</v>
      </c>
      <c r="H9">
        <v>10</v>
      </c>
      <c r="I9">
        <v>7</v>
      </c>
      <c r="K9" s="258">
        <v>7</v>
      </c>
      <c r="L9">
        <f t="shared" si="0"/>
        <v>2169</v>
      </c>
      <c r="M9">
        <f t="shared" si="1"/>
        <v>69.3</v>
      </c>
      <c r="N9">
        <f t="shared" si="2"/>
        <v>71.61</v>
      </c>
      <c r="O9">
        <f t="shared" si="3"/>
        <v>0</v>
      </c>
      <c r="Q9" s="258">
        <v>7</v>
      </c>
      <c r="R9">
        <f>Clinker!BB9</f>
        <v>0</v>
      </c>
      <c r="S9">
        <v>10</v>
      </c>
      <c r="T9">
        <f t="shared" si="4"/>
        <v>0</v>
      </c>
    </row>
    <row r="10" spans="3:20">
      <c r="C10" s="258">
        <v>8</v>
      </c>
      <c r="D10">
        <f>'Mines (2)'!E10+'Mines (2)'!J10+'Mines (2)'!AB10</f>
        <v>2283</v>
      </c>
      <c r="E10">
        <f>'Mines (2)'!N10</f>
        <v>24</v>
      </c>
      <c r="F10">
        <f>Clinker!E10</f>
        <v>64</v>
      </c>
      <c r="G10">
        <f>'Mines (2)'!S10</f>
        <v>0</v>
      </c>
      <c r="H10">
        <v>10</v>
      </c>
      <c r="I10">
        <v>7</v>
      </c>
      <c r="K10" s="258">
        <v>8</v>
      </c>
      <c r="L10">
        <f t="shared" si="0"/>
        <v>2054.6999999999998</v>
      </c>
      <c r="M10">
        <f t="shared" si="1"/>
        <v>21.6</v>
      </c>
      <c r="N10">
        <f t="shared" si="2"/>
        <v>59.519999999999996</v>
      </c>
      <c r="O10">
        <f t="shared" si="3"/>
        <v>0</v>
      </c>
      <c r="Q10" s="258">
        <v>8</v>
      </c>
      <c r="R10">
        <f>Clinker!BB10</f>
        <v>0</v>
      </c>
      <c r="S10">
        <v>10</v>
      </c>
      <c r="T10">
        <f t="shared" si="4"/>
        <v>0</v>
      </c>
    </row>
    <row r="11" spans="3:20">
      <c r="C11" s="258">
        <v>9</v>
      </c>
      <c r="D11">
        <f>'Mines (2)'!E11+'Mines (2)'!J11+'Mines (2)'!AB11</f>
        <v>2350</v>
      </c>
      <c r="E11">
        <f>'Mines (2)'!N11</f>
        <v>37</v>
      </c>
      <c r="F11">
        <f>Clinker!E11</f>
        <v>73</v>
      </c>
      <c r="G11">
        <f>'Mines (2)'!S11</f>
        <v>0</v>
      </c>
      <c r="H11">
        <v>10</v>
      </c>
      <c r="I11">
        <v>7</v>
      </c>
      <c r="K11" s="258">
        <v>9</v>
      </c>
      <c r="L11">
        <f t="shared" si="0"/>
        <v>2115</v>
      </c>
      <c r="M11">
        <f t="shared" si="1"/>
        <v>33.299999999999997</v>
      </c>
      <c r="N11">
        <f t="shared" si="2"/>
        <v>67.89</v>
      </c>
      <c r="O11">
        <f t="shared" si="3"/>
        <v>0</v>
      </c>
      <c r="Q11" s="258">
        <v>9</v>
      </c>
      <c r="R11">
        <f>Clinker!BB11</f>
        <v>0</v>
      </c>
      <c r="S11">
        <v>10</v>
      </c>
      <c r="T11">
        <f t="shared" si="4"/>
        <v>0</v>
      </c>
    </row>
    <row r="12" spans="3:20">
      <c r="C12" s="258">
        <v>10</v>
      </c>
      <c r="D12">
        <f>'Mines (2)'!E12+'Mines (2)'!J12+'Mines (2)'!AB12</f>
        <v>3004</v>
      </c>
      <c r="E12">
        <f>'Mines (2)'!N12</f>
        <v>64</v>
      </c>
      <c r="F12">
        <f>Clinker!E12</f>
        <v>95</v>
      </c>
      <c r="G12">
        <f>'Mines (2)'!S12</f>
        <v>0</v>
      </c>
      <c r="H12">
        <v>10</v>
      </c>
      <c r="I12">
        <v>7</v>
      </c>
      <c r="K12" s="258">
        <v>10</v>
      </c>
      <c r="L12">
        <f t="shared" si="0"/>
        <v>2703.6</v>
      </c>
      <c r="M12">
        <f t="shared" si="1"/>
        <v>57.6</v>
      </c>
      <c r="N12">
        <f t="shared" si="2"/>
        <v>88.35</v>
      </c>
      <c r="O12">
        <f t="shared" si="3"/>
        <v>0</v>
      </c>
      <c r="Q12" s="258">
        <v>10</v>
      </c>
      <c r="R12">
        <f>Clinker!BB12</f>
        <v>0</v>
      </c>
      <c r="S12">
        <v>10</v>
      </c>
      <c r="T12">
        <f t="shared" si="4"/>
        <v>0</v>
      </c>
    </row>
    <row r="13" spans="3:20">
      <c r="C13" s="258">
        <v>11</v>
      </c>
      <c r="D13">
        <f>'Mines (2)'!E13+'Mines (2)'!J13+'Mines (2)'!AB13</f>
        <v>2132</v>
      </c>
      <c r="E13">
        <f>'Mines (2)'!N13</f>
        <v>54</v>
      </c>
      <c r="F13">
        <f>Clinker!E13</f>
        <v>47</v>
      </c>
      <c r="G13">
        <f>'Mines (2)'!S13</f>
        <v>0</v>
      </c>
      <c r="H13">
        <v>10</v>
      </c>
      <c r="I13">
        <v>7</v>
      </c>
      <c r="K13" s="258">
        <v>11</v>
      </c>
      <c r="L13">
        <f t="shared" si="0"/>
        <v>1918.8</v>
      </c>
      <c r="M13">
        <f t="shared" si="1"/>
        <v>48.6</v>
      </c>
      <c r="N13">
        <f t="shared" si="2"/>
        <v>43.71</v>
      </c>
      <c r="O13">
        <f t="shared" si="3"/>
        <v>0</v>
      </c>
      <c r="Q13" s="258">
        <v>11</v>
      </c>
      <c r="R13">
        <f>Clinker!BB13</f>
        <v>0</v>
      </c>
      <c r="S13">
        <v>10</v>
      </c>
      <c r="T13">
        <f t="shared" si="4"/>
        <v>0</v>
      </c>
    </row>
    <row r="14" spans="3:20">
      <c r="C14" s="258">
        <v>12</v>
      </c>
      <c r="D14">
        <f>'Mines (2)'!E14+'Mines (2)'!J14+'Mines (2)'!AB14</f>
        <v>2628</v>
      </c>
      <c r="E14">
        <f>'Mines (2)'!N14</f>
        <v>67</v>
      </c>
      <c r="F14">
        <f>Clinker!E14</f>
        <v>59</v>
      </c>
      <c r="G14">
        <f>'Mines (2)'!S14</f>
        <v>0</v>
      </c>
      <c r="H14">
        <v>10</v>
      </c>
      <c r="I14">
        <v>7</v>
      </c>
      <c r="K14" s="258">
        <v>12</v>
      </c>
      <c r="L14">
        <f t="shared" si="0"/>
        <v>2365.1999999999998</v>
      </c>
      <c r="M14">
        <f t="shared" si="1"/>
        <v>60.3</v>
      </c>
      <c r="N14">
        <f t="shared" si="2"/>
        <v>54.87</v>
      </c>
      <c r="O14">
        <f t="shared" si="3"/>
        <v>0</v>
      </c>
      <c r="Q14" s="258">
        <v>12</v>
      </c>
      <c r="R14">
        <f>Clinker!BB14</f>
        <v>0</v>
      </c>
      <c r="S14">
        <v>10</v>
      </c>
      <c r="T14">
        <f t="shared" si="4"/>
        <v>0</v>
      </c>
    </row>
    <row r="15" spans="3:20">
      <c r="C15" s="258">
        <v>13</v>
      </c>
      <c r="D15">
        <f>'Mines (2)'!E15+'Mines (2)'!J15+'Mines (2)'!AB15</f>
        <v>2071</v>
      </c>
      <c r="E15">
        <f>'Mines (2)'!N15</f>
        <v>54</v>
      </c>
      <c r="F15">
        <f>Clinker!E15</f>
        <v>46</v>
      </c>
      <c r="G15">
        <f>'Mines (2)'!S15</f>
        <v>0</v>
      </c>
      <c r="H15">
        <v>10</v>
      </c>
      <c r="I15">
        <v>7</v>
      </c>
      <c r="K15" s="258">
        <v>13</v>
      </c>
      <c r="L15">
        <f t="shared" si="0"/>
        <v>1863.9</v>
      </c>
      <c r="M15">
        <f t="shared" si="1"/>
        <v>48.6</v>
      </c>
      <c r="N15">
        <f t="shared" si="2"/>
        <v>42.78</v>
      </c>
      <c r="O15">
        <f t="shared" si="3"/>
        <v>0</v>
      </c>
      <c r="Q15" s="258">
        <v>13</v>
      </c>
      <c r="R15">
        <f>Clinker!BB15</f>
        <v>0</v>
      </c>
      <c r="S15">
        <v>10</v>
      </c>
      <c r="T15">
        <f t="shared" si="4"/>
        <v>0</v>
      </c>
    </row>
    <row r="16" spans="3:20">
      <c r="C16" s="258">
        <v>14</v>
      </c>
      <c r="D16">
        <f>'Mines (2)'!E16+'Mines (2)'!J16+'Mines (2)'!AB16</f>
        <v>2135</v>
      </c>
      <c r="E16">
        <f>'Mines (2)'!N16</f>
        <v>49</v>
      </c>
      <c r="F16">
        <f>Clinker!E16</f>
        <v>61</v>
      </c>
      <c r="G16">
        <f>'Mines (2)'!S16</f>
        <v>0</v>
      </c>
      <c r="H16">
        <v>10</v>
      </c>
      <c r="I16">
        <v>7</v>
      </c>
      <c r="K16" s="258">
        <v>14</v>
      </c>
      <c r="L16">
        <f t="shared" si="0"/>
        <v>1921.5</v>
      </c>
      <c r="M16">
        <f t="shared" si="1"/>
        <v>44.1</v>
      </c>
      <c r="N16">
        <f t="shared" si="2"/>
        <v>56.73</v>
      </c>
      <c r="O16">
        <f t="shared" si="3"/>
        <v>0</v>
      </c>
      <c r="Q16" s="258">
        <v>14</v>
      </c>
      <c r="R16">
        <f>Clinker!BB16</f>
        <v>0</v>
      </c>
      <c r="S16">
        <v>10</v>
      </c>
      <c r="T16">
        <f t="shared" si="4"/>
        <v>0</v>
      </c>
    </row>
    <row r="17" spans="3:20">
      <c r="C17" s="258">
        <v>15</v>
      </c>
      <c r="D17">
        <f>'Mines (2)'!E17+'Mines (2)'!J17+'Mines (2)'!AB17</f>
        <v>2455</v>
      </c>
      <c r="E17">
        <f>'Mines (2)'!N17</f>
        <v>48</v>
      </c>
      <c r="F17">
        <f>Clinker!E17</f>
        <v>63</v>
      </c>
      <c r="G17">
        <f>'Mines (2)'!S17</f>
        <v>0</v>
      </c>
      <c r="H17">
        <v>10</v>
      </c>
      <c r="I17">
        <v>7</v>
      </c>
      <c r="K17" s="258">
        <v>15</v>
      </c>
      <c r="L17">
        <f t="shared" si="0"/>
        <v>2209.5</v>
      </c>
      <c r="M17">
        <f t="shared" si="1"/>
        <v>43.2</v>
      </c>
      <c r="N17">
        <f t="shared" si="2"/>
        <v>58.59</v>
      </c>
      <c r="O17">
        <f t="shared" si="3"/>
        <v>0</v>
      </c>
      <c r="Q17" s="258">
        <v>15</v>
      </c>
      <c r="R17">
        <f>Clinker!BB17</f>
        <v>0</v>
      </c>
      <c r="S17">
        <v>10</v>
      </c>
      <c r="T17">
        <f t="shared" si="4"/>
        <v>0</v>
      </c>
    </row>
    <row r="18" spans="3:20">
      <c r="C18" s="258">
        <v>16</v>
      </c>
      <c r="D18">
        <f>'Mines (2)'!E18+'Mines (2)'!J18+'Mines (2)'!AB18</f>
        <v>2547</v>
      </c>
      <c r="E18">
        <f>'Mines (2)'!N18</f>
        <v>56</v>
      </c>
      <c r="F18">
        <f>Clinker!E18</f>
        <v>72</v>
      </c>
      <c r="G18">
        <f>'Mines (2)'!S18</f>
        <v>0</v>
      </c>
      <c r="H18">
        <v>10</v>
      </c>
      <c r="I18">
        <v>7</v>
      </c>
      <c r="K18" s="258">
        <v>16</v>
      </c>
      <c r="L18">
        <f t="shared" si="0"/>
        <v>2292.3000000000002</v>
      </c>
      <c r="M18">
        <f t="shared" si="1"/>
        <v>50.4</v>
      </c>
      <c r="N18">
        <f t="shared" si="2"/>
        <v>66.959999999999994</v>
      </c>
      <c r="O18">
        <f t="shared" si="3"/>
        <v>0</v>
      </c>
      <c r="Q18" s="258">
        <v>16</v>
      </c>
      <c r="R18">
        <f>Clinker!BB18</f>
        <v>143.34</v>
      </c>
      <c r="S18">
        <v>10</v>
      </c>
      <c r="T18">
        <f t="shared" si="4"/>
        <v>129.006</v>
      </c>
    </row>
    <row r="19" spans="3:20">
      <c r="C19" s="258">
        <v>17</v>
      </c>
      <c r="D19">
        <f>'Mines (2)'!E19+'Mines (2)'!J19+'Mines (2)'!AB19</f>
        <v>1727</v>
      </c>
      <c r="E19">
        <f>'Mines (2)'!N19</f>
        <v>24</v>
      </c>
      <c r="F19">
        <f>Clinker!E19</f>
        <v>47</v>
      </c>
      <c r="G19">
        <f>'Mines (2)'!S19</f>
        <v>0</v>
      </c>
      <c r="H19">
        <v>10</v>
      </c>
      <c r="I19">
        <v>7</v>
      </c>
      <c r="K19" s="258">
        <v>17</v>
      </c>
      <c r="L19">
        <f t="shared" si="0"/>
        <v>1554.3</v>
      </c>
      <c r="M19">
        <f t="shared" si="1"/>
        <v>21.6</v>
      </c>
      <c r="N19">
        <f t="shared" si="2"/>
        <v>43.71</v>
      </c>
      <c r="O19">
        <f t="shared" si="3"/>
        <v>0</v>
      </c>
      <c r="Q19" s="258">
        <v>17</v>
      </c>
      <c r="R19">
        <f>Clinker!BB19</f>
        <v>244.44</v>
      </c>
      <c r="S19">
        <v>10</v>
      </c>
      <c r="T19">
        <f t="shared" si="4"/>
        <v>219.99599999999998</v>
      </c>
    </row>
    <row r="20" spans="3:20">
      <c r="C20" s="258">
        <v>18</v>
      </c>
      <c r="D20">
        <f>'Mines (2)'!E20+'Mines (2)'!J20+'Mines (2)'!AB20</f>
        <v>2148</v>
      </c>
      <c r="E20">
        <f>'Mines (2)'!N20</f>
        <v>73</v>
      </c>
      <c r="F20">
        <f>Clinker!E20</f>
        <v>88</v>
      </c>
      <c r="G20">
        <f>'Mines (2)'!S20</f>
        <v>0</v>
      </c>
      <c r="H20">
        <v>10</v>
      </c>
      <c r="I20">
        <v>7</v>
      </c>
      <c r="K20" s="258">
        <v>18</v>
      </c>
      <c r="L20">
        <f t="shared" si="0"/>
        <v>1933.2</v>
      </c>
      <c r="M20">
        <f t="shared" si="1"/>
        <v>65.7</v>
      </c>
      <c r="N20">
        <f t="shared" si="2"/>
        <v>81.84</v>
      </c>
      <c r="O20">
        <f t="shared" si="3"/>
        <v>0</v>
      </c>
      <c r="Q20" s="258">
        <v>18</v>
      </c>
      <c r="R20">
        <f>Clinker!BB20</f>
        <v>237.78</v>
      </c>
      <c r="S20">
        <v>10</v>
      </c>
      <c r="T20">
        <f t="shared" si="4"/>
        <v>214.00200000000001</v>
      </c>
    </row>
    <row r="21" spans="3:20">
      <c r="C21" s="258">
        <v>19</v>
      </c>
      <c r="D21">
        <f>'Mines (2)'!E21+'Mines (2)'!J21+'Mines (2)'!AB21</f>
        <v>1954</v>
      </c>
      <c r="E21">
        <f>'Mines (2)'!N21</f>
        <v>67</v>
      </c>
      <c r="F21">
        <f>Clinker!E21</f>
        <v>80</v>
      </c>
      <c r="G21">
        <f>'Mines (2)'!S21</f>
        <v>0</v>
      </c>
      <c r="H21">
        <v>10</v>
      </c>
      <c r="I21">
        <v>7</v>
      </c>
      <c r="K21" s="258">
        <v>19</v>
      </c>
      <c r="L21">
        <f t="shared" si="0"/>
        <v>1758.6</v>
      </c>
      <c r="M21">
        <f t="shared" si="1"/>
        <v>60.3</v>
      </c>
      <c r="N21">
        <f t="shared" si="2"/>
        <v>74.400000000000006</v>
      </c>
      <c r="O21">
        <f t="shared" si="3"/>
        <v>0</v>
      </c>
      <c r="Q21" s="258">
        <v>19</v>
      </c>
      <c r="R21">
        <f>Clinker!BB21</f>
        <v>236.67</v>
      </c>
      <c r="S21">
        <v>10</v>
      </c>
      <c r="T21">
        <f t="shared" si="4"/>
        <v>213.00299999999999</v>
      </c>
    </row>
    <row r="22" spans="3:20">
      <c r="C22" s="258">
        <v>20</v>
      </c>
      <c r="D22">
        <f>'Mines (2)'!E22+'Mines (2)'!J22+'Mines (2)'!AB22</f>
        <v>1664</v>
      </c>
      <c r="E22">
        <f>'Mines (2)'!N22</f>
        <v>57</v>
      </c>
      <c r="F22">
        <f>Clinker!E22</f>
        <v>68</v>
      </c>
      <c r="G22">
        <f>'Mines (2)'!S22</f>
        <v>0</v>
      </c>
      <c r="H22">
        <v>10</v>
      </c>
      <c r="I22">
        <v>7</v>
      </c>
      <c r="K22" s="258">
        <v>20</v>
      </c>
      <c r="L22">
        <f t="shared" si="0"/>
        <v>1497.6</v>
      </c>
      <c r="M22">
        <f t="shared" si="1"/>
        <v>51.3</v>
      </c>
      <c r="N22">
        <f t="shared" si="2"/>
        <v>63.24</v>
      </c>
      <c r="O22">
        <f t="shared" si="3"/>
        <v>0</v>
      </c>
      <c r="Q22" s="258">
        <v>20</v>
      </c>
      <c r="R22">
        <f>Clinker!BB22</f>
        <v>227.78</v>
      </c>
      <c r="S22">
        <v>10</v>
      </c>
      <c r="T22">
        <f t="shared" si="4"/>
        <v>205.00200000000001</v>
      </c>
    </row>
    <row r="23" spans="3:20">
      <c r="C23" s="258">
        <v>21</v>
      </c>
      <c r="D23">
        <f>'Mines (2)'!E23+'Mines (2)'!J23+'Mines (2)'!AB23</f>
        <v>1906</v>
      </c>
      <c r="E23">
        <f>'Mines (2)'!N23</f>
        <v>41</v>
      </c>
      <c r="F23">
        <f>Clinker!E23</f>
        <v>42</v>
      </c>
      <c r="G23">
        <f>'Mines (2)'!S23</f>
        <v>0</v>
      </c>
      <c r="H23">
        <v>10</v>
      </c>
      <c r="I23">
        <v>7</v>
      </c>
      <c r="K23" s="258">
        <v>21</v>
      </c>
      <c r="L23">
        <f t="shared" si="0"/>
        <v>1715.4</v>
      </c>
      <c r="M23">
        <f t="shared" si="1"/>
        <v>36.9</v>
      </c>
      <c r="N23">
        <f t="shared" si="2"/>
        <v>39.06</v>
      </c>
      <c r="O23">
        <f t="shared" si="3"/>
        <v>0</v>
      </c>
      <c r="Q23" s="258">
        <v>21</v>
      </c>
      <c r="R23">
        <f>Clinker!BB23</f>
        <v>211.11</v>
      </c>
      <c r="S23">
        <v>10</v>
      </c>
      <c r="T23">
        <f t="shared" si="4"/>
        <v>189.99900000000002</v>
      </c>
    </row>
    <row r="24" spans="3:20">
      <c r="C24" s="258">
        <v>22</v>
      </c>
      <c r="D24">
        <f>'Mines (2)'!E24+'Mines (2)'!J24+'Mines (2)'!AB24</f>
        <v>1587</v>
      </c>
      <c r="E24">
        <f>'Mines (2)'!N24</f>
        <v>17</v>
      </c>
      <c r="F24">
        <f>Clinker!E24</f>
        <v>55</v>
      </c>
      <c r="G24">
        <f>'Mines (2)'!S24</f>
        <v>0</v>
      </c>
      <c r="H24">
        <v>10</v>
      </c>
      <c r="I24">
        <v>7</v>
      </c>
      <c r="K24" s="258">
        <v>22</v>
      </c>
      <c r="L24">
        <f t="shared" si="0"/>
        <v>1428.3</v>
      </c>
      <c r="M24">
        <f t="shared" si="1"/>
        <v>15.3</v>
      </c>
      <c r="N24">
        <f t="shared" si="2"/>
        <v>51.15</v>
      </c>
      <c r="O24">
        <f t="shared" si="3"/>
        <v>0</v>
      </c>
      <c r="Q24" s="258">
        <v>22</v>
      </c>
      <c r="R24">
        <f>Clinker!BB24</f>
        <v>169</v>
      </c>
      <c r="S24">
        <v>10</v>
      </c>
      <c r="T24">
        <f t="shared" si="4"/>
        <v>152.1</v>
      </c>
    </row>
    <row r="25" spans="3:20">
      <c r="C25" s="258">
        <v>23</v>
      </c>
      <c r="D25">
        <f>'Mines (2)'!E25+'Mines (2)'!J25+'Mines (2)'!AB25</f>
        <v>0</v>
      </c>
      <c r="E25">
        <f>'Mines (2)'!N25</f>
        <v>0</v>
      </c>
      <c r="F25">
        <f>Clinker!E25</f>
        <v>0</v>
      </c>
      <c r="G25">
        <f>'Mines (2)'!S25</f>
        <v>0</v>
      </c>
      <c r="H25">
        <v>10</v>
      </c>
      <c r="I25">
        <v>7</v>
      </c>
      <c r="K25" s="258">
        <v>23</v>
      </c>
      <c r="L25">
        <f t="shared" si="0"/>
        <v>0</v>
      </c>
      <c r="M25">
        <f t="shared" si="1"/>
        <v>0</v>
      </c>
      <c r="N25">
        <f t="shared" si="2"/>
        <v>0</v>
      </c>
      <c r="O25">
        <f t="shared" si="3"/>
        <v>0</v>
      </c>
      <c r="Q25" s="258">
        <v>23</v>
      </c>
      <c r="R25">
        <f>Clinker!BB25</f>
        <v>14</v>
      </c>
      <c r="S25">
        <v>10</v>
      </c>
      <c r="T25">
        <f t="shared" si="4"/>
        <v>12.6</v>
      </c>
    </row>
    <row r="26" spans="3:20">
      <c r="C26" s="258">
        <v>24</v>
      </c>
      <c r="D26">
        <f>'Mines (2)'!E26+'Mines (2)'!J26+'Mines (2)'!AB26</f>
        <v>1614</v>
      </c>
      <c r="E26">
        <f>'Mines (2)'!N26</f>
        <v>19</v>
      </c>
      <c r="F26">
        <f>Clinker!E26</f>
        <v>37</v>
      </c>
      <c r="G26">
        <f>'Mines (2)'!S26</f>
        <v>0</v>
      </c>
      <c r="H26">
        <v>10</v>
      </c>
      <c r="I26">
        <v>7</v>
      </c>
      <c r="K26" s="258">
        <v>24</v>
      </c>
      <c r="L26">
        <f t="shared" si="0"/>
        <v>1452.6</v>
      </c>
      <c r="M26">
        <f t="shared" si="1"/>
        <v>17.100000000000001</v>
      </c>
      <c r="N26">
        <f t="shared" si="2"/>
        <v>34.409999999999997</v>
      </c>
      <c r="O26">
        <f t="shared" si="3"/>
        <v>0</v>
      </c>
      <c r="Q26" s="258">
        <v>24</v>
      </c>
      <c r="R26">
        <f>Clinker!BB26</f>
        <v>175</v>
      </c>
      <c r="S26">
        <v>10</v>
      </c>
      <c r="T26">
        <f t="shared" si="4"/>
        <v>157.5</v>
      </c>
    </row>
    <row r="27" spans="3:20">
      <c r="C27" s="258">
        <v>25</v>
      </c>
      <c r="D27">
        <f>'Mines (2)'!E27+'Mines (2)'!J27+'Mines (2)'!AB27</f>
        <v>2600</v>
      </c>
      <c r="E27">
        <f>'Mines (2)'!N27</f>
        <v>17</v>
      </c>
      <c r="F27">
        <f>Clinker!E27</f>
        <v>51</v>
      </c>
      <c r="G27">
        <f>'Mines (2)'!S27</f>
        <v>0</v>
      </c>
      <c r="H27">
        <v>10</v>
      </c>
      <c r="I27">
        <v>7</v>
      </c>
      <c r="K27" s="258">
        <v>25</v>
      </c>
      <c r="L27">
        <f t="shared" si="0"/>
        <v>2340</v>
      </c>
      <c r="M27">
        <f t="shared" si="1"/>
        <v>15.3</v>
      </c>
      <c r="N27">
        <f t="shared" si="2"/>
        <v>47.43</v>
      </c>
      <c r="O27">
        <f t="shared" si="3"/>
        <v>0</v>
      </c>
      <c r="Q27" s="258">
        <v>25</v>
      </c>
      <c r="R27">
        <f>Clinker!BB27</f>
        <v>272</v>
      </c>
      <c r="S27">
        <v>10</v>
      </c>
      <c r="T27">
        <f t="shared" si="4"/>
        <v>244.8</v>
      </c>
    </row>
    <row r="28" spans="3:20">
      <c r="C28" s="258">
        <v>26</v>
      </c>
      <c r="D28">
        <f>'Mines (2)'!E28+'Mines (2)'!J28+'Mines (2)'!AB28</f>
        <v>2675</v>
      </c>
      <c r="E28">
        <f>'Mines (2)'!N28</f>
        <v>18</v>
      </c>
      <c r="F28">
        <f>Clinker!E28</f>
        <v>50</v>
      </c>
      <c r="G28">
        <f>'Mines (2)'!S28</f>
        <v>0</v>
      </c>
      <c r="H28">
        <v>10</v>
      </c>
      <c r="I28">
        <v>7</v>
      </c>
      <c r="K28" s="258">
        <v>26</v>
      </c>
      <c r="L28">
        <f t="shared" si="0"/>
        <v>2407.5</v>
      </c>
      <c r="M28">
        <f t="shared" si="1"/>
        <v>16.2</v>
      </c>
      <c r="N28">
        <f t="shared" si="2"/>
        <v>46.5</v>
      </c>
      <c r="O28">
        <f t="shared" si="3"/>
        <v>0</v>
      </c>
      <c r="Q28" s="258">
        <v>26</v>
      </c>
      <c r="R28">
        <f>Clinker!BB28</f>
        <v>266.67</v>
      </c>
      <c r="S28">
        <v>10</v>
      </c>
      <c r="T28">
        <f t="shared" si="4"/>
        <v>240.00300000000001</v>
      </c>
    </row>
    <row r="29" spans="3:20">
      <c r="C29" s="258">
        <v>27</v>
      </c>
      <c r="D29">
        <f>'Mines (2)'!E29+'Mines (2)'!J29+'Mines (2)'!AB29</f>
        <v>2197</v>
      </c>
      <c r="E29">
        <f>'Mines (2)'!N29</f>
        <v>16</v>
      </c>
      <c r="F29">
        <f>Clinker!E29</f>
        <v>40</v>
      </c>
      <c r="G29">
        <f>'Mines (2)'!S29</f>
        <v>0</v>
      </c>
      <c r="H29">
        <v>10</v>
      </c>
      <c r="I29">
        <v>7</v>
      </c>
      <c r="K29" s="258">
        <v>27</v>
      </c>
      <c r="L29">
        <f t="shared" si="0"/>
        <v>1977.3</v>
      </c>
      <c r="M29">
        <f t="shared" si="1"/>
        <v>14.4</v>
      </c>
      <c r="N29">
        <f t="shared" si="2"/>
        <v>37.200000000000003</v>
      </c>
      <c r="O29">
        <f t="shared" si="3"/>
        <v>0</v>
      </c>
      <c r="Q29" s="258">
        <v>27</v>
      </c>
      <c r="R29">
        <f>Clinker!BB29</f>
        <v>244.44</v>
      </c>
      <c r="S29">
        <v>10</v>
      </c>
      <c r="T29">
        <f t="shared" si="4"/>
        <v>219.99599999999998</v>
      </c>
    </row>
    <row r="30" spans="3:20">
      <c r="C30" s="258">
        <v>28</v>
      </c>
      <c r="D30">
        <f>'Mines (2)'!E30+'Mines (2)'!J30+'Mines (2)'!AB30</f>
        <v>2571</v>
      </c>
      <c r="E30">
        <f>'Mines (2)'!N30</f>
        <v>18</v>
      </c>
      <c r="F30">
        <f>Clinker!E30</f>
        <v>34</v>
      </c>
      <c r="G30">
        <f>'Mines (2)'!S30</f>
        <v>0</v>
      </c>
      <c r="H30">
        <v>10</v>
      </c>
      <c r="I30">
        <v>7</v>
      </c>
      <c r="K30" s="258">
        <v>28</v>
      </c>
      <c r="L30">
        <f t="shared" si="0"/>
        <v>2313.9</v>
      </c>
      <c r="M30">
        <f t="shared" si="1"/>
        <v>16.2</v>
      </c>
      <c r="N30">
        <f t="shared" si="2"/>
        <v>31.62</v>
      </c>
      <c r="O30">
        <f t="shared" si="3"/>
        <v>0</v>
      </c>
      <c r="Q30" s="258">
        <v>28</v>
      </c>
      <c r="R30">
        <f>Clinker!BB30</f>
        <v>233.33</v>
      </c>
      <c r="S30">
        <v>10</v>
      </c>
      <c r="T30">
        <f t="shared" si="4"/>
        <v>209.99700000000001</v>
      </c>
    </row>
    <row r="31" spans="3:20">
      <c r="C31" s="258">
        <v>29</v>
      </c>
      <c r="D31">
        <f>'Mines (2)'!E31+'Mines (2)'!J31+'Mines (2)'!AB31</f>
        <v>2626</v>
      </c>
      <c r="E31">
        <f>'Mines (2)'!N31</f>
        <v>14</v>
      </c>
      <c r="F31">
        <f>Clinker!E31</f>
        <v>77</v>
      </c>
      <c r="G31">
        <f>'Mines (2)'!S31</f>
        <v>0</v>
      </c>
      <c r="H31">
        <v>10</v>
      </c>
      <c r="I31">
        <v>7</v>
      </c>
      <c r="K31" s="258">
        <v>29</v>
      </c>
      <c r="L31">
        <f t="shared" si="0"/>
        <v>2363.4</v>
      </c>
      <c r="M31">
        <f t="shared" si="1"/>
        <v>12.6</v>
      </c>
      <c r="N31">
        <f t="shared" si="2"/>
        <v>71.61</v>
      </c>
      <c r="O31">
        <f t="shared" si="3"/>
        <v>0</v>
      </c>
      <c r="Q31" s="258">
        <v>29</v>
      </c>
      <c r="R31">
        <f>Clinker!BB31</f>
        <v>246</v>
      </c>
      <c r="S31">
        <v>10</v>
      </c>
      <c r="T31">
        <f t="shared" si="4"/>
        <v>221.4</v>
      </c>
    </row>
    <row r="32" spans="3:20">
      <c r="C32" s="258">
        <v>30</v>
      </c>
      <c r="D32">
        <f>'Mines (2)'!E32+'Mines (2)'!J32+'Mines (2)'!AB32</f>
        <v>1628</v>
      </c>
      <c r="E32">
        <f>'Mines (2)'!N32</f>
        <v>46</v>
      </c>
      <c r="F32">
        <f>Clinker!E32</f>
        <v>43</v>
      </c>
      <c r="G32">
        <f>'Mines (2)'!S32</f>
        <v>0</v>
      </c>
      <c r="H32">
        <v>10</v>
      </c>
      <c r="I32">
        <v>7</v>
      </c>
      <c r="K32" s="258">
        <v>30</v>
      </c>
      <c r="L32">
        <f t="shared" si="0"/>
        <v>1465.2</v>
      </c>
      <c r="M32">
        <f t="shared" si="1"/>
        <v>41.4</v>
      </c>
      <c r="N32">
        <f t="shared" si="2"/>
        <v>39.99</v>
      </c>
      <c r="O32">
        <f t="shared" si="3"/>
        <v>0</v>
      </c>
      <c r="Q32" s="258">
        <v>30</v>
      </c>
      <c r="R32">
        <f>Clinker!BB32</f>
        <v>170</v>
      </c>
      <c r="S32">
        <v>10</v>
      </c>
      <c r="T32">
        <f t="shared" si="4"/>
        <v>153</v>
      </c>
    </row>
    <row r="33" spans="3:20">
      <c r="C33" s="258">
        <v>31</v>
      </c>
      <c r="D33">
        <f>'Mines (2)'!E33+'Mines (2)'!J33+'Mines (2)'!AB33</f>
        <v>0</v>
      </c>
      <c r="E33">
        <f>'Mines (2)'!N33</f>
        <v>0</v>
      </c>
      <c r="F33">
        <f>Clinker!E33</f>
        <v>0</v>
      </c>
      <c r="G33">
        <f>'Mines (2)'!S33</f>
        <v>0</v>
      </c>
      <c r="H33">
        <v>10</v>
      </c>
      <c r="I33">
        <v>7</v>
      </c>
      <c r="K33" s="258">
        <v>31</v>
      </c>
      <c r="L33">
        <f t="shared" si="0"/>
        <v>0</v>
      </c>
      <c r="M33">
        <f t="shared" si="1"/>
        <v>0</v>
      </c>
      <c r="N33">
        <f t="shared" si="2"/>
        <v>0</v>
      </c>
      <c r="O33">
        <f t="shared" si="3"/>
        <v>0</v>
      </c>
      <c r="Q33" s="258">
        <v>31</v>
      </c>
      <c r="R33">
        <f>Clinker!BB33</f>
        <v>0</v>
      </c>
      <c r="S33">
        <v>10</v>
      </c>
      <c r="T33">
        <f t="shared" si="4"/>
        <v>0</v>
      </c>
    </row>
    <row r="34" spans="3:20">
      <c r="C34" s="258" t="s">
        <v>9</v>
      </c>
      <c r="D34">
        <f>SUM(D3:D33)</f>
        <v>67049</v>
      </c>
      <c r="E34">
        <f t="shared" ref="E34:G34" si="5">SUM(E3:E33)</f>
        <v>1223</v>
      </c>
      <c r="F34">
        <f t="shared" si="5"/>
        <v>1754</v>
      </c>
      <c r="G34">
        <f t="shared" si="5"/>
        <v>0</v>
      </c>
      <c r="K34" s="258" t="s">
        <v>9</v>
      </c>
      <c r="L34">
        <f>SUM(L3:L33)</f>
        <v>60344.100000000006</v>
      </c>
      <c r="M34">
        <f>SUM(M3:M33)</f>
        <v>1100.7</v>
      </c>
      <c r="N34">
        <f t="shared" ref="N34:O34" si="6">SUM(N3:N33)</f>
        <v>1631.2200000000003</v>
      </c>
      <c r="O34">
        <f t="shared" si="6"/>
        <v>0</v>
      </c>
      <c r="Q34" s="258" t="s">
        <v>9</v>
      </c>
      <c r="R34">
        <f>SUM(R3:R33)</f>
        <v>3404.8900000000003</v>
      </c>
      <c r="S34">
        <v>10</v>
      </c>
      <c r="T34">
        <f>SUM(T3:T33)</f>
        <v>3064.4009999999998</v>
      </c>
    </row>
    <row r="35" spans="3:20">
      <c r="L35" s="239">
        <f>((D34-L34)/D34)</f>
        <v>9.9999999999999908E-2</v>
      </c>
      <c r="M35" s="239">
        <f>((E34-M34)/E34)</f>
        <v>9.9999999999999964E-2</v>
      </c>
      <c r="N35" s="239">
        <f>((F34-N34)/F34)</f>
        <v>6.9999999999999854E-2</v>
      </c>
      <c r="O35" s="239" t="e">
        <f>((G34-O34)/G34)</f>
        <v>#DIV/0!</v>
      </c>
      <c r="S35" s="263">
        <f>(R34-T34)/R34</f>
        <v>0.10000000000000013</v>
      </c>
    </row>
    <row r="36" spans="3:20">
      <c r="S36" s="263" t="e">
        <f>(R35-T35)/R35</f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2:U159"/>
  <sheetViews>
    <sheetView zoomScale="90" zoomScaleNormal="90" workbookViewId="0">
      <pane xSplit="4" ySplit="1" topLeftCell="E13" activePane="bottomRight" state="frozen"/>
      <selection pane="bottomRight" activeCell="O33" sqref="O33:O34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10.14062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10.42578125" style="68" bestFit="1" customWidth="1"/>
    <col min="12" max="12" width="10.42578125" style="68" customWidth="1"/>
    <col min="13" max="13" width="10.855468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52" t="s">
        <v>247</v>
      </c>
      <c r="Q4" s="153" t="s">
        <v>248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'Mines (2)'!C3+'Mines (2)'!H3+'Mines (2)'!V3+'Mines (2)'!Z3+'Mines (2)'!AD3</f>
        <v>19467.800262331166</v>
      </c>
      <c r="F9" s="74">
        <f>Production2!D3</f>
        <v>5443.72</v>
      </c>
      <c r="G9" s="74">
        <f>F9</f>
        <v>5443.72</v>
      </c>
      <c r="H9" s="74">
        <f>F9+Production2!D36</f>
        <v>162311</v>
      </c>
      <c r="I9" s="74">
        <f>Production2!E3</f>
        <v>3401</v>
      </c>
      <c r="J9" s="74">
        <f>I9</f>
        <v>3401</v>
      </c>
      <c r="K9" s="74">
        <f>I9+Production2!E36</f>
        <v>143432</v>
      </c>
      <c r="L9" s="74">
        <f>E9+F9-I9-I23</f>
        <v>21171.842484553392</v>
      </c>
      <c r="M9" s="75">
        <f>I9</f>
        <v>3401</v>
      </c>
      <c r="N9" s="75">
        <f>(I9/I15)*100</f>
        <v>98.437047756874094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(2)'!L3</f>
        <v>2911.44</v>
      </c>
      <c r="F10" s="77">
        <f>'Mines (2)'!M3</f>
        <v>0</v>
      </c>
      <c r="G10" s="74">
        <f t="shared" ref="G10:G12" si="0">F10</f>
        <v>0</v>
      </c>
      <c r="H10" s="74">
        <f>F10+'Mines (2)'!M36</f>
        <v>5269.4000000000015</v>
      </c>
      <c r="I10" s="77">
        <f>'Mines (2)'!N3</f>
        <v>2</v>
      </c>
      <c r="J10" s="74">
        <f t="shared" ref="J10:J12" si="1">I10</f>
        <v>2</v>
      </c>
      <c r="K10" s="74">
        <f>I10+'Mines (2)'!N36</f>
        <v>2484</v>
      </c>
      <c r="L10" s="77">
        <f t="shared" ref="L10:L12" si="2">E10+F10-I10</f>
        <v>2909.44</v>
      </c>
      <c r="M10" s="75">
        <f t="shared" ref="M10:M12" si="3">I10</f>
        <v>2</v>
      </c>
      <c r="N10" s="75">
        <f>(I10/I15)*100</f>
        <v>5.7887120115774238E-2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Clinker!C3</f>
        <v>2647.92</v>
      </c>
      <c r="F11" s="77">
        <f>Clinker!D3</f>
        <v>0</v>
      </c>
      <c r="G11" s="74">
        <f t="shared" si="0"/>
        <v>0</v>
      </c>
      <c r="H11" s="74">
        <f>F11+Clinker!D36</f>
        <v>417.28000000000003</v>
      </c>
      <c r="I11" s="77">
        <f>Clinker!E3</f>
        <v>52</v>
      </c>
      <c r="J11" s="74">
        <f t="shared" si="1"/>
        <v>52</v>
      </c>
      <c r="K11" s="74">
        <f>I11+Clinker!E36</f>
        <v>3187</v>
      </c>
      <c r="L11" s="77">
        <f t="shared" si="2"/>
        <v>2595.92</v>
      </c>
      <c r="M11" s="75">
        <f t="shared" si="3"/>
        <v>52</v>
      </c>
      <c r="N11" s="75">
        <f>(I11/I15)*100</f>
        <v>1.5050651230101302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(2)'!Q3</f>
        <v>3.999999999996362E-2</v>
      </c>
      <c r="F12" s="77">
        <f>'Mines (2)'!R3</f>
        <v>0</v>
      </c>
      <c r="G12" s="74">
        <f t="shared" si="0"/>
        <v>0</v>
      </c>
      <c r="H12" s="74">
        <f>F12+'Mines (2)'!R36</f>
        <v>137.76</v>
      </c>
      <c r="I12" s="77">
        <f>'Mines (2)'!S3</f>
        <v>0</v>
      </c>
      <c r="J12" s="74">
        <f t="shared" si="1"/>
        <v>0</v>
      </c>
      <c r="K12" s="74">
        <f>I12+'Mines (2)'!S36</f>
        <v>738</v>
      </c>
      <c r="L12" s="77">
        <f t="shared" si="2"/>
        <v>3.999999999996362E-2</v>
      </c>
      <c r="M12" s="75">
        <f t="shared" si="3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>SUM(E9:E12)</f>
        <v>25027.200262331164</v>
      </c>
      <c r="F15" s="127">
        <f t="shared" ref="F15:K15" si="4">SUM(F9:F12)</f>
        <v>5443.72</v>
      </c>
      <c r="G15" s="127">
        <f t="shared" si="4"/>
        <v>5443.72</v>
      </c>
      <c r="H15" s="127">
        <f t="shared" si="4"/>
        <v>168135.44</v>
      </c>
      <c r="I15" s="127">
        <f t="shared" si="4"/>
        <v>3455</v>
      </c>
      <c r="J15" s="127">
        <f t="shared" si="4"/>
        <v>3455</v>
      </c>
      <c r="K15" s="127">
        <f t="shared" si="4"/>
        <v>149841</v>
      </c>
      <c r="L15" s="127">
        <f>E15+F15-I15</f>
        <v>27015.920262331165</v>
      </c>
      <c r="M15" s="128">
        <f>SUM(M9:M12)</f>
        <v>3455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Clinker!EB3</f>
        <v>4628.0869999999904</v>
      </c>
      <c r="F16" s="77">
        <f>Clinker!EC3</f>
        <v>151.76</v>
      </c>
      <c r="G16" s="77">
        <f>F16</f>
        <v>151.76</v>
      </c>
      <c r="H16" s="77">
        <f>F16+Clinker!EC36</f>
        <v>957</v>
      </c>
      <c r="I16" s="77">
        <f>Clinker!ED3</f>
        <v>313.33000000000004</v>
      </c>
      <c r="J16" s="77">
        <f>I16</f>
        <v>313.33000000000004</v>
      </c>
      <c r="K16" s="77">
        <f>I16+Clinker!ED36</f>
        <v>15030.640000000001</v>
      </c>
      <c r="L16" s="77">
        <f>E16+F16-I16-Clinker!N3-Clinker!Z3-Clinker!AS3-Clinker!AX3-Clinker!BC3-Clinker!BW3-Clinker!BH3-Clinker!BM3-Clinker!BR3-Clinker!CV3-Clinker!DP3</f>
        <v>4466.5169999999907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Clinker!EF3</f>
        <v>4048.7199999999939</v>
      </c>
      <c r="F17" s="77">
        <f>Clinker!EG3</f>
        <v>272.05</v>
      </c>
      <c r="G17" s="77">
        <f>F17</f>
        <v>272.05</v>
      </c>
      <c r="H17" s="77">
        <f>F17+Clinker!EG36</f>
        <v>2413</v>
      </c>
      <c r="I17" s="77">
        <f>Clinker!EH3</f>
        <v>156</v>
      </c>
      <c r="J17" s="77">
        <f>I17</f>
        <v>156</v>
      </c>
      <c r="K17" s="77">
        <f>I17+Clinker!EH36</f>
        <v>8328</v>
      </c>
      <c r="L17" s="77">
        <f>E17+F17-Clinker!AE3-Clinker!AJ3-Clinker!CL3-Clinker!CQ3-Clinker!CG3</f>
        <v>4164.7699999999941</v>
      </c>
      <c r="M17" s="81"/>
      <c r="N17" s="81"/>
      <c r="O17" s="515"/>
      <c r="P17" s="78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8676.8069999999843</v>
      </c>
      <c r="F18" s="125">
        <f>F16+F17</f>
        <v>423.81</v>
      </c>
      <c r="G18" s="125">
        <f t="shared" ref="G18:L18" si="5">G16+G17</f>
        <v>423.81</v>
      </c>
      <c r="H18" s="125">
        <f t="shared" si="5"/>
        <v>3370</v>
      </c>
      <c r="I18" s="125">
        <f>I16+I17</f>
        <v>469.33000000000004</v>
      </c>
      <c r="J18" s="125">
        <f>J16+J17</f>
        <v>469.33000000000004</v>
      </c>
      <c r="K18" s="125">
        <f t="shared" si="5"/>
        <v>23358.639999999999</v>
      </c>
      <c r="L18" s="125">
        <f t="shared" si="5"/>
        <v>8631.2869999999857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Clinker!EJ3</f>
        <v>25945.809085761677</v>
      </c>
      <c r="F20" s="74">
        <f>Clinker!EK3</f>
        <v>1970</v>
      </c>
      <c r="G20" s="74">
        <f>F20</f>
        <v>1970</v>
      </c>
      <c r="H20" s="74">
        <f>F20+Clinker!EK36</f>
        <v>87496</v>
      </c>
      <c r="I20" s="74">
        <f>Clinker!EL3</f>
        <v>1611.3400000000015</v>
      </c>
      <c r="J20" s="74">
        <f>I20</f>
        <v>1611.3400000000015</v>
      </c>
      <c r="K20" s="74">
        <f>I20+Clinker!EL36</f>
        <v>64473.071013865054</v>
      </c>
      <c r="L20" s="74">
        <f>E20+F20-I20-I22</f>
        <v>26304.469085761677</v>
      </c>
      <c r="M20" s="641">
        <f>((I20+I21)/(J42+J48))*100</f>
        <v>79.887952404561304</v>
      </c>
      <c r="N20" s="525"/>
      <c r="O20" s="527"/>
      <c r="P20" s="535"/>
      <c r="Q20" s="536"/>
      <c r="R20" s="20"/>
      <c r="S20" s="190"/>
    </row>
    <row r="21" spans="2:19" ht="45">
      <c r="B21" s="512"/>
      <c r="C21" s="477"/>
      <c r="D21" s="85" t="s">
        <v>70</v>
      </c>
      <c r="E21" s="74">
        <f>Clinker!EO3</f>
        <v>5306.1090080001359</v>
      </c>
      <c r="F21" s="74">
        <f>Clinker!EP3</f>
        <v>0</v>
      </c>
      <c r="G21" s="74">
        <f>F21</f>
        <v>0</v>
      </c>
      <c r="H21" s="74">
        <f>F21+Clinker!EP36</f>
        <v>13390.660000000003</v>
      </c>
      <c r="I21" s="74">
        <f>Clinker!EQ3</f>
        <v>0</v>
      </c>
      <c r="J21" s="74">
        <f>I21</f>
        <v>0</v>
      </c>
      <c r="K21" s="74">
        <f>I21+Clinker!EQ36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f>Clinker!EN3</f>
        <v>0</v>
      </c>
      <c r="G22" s="74">
        <f t="shared" ref="G22:G26" si="6">F22</f>
        <v>0</v>
      </c>
      <c r="H22" s="74">
        <v>0</v>
      </c>
      <c r="I22" s="77">
        <f>Clinker!EN3</f>
        <v>0</v>
      </c>
      <c r="J22" s="74">
        <f t="shared" ref="J22:J26" si="7">I22</f>
        <v>0</v>
      </c>
      <c r="K22" s="74">
        <f>I22+Clinker!EN36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643" t="s">
        <v>263</v>
      </c>
      <c r="D23" s="644"/>
      <c r="E23" s="77"/>
      <c r="F23" s="77">
        <f>Cement!Q3</f>
        <v>0</v>
      </c>
      <c r="G23" s="74">
        <f t="shared" si="6"/>
        <v>0</v>
      </c>
      <c r="H23" s="74">
        <f>F23+Cement!Q36</f>
        <v>0</v>
      </c>
      <c r="I23" s="77">
        <f>Cement!S3</f>
        <v>338.67777777777621</v>
      </c>
      <c r="J23" s="74">
        <f t="shared" si="7"/>
        <v>338.67777777777621</v>
      </c>
      <c r="K23" s="74">
        <f>I23+Cement!S36</f>
        <v>20812.029212630456</v>
      </c>
      <c r="L23" s="74"/>
      <c r="M23" s="78">
        <f>(I23/(J42+J48))*100</f>
        <v>16.791163994931889</v>
      </c>
      <c r="N23" s="78">
        <f>M23+(M23*P23)/100</f>
        <v>16.791163994931889</v>
      </c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Cement!C3</f>
        <v>4208.3305373246403</v>
      </c>
      <c r="F24" s="77">
        <f>Cement!D3</f>
        <v>0</v>
      </c>
      <c r="G24" s="74">
        <f t="shared" si="6"/>
        <v>0</v>
      </c>
      <c r="H24" s="74">
        <f>F24+Cement!D36</f>
        <v>2126.62</v>
      </c>
      <c r="I24" s="77">
        <f>Cement!F3</f>
        <v>106.15789473684212</v>
      </c>
      <c r="J24" s="74">
        <f t="shared" si="7"/>
        <v>106.15789473684212</v>
      </c>
      <c r="K24" s="74">
        <f>I24+Cement!F36</f>
        <v>5469.827416561985</v>
      </c>
      <c r="L24" s="74">
        <f t="shared" ref="L24:L26" si="8">E24+F24-I24</f>
        <v>4102.1726425877978</v>
      </c>
      <c r="M24" s="78">
        <f>(I24/(J42+J48))*100</f>
        <v>5.2631578947368434</v>
      </c>
      <c r="N24" s="78">
        <f>M24+(M24*P24)/100</f>
        <v>5.2631578947368434</v>
      </c>
      <c r="O24" s="527"/>
      <c r="P24" s="87"/>
      <c r="Q24" s="573"/>
      <c r="R24" s="20"/>
      <c r="S24" s="20"/>
    </row>
    <row r="25" spans="2:19" ht="15" customHeight="1">
      <c r="B25" s="512"/>
      <c r="C25" s="476" t="s">
        <v>272</v>
      </c>
      <c r="D25" s="76" t="s">
        <v>82</v>
      </c>
      <c r="E25" s="77">
        <f>Cement!H3</f>
        <v>0.23999999999796273</v>
      </c>
      <c r="F25" s="77">
        <f>Cement!I3</f>
        <v>0</v>
      </c>
      <c r="G25" s="74">
        <f t="shared" si="6"/>
        <v>0</v>
      </c>
      <c r="H25" s="74">
        <f>F25+Cement!I36</f>
        <v>0</v>
      </c>
      <c r="I25" s="77">
        <f>Cement!J3</f>
        <v>0</v>
      </c>
      <c r="J25" s="74">
        <f t="shared" si="7"/>
        <v>0</v>
      </c>
      <c r="K25" s="74">
        <f>I25+Cement!J36</f>
        <v>0</v>
      </c>
      <c r="L25" s="74">
        <f t="shared" si="8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Cement!L3</f>
        <v>0</v>
      </c>
      <c r="F26" s="77">
        <f>Cement!M3</f>
        <v>0</v>
      </c>
      <c r="G26" s="74">
        <f t="shared" si="6"/>
        <v>0</v>
      </c>
      <c r="H26" s="74">
        <f>F26+Cement!M36</f>
        <v>0</v>
      </c>
      <c r="I26" s="77">
        <f>Cement!N3</f>
        <v>0</v>
      </c>
      <c r="J26" s="74">
        <f t="shared" si="7"/>
        <v>0</v>
      </c>
      <c r="K26" s="74">
        <f>I26+Cement!N36</f>
        <v>0</v>
      </c>
      <c r="L26" s="74">
        <f t="shared" si="8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35460.488631086453</v>
      </c>
      <c r="F27" s="122">
        <f t="shared" ref="F27:L27" si="9">F20+F21+F23+F24+F25+F26</f>
        <v>1970</v>
      </c>
      <c r="G27" s="122">
        <f t="shared" si="9"/>
        <v>1970</v>
      </c>
      <c r="H27" s="122">
        <f t="shared" si="9"/>
        <v>103013.28</v>
      </c>
      <c r="I27" s="122">
        <f t="shared" si="9"/>
        <v>2056.1756725146197</v>
      </c>
      <c r="J27" s="122">
        <f t="shared" si="9"/>
        <v>2056.1756725146197</v>
      </c>
      <c r="K27" s="122">
        <f t="shared" si="9"/>
        <v>107689.02764305749</v>
      </c>
      <c r="L27" s="122">
        <f t="shared" si="9"/>
        <v>35712.99073634961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Production2!C3</f>
        <v>21.5</v>
      </c>
      <c r="G32" s="75">
        <f>F32</f>
        <v>21.5</v>
      </c>
      <c r="H32" s="75">
        <f>F32+Production2!C36</f>
        <v>990.63000000000011</v>
      </c>
      <c r="I32" s="74">
        <f>'Mines (2)'!C3+'Mines (2)'!H3+'Mines (2)'!V3+'Mines (2)'!Z3+'Mines (2)'!AD3+Cement!P3+Cement!U3+Cement!Y3</f>
        <v>19467.800262331166</v>
      </c>
      <c r="J32" s="74">
        <f>F9+F23</f>
        <v>5443.72</v>
      </c>
      <c r="K32" s="74">
        <f>J32</f>
        <v>5443.72</v>
      </c>
      <c r="L32" s="74">
        <f>J32+Production2!D36</f>
        <v>162311</v>
      </c>
      <c r="M32" s="74">
        <f>I9+I23</f>
        <v>3739.6777777777761</v>
      </c>
      <c r="N32" s="74">
        <f>M32</f>
        <v>3739.6777777777761</v>
      </c>
      <c r="O32" s="74">
        <f>M32+Production2!E36+Cement!S36</f>
        <v>164244.02921263047</v>
      </c>
      <c r="P32" s="74">
        <f>I32+J32-M32</f>
        <v>21171.842484553392</v>
      </c>
      <c r="Q32" s="93">
        <f>J32/F32</f>
        <v>253.19627906976746</v>
      </c>
      <c r="R32" s="94"/>
      <c r="S32" s="94"/>
    </row>
    <row r="33" spans="2:19">
      <c r="B33" s="79">
        <v>2</v>
      </c>
      <c r="C33" s="501" t="s">
        <v>282</v>
      </c>
      <c r="D33" s="502"/>
      <c r="E33" s="95">
        <v>120</v>
      </c>
      <c r="F33" s="78">
        <f>Production2!G3</f>
        <v>22.27</v>
      </c>
      <c r="G33" s="75">
        <f t="shared" ref="G33:G40" si="10">F33</f>
        <v>22.27</v>
      </c>
      <c r="H33" s="75">
        <f>F33+Production2!G36</f>
        <v>1091.81</v>
      </c>
      <c r="I33" s="541">
        <f>Production2!H3</f>
        <v>1267.6400168375185</v>
      </c>
      <c r="J33" s="78">
        <f>Production2!N3</f>
        <v>2876</v>
      </c>
      <c r="K33" s="74">
        <f t="shared" ref="K33:K39" si="11">J33</f>
        <v>2876</v>
      </c>
      <c r="L33" s="74">
        <f>J33+Production2!N36</f>
        <v>129161.59</v>
      </c>
      <c r="M33" s="541">
        <f>Production2!K3</f>
        <v>3053.5</v>
      </c>
      <c r="N33" s="541">
        <f t="shared" ref="N33:N40" si="12">M33</f>
        <v>3053.5</v>
      </c>
      <c r="O33" s="541">
        <f>M33+Production2!K36</f>
        <v>135618.79999999999</v>
      </c>
      <c r="P33" s="541">
        <f>I33+J33+J34-M33</f>
        <v>1325.2000168375189</v>
      </c>
      <c r="Q33" s="96">
        <f t="shared" ref="Q33:Q42" si="13">J33/F33</f>
        <v>129.14234396048496</v>
      </c>
      <c r="R33" s="94"/>
      <c r="S33" s="94"/>
    </row>
    <row r="34" spans="2:19">
      <c r="B34" s="79"/>
      <c r="C34" s="501" t="s">
        <v>283</v>
      </c>
      <c r="D34" s="502"/>
      <c r="E34" s="95">
        <v>20</v>
      </c>
      <c r="F34" s="78">
        <f>Production2!P3</f>
        <v>23.5</v>
      </c>
      <c r="G34" s="75">
        <f t="shared" si="10"/>
        <v>23.5</v>
      </c>
      <c r="H34" s="75">
        <f>F34+Production2!P36</f>
        <v>639.16999999999996</v>
      </c>
      <c r="I34" s="473"/>
      <c r="J34" s="78">
        <f>Production2!Q3</f>
        <v>235.06</v>
      </c>
      <c r="K34" s="74">
        <f t="shared" si="11"/>
        <v>235.06</v>
      </c>
      <c r="L34" s="74">
        <f>J34+Production2!Q36</f>
        <v>5788.68</v>
      </c>
      <c r="M34" s="473"/>
      <c r="N34" s="473"/>
      <c r="O34" s="473"/>
      <c r="P34" s="473"/>
      <c r="Q34" s="96">
        <f t="shared" si="13"/>
        <v>10.002553191489362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Production2!S3</f>
        <v>18.7</v>
      </c>
      <c r="G35" s="75">
        <f t="shared" si="10"/>
        <v>18.7</v>
      </c>
      <c r="H35" s="75">
        <f>F35+Production2!S36</f>
        <v>972.03000000000009</v>
      </c>
      <c r="I35" s="77">
        <f>Production2!T3</f>
        <v>42.109999999999843</v>
      </c>
      <c r="J35" s="77">
        <f>Production2!U3</f>
        <v>282</v>
      </c>
      <c r="K35" s="74">
        <f t="shared" si="11"/>
        <v>282</v>
      </c>
      <c r="L35" s="74">
        <f>J35+Production2!U36</f>
        <v>13527.599999999999</v>
      </c>
      <c r="M35" s="77">
        <f>Production2!V3</f>
        <v>287</v>
      </c>
      <c r="N35" s="74">
        <f t="shared" si="12"/>
        <v>287</v>
      </c>
      <c r="O35" s="74">
        <f>M35+Production2!V36</f>
        <v>13506</v>
      </c>
      <c r="P35" s="74">
        <f t="shared" ref="P35" si="14">I35+J35-M35</f>
        <v>37.109999999999843</v>
      </c>
      <c r="Q35" s="96">
        <f t="shared" si="13"/>
        <v>15.080213903743315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Production2!Y3</f>
        <v>24</v>
      </c>
      <c r="G36" s="75">
        <f t="shared" si="10"/>
        <v>24</v>
      </c>
      <c r="H36" s="75">
        <f>F36+Production2!Y36</f>
        <v>1338.81</v>
      </c>
      <c r="I36" s="77">
        <f>Clinker!EJ3</f>
        <v>25945.809085761677</v>
      </c>
      <c r="J36" s="77">
        <f>Clinker!EK3</f>
        <v>1970</v>
      </c>
      <c r="K36" s="74">
        <f t="shared" si="11"/>
        <v>1970</v>
      </c>
      <c r="L36" s="74">
        <f>J36+Clinker!EK36</f>
        <v>87496</v>
      </c>
      <c r="M36" s="77">
        <f>Clinker!EL3</f>
        <v>1611.3400000000015</v>
      </c>
      <c r="N36" s="74">
        <f t="shared" si="12"/>
        <v>1611.3400000000015</v>
      </c>
      <c r="O36" s="74">
        <f>M36+Clinker!EL36</f>
        <v>64473.071013865054</v>
      </c>
      <c r="P36" s="74">
        <f>I36+J36-M36-I22</f>
        <v>26304.469085761677</v>
      </c>
      <c r="Q36" s="96">
        <f t="shared" si="13"/>
        <v>82.083333333333329</v>
      </c>
      <c r="R36" s="94"/>
      <c r="S36" s="94"/>
    </row>
    <row r="37" spans="2:19">
      <c r="B37" s="569">
        <v>5</v>
      </c>
      <c r="C37" s="476" t="s">
        <v>284</v>
      </c>
      <c r="D37" s="80" t="s">
        <v>285</v>
      </c>
      <c r="E37" s="97">
        <v>90</v>
      </c>
      <c r="F37" s="78">
        <f>Production2!AE3</f>
        <v>0</v>
      </c>
      <c r="G37" s="75">
        <f t="shared" si="10"/>
        <v>0</v>
      </c>
      <c r="H37" s="75">
        <f>F37+Production2!AE36</f>
        <v>39.700000000000003</v>
      </c>
      <c r="I37" s="77">
        <f>Production2!BJ3</f>
        <v>578.29999999999995</v>
      </c>
      <c r="J37" s="77">
        <f>Production2!AF3</f>
        <v>0</v>
      </c>
      <c r="K37" s="74">
        <f t="shared" si="11"/>
        <v>0</v>
      </c>
      <c r="L37" s="75">
        <f>J37+Production2!AF36</f>
        <v>2634</v>
      </c>
      <c r="M37" s="77">
        <f>Production2!BL3</f>
        <v>31</v>
      </c>
      <c r="N37" s="74">
        <f>M37</f>
        <v>31</v>
      </c>
      <c r="O37" s="75">
        <f>M37+Production2!BL36</f>
        <v>5069</v>
      </c>
      <c r="P37" s="74">
        <f>I37+J37+J43-M37-F61</f>
        <v>547.29999999999995</v>
      </c>
      <c r="Q37" s="96" t="e">
        <f t="shared" si="13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Production2!AB3</f>
        <v>8.3800000000000008</v>
      </c>
      <c r="G38" s="75">
        <f t="shared" si="10"/>
        <v>8.3800000000000008</v>
      </c>
      <c r="H38" s="75">
        <f>F38+Production2!AB36</f>
        <v>506.84999999999991</v>
      </c>
      <c r="I38" s="77">
        <f>Production2!BF3</f>
        <v>1816.7279999999787</v>
      </c>
      <c r="J38" s="77">
        <f>Production2!AC3</f>
        <v>553</v>
      </c>
      <c r="K38" s="74">
        <f t="shared" si="11"/>
        <v>553</v>
      </c>
      <c r="L38" s="74">
        <f>J38+Production2!AC36</f>
        <v>31883</v>
      </c>
      <c r="M38" s="77">
        <f>Production2!BH3</f>
        <v>1888</v>
      </c>
      <c r="N38" s="74">
        <f t="shared" si="12"/>
        <v>1888</v>
      </c>
      <c r="O38" s="74">
        <f>M38+Production2!BH36</f>
        <v>82630.829999999987</v>
      </c>
      <c r="P38" s="74">
        <f>I38+J38+J44-M38-F59</f>
        <v>1721.7279999999787</v>
      </c>
      <c r="Q38" s="96">
        <f t="shared" si="13"/>
        <v>65.990453460620515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Production2!AH3</f>
        <v>0</v>
      </c>
      <c r="G39" s="75">
        <f t="shared" si="10"/>
        <v>0</v>
      </c>
      <c r="H39" s="75">
        <f>F39+Production2!AH36</f>
        <v>0</v>
      </c>
      <c r="I39" s="77">
        <f>Production2!BN3</f>
        <v>9.0000000000849845E-2</v>
      </c>
      <c r="J39" s="77">
        <f>Production2!AI3</f>
        <v>0</v>
      </c>
      <c r="K39" s="74">
        <f t="shared" si="11"/>
        <v>0</v>
      </c>
      <c r="L39" s="74">
        <f>J39+Production2!AI36</f>
        <v>0</v>
      </c>
      <c r="M39" s="77">
        <f>Production2!BP3</f>
        <v>0</v>
      </c>
      <c r="N39" s="74">
        <f t="shared" si="12"/>
        <v>0</v>
      </c>
      <c r="O39" s="74">
        <f>M39+Production2!BP36</f>
        <v>-0.15</v>
      </c>
      <c r="P39" s="74">
        <f>I39+J39+J45-M39-F60</f>
        <v>9.0000000000849845E-2</v>
      </c>
      <c r="Q39" s="96" t="e">
        <f t="shared" si="13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Production2!AK3</f>
        <v>0</v>
      </c>
      <c r="G40" s="75">
        <f t="shared" si="10"/>
        <v>0</v>
      </c>
      <c r="H40" s="75">
        <f>F40+Production2!AK36</f>
        <v>5</v>
      </c>
      <c r="I40" s="195">
        <f>Production2!BR3</f>
        <v>127.70000000000005</v>
      </c>
      <c r="J40" s="195">
        <v>0</v>
      </c>
      <c r="K40" s="74">
        <f>J40</f>
        <v>0</v>
      </c>
      <c r="L40" s="74">
        <f>J40+Production2!AL36</f>
        <v>300</v>
      </c>
      <c r="M40" s="195">
        <f>Production2!BT3</f>
        <v>121</v>
      </c>
      <c r="N40" s="74">
        <f t="shared" si="12"/>
        <v>121</v>
      </c>
      <c r="O40" s="74">
        <f>M40+Production2!BT36</f>
        <v>3153.5</v>
      </c>
      <c r="P40" s="74">
        <f>I40+J40+J46-M40-F62</f>
        <v>230.70000000000005</v>
      </c>
      <c r="Q40" s="96" t="e">
        <f t="shared" si="13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Production2!AN3</f>
        <v>0</v>
      </c>
      <c r="G41" s="75">
        <f>F41</f>
        <v>0</v>
      </c>
      <c r="H41" s="75">
        <f>F41+Production2!AN36</f>
        <v>126.16999999999999</v>
      </c>
      <c r="I41" s="195">
        <f>Production2!BV3</f>
        <v>1167.4000000000001</v>
      </c>
      <c r="J41" s="195">
        <v>0</v>
      </c>
      <c r="K41" s="74">
        <f>J41</f>
        <v>0</v>
      </c>
      <c r="L41" s="74">
        <f>J41+Production2!AO36</f>
        <v>8178</v>
      </c>
      <c r="M41" s="77">
        <f>Production2!BX3</f>
        <v>120.82</v>
      </c>
      <c r="N41" s="74">
        <f>M41</f>
        <v>120.82</v>
      </c>
      <c r="O41" s="74">
        <f>M41+Production2!BX36</f>
        <v>14116.13</v>
      </c>
      <c r="P41" s="74">
        <f>I41+J41+J47-M41</f>
        <v>1046.5800000000002</v>
      </c>
      <c r="Q41" s="96" t="e">
        <f t="shared" si="13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8.3800000000000008</v>
      </c>
      <c r="G42" s="132">
        <f t="shared" ref="G42:I42" si="15">G37+G38+G39+G40+G41</f>
        <v>8.3800000000000008</v>
      </c>
      <c r="H42" s="132">
        <f t="shared" si="15"/>
        <v>677.71999999999991</v>
      </c>
      <c r="I42" s="122">
        <f t="shared" si="15"/>
        <v>3690.2179999999794</v>
      </c>
      <c r="J42" s="122">
        <f>J37+J38+J39+J40+J41</f>
        <v>553</v>
      </c>
      <c r="K42" s="122">
        <f t="shared" ref="K42:P42" si="16">K37+K38+K39+K40+K41</f>
        <v>553</v>
      </c>
      <c r="L42" s="122">
        <f>L37+L38+L39+L40+L41</f>
        <v>42995</v>
      </c>
      <c r="M42" s="122">
        <f t="shared" si="16"/>
        <v>2160.8200000000002</v>
      </c>
      <c r="N42" s="122">
        <f t="shared" si="16"/>
        <v>2160.8200000000002</v>
      </c>
      <c r="O42" s="122">
        <f t="shared" si="16"/>
        <v>104969.31</v>
      </c>
      <c r="P42" s="122">
        <f t="shared" si="16"/>
        <v>3546.3979999999792</v>
      </c>
      <c r="Q42" s="123">
        <f t="shared" si="13"/>
        <v>65.990453460620515</v>
      </c>
      <c r="R42" s="94"/>
      <c r="S42" s="94"/>
    </row>
    <row r="43" spans="2:19">
      <c r="B43" s="569">
        <v>5</v>
      </c>
      <c r="C43" s="476" t="s">
        <v>289</v>
      </c>
      <c r="D43" s="80" t="s">
        <v>285</v>
      </c>
      <c r="E43" s="97">
        <v>75</v>
      </c>
      <c r="F43" s="78">
        <f>Production2!AT3</f>
        <v>0</v>
      </c>
      <c r="G43" s="75">
        <f>F43</f>
        <v>0</v>
      </c>
      <c r="H43" s="75">
        <f>F43+Production2!AT36</f>
        <v>45.429999999999993</v>
      </c>
      <c r="I43" s="471"/>
      <c r="J43" s="77">
        <f>Production2!AU3</f>
        <v>0</v>
      </c>
      <c r="K43" s="74">
        <f>J43</f>
        <v>0</v>
      </c>
      <c r="L43" s="75">
        <f>J43+Production2!AU36</f>
        <v>2750</v>
      </c>
      <c r="M43" s="542"/>
      <c r="N43" s="543"/>
      <c r="O43" s="543"/>
      <c r="P43" s="544"/>
      <c r="Q43" s="96" t="e">
        <f t="shared" ref="Q43:Q48" si="17">J43/F43</f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Production2!AQ3</f>
        <v>20</v>
      </c>
      <c r="G44" s="75">
        <f t="shared" ref="G44:G46" si="18">F44</f>
        <v>20</v>
      </c>
      <c r="H44" s="75">
        <f>F44+Production2!AQ36</f>
        <v>870.41000000000008</v>
      </c>
      <c r="I44" s="472"/>
      <c r="J44" s="77">
        <f>Production2!AR3</f>
        <v>1240</v>
      </c>
      <c r="K44" s="74">
        <f t="shared" ref="K44:K46" si="19">J44</f>
        <v>1240</v>
      </c>
      <c r="L44" s="74">
        <f>J44+Production2!AR36</f>
        <v>51201</v>
      </c>
      <c r="M44" s="545"/>
      <c r="N44" s="546"/>
      <c r="O44" s="546"/>
      <c r="P44" s="547"/>
      <c r="Q44" s="96">
        <f t="shared" si="17"/>
        <v>62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Production2!AW3</f>
        <v>0</v>
      </c>
      <c r="G45" s="75">
        <f t="shared" si="18"/>
        <v>0</v>
      </c>
      <c r="H45" s="75">
        <f>F45+Production2!AW36</f>
        <v>0</v>
      </c>
      <c r="I45" s="472"/>
      <c r="J45" s="77">
        <f>Production2!AX3</f>
        <v>0</v>
      </c>
      <c r="K45" s="74">
        <f t="shared" si="19"/>
        <v>0</v>
      </c>
      <c r="L45" s="74">
        <f>J45+Production2!AX36</f>
        <v>0</v>
      </c>
      <c r="M45" s="545"/>
      <c r="N45" s="546"/>
      <c r="O45" s="546"/>
      <c r="P45" s="547"/>
      <c r="Q45" s="96" t="e">
        <f t="shared" si="17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Production2!AZ3</f>
        <v>4</v>
      </c>
      <c r="G46" s="75">
        <f t="shared" si="18"/>
        <v>4</v>
      </c>
      <c r="H46" s="75">
        <f>F46+Production2!AZ36</f>
        <v>51.88</v>
      </c>
      <c r="I46" s="472"/>
      <c r="J46" s="195">
        <f>Production2!BA3</f>
        <v>224</v>
      </c>
      <c r="K46" s="74">
        <f t="shared" si="19"/>
        <v>224</v>
      </c>
      <c r="L46" s="74">
        <f>J46+Production2!BA36</f>
        <v>2871</v>
      </c>
      <c r="M46" s="545"/>
      <c r="N46" s="546"/>
      <c r="O46" s="546"/>
      <c r="P46" s="547"/>
      <c r="Q46" s="96">
        <f t="shared" si="17"/>
        <v>56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Production2!BC3</f>
        <v>0</v>
      </c>
      <c r="G47" s="75">
        <f>F47</f>
        <v>0</v>
      </c>
      <c r="H47" s="75">
        <f>F47+Production2!BC36</f>
        <v>108.67</v>
      </c>
      <c r="I47" s="473"/>
      <c r="J47" s="195">
        <f>Production2!BD3</f>
        <v>0</v>
      </c>
      <c r="K47" s="74">
        <f>J47</f>
        <v>0</v>
      </c>
      <c r="L47" s="74">
        <f>J47+Production2!BD36</f>
        <v>6615</v>
      </c>
      <c r="M47" s="548"/>
      <c r="N47" s="549"/>
      <c r="O47" s="549"/>
      <c r="P47" s="550"/>
      <c r="Q47" s="96" t="e">
        <f t="shared" si="17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60</v>
      </c>
      <c r="F48" s="132">
        <f>F43+F44+F45+F46+F47</f>
        <v>24</v>
      </c>
      <c r="G48" s="132">
        <f t="shared" ref="G48:H48" si="20">G43+G44+G45+G46+G47</f>
        <v>24</v>
      </c>
      <c r="H48" s="132">
        <f t="shared" si="20"/>
        <v>1076.3900000000001</v>
      </c>
      <c r="I48" s="132">
        <f t="shared" ref="I48" si="21">I43+I44+I45+I46</f>
        <v>0</v>
      </c>
      <c r="J48" s="122">
        <f>J43+J44+J45+J46+J47</f>
        <v>1464</v>
      </c>
      <c r="K48" s="122">
        <f t="shared" ref="K48" si="22">K43+K44+K45+K46+K47</f>
        <v>1464</v>
      </c>
      <c r="L48" s="122">
        <f>L43+L44+L45+L46+L47</f>
        <v>63437</v>
      </c>
      <c r="M48" s="122"/>
      <c r="N48" s="122"/>
      <c r="O48" s="122"/>
      <c r="P48" s="122"/>
      <c r="Q48" s="123">
        <f t="shared" si="17"/>
        <v>61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77" t="s">
        <v>290</v>
      </c>
      <c r="C50" s="578"/>
      <c r="D50" s="578"/>
      <c r="E50" s="578"/>
      <c r="F50" s="578"/>
      <c r="G50" s="578"/>
      <c r="H50" s="578"/>
      <c r="I50" s="578"/>
      <c r="J50" s="578"/>
      <c r="K50" s="578"/>
      <c r="L50" s="578"/>
      <c r="M50" s="640"/>
      <c r="N50" s="482" t="s">
        <v>291</v>
      </c>
      <c r="O50" s="483"/>
      <c r="P50" s="483"/>
      <c r="Q50" s="484"/>
      <c r="R50" s="98"/>
      <c r="S50" s="98"/>
    </row>
    <row r="51" spans="2:19" s="70" customFormat="1" ht="15.6" customHeight="1" thickBot="1">
      <c r="B51" s="145" t="s">
        <v>250</v>
      </c>
      <c r="C51" s="585" t="s">
        <v>251</v>
      </c>
      <c r="D51" s="585"/>
      <c r="E51" s="133" t="s">
        <v>153</v>
      </c>
      <c r="F51" s="133" t="s">
        <v>132</v>
      </c>
      <c r="G51" s="133" t="s">
        <v>156</v>
      </c>
      <c r="H51" s="133" t="s">
        <v>157</v>
      </c>
      <c r="I51" s="133" t="s">
        <v>292</v>
      </c>
      <c r="J51" s="133" t="s">
        <v>159</v>
      </c>
      <c r="K51" s="133" t="s">
        <v>293</v>
      </c>
      <c r="L51" s="146" t="s">
        <v>294</v>
      </c>
      <c r="M51" s="135" t="s">
        <v>162</v>
      </c>
      <c r="N51" s="147" t="s">
        <v>250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0.33047254451000418</v>
      </c>
      <c r="F52" s="99">
        <f>F55/(J33+J34)</f>
        <v>22.376617615860834</v>
      </c>
      <c r="G52" s="99">
        <f>G55/J36</f>
        <v>31.40761421319797</v>
      </c>
      <c r="H52" s="99">
        <f>H55/J35</f>
        <v>49.737588652482266</v>
      </c>
      <c r="I52" s="99"/>
      <c r="J52" s="99"/>
      <c r="K52" s="99"/>
      <c r="L52" s="99"/>
      <c r="M52" s="100"/>
      <c r="N52" s="101">
        <v>1</v>
      </c>
      <c r="O52" s="587" t="s">
        <v>296</v>
      </c>
      <c r="P52" s="587"/>
      <c r="Q52" s="93">
        <f>(M35/J36)*100</f>
        <v>14.568527918781726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0.57052645882158592</v>
      </c>
      <c r="F53" s="102">
        <f>F52*1.55</f>
        <v>34.68375730458429</v>
      </c>
      <c r="G53" s="102">
        <f>G52</f>
        <v>31.40761421319797</v>
      </c>
      <c r="H53" s="102">
        <f>H52*Q52/100</f>
        <v>7.24603448896569</v>
      </c>
      <c r="I53" s="102"/>
      <c r="J53" s="102"/>
      <c r="K53" s="102"/>
      <c r="L53" s="102"/>
      <c r="M53" s="96">
        <f>SUM(E53:H53)</f>
        <v>73.90793246556953</v>
      </c>
      <c r="N53" s="103">
        <v>2</v>
      </c>
      <c r="O53" s="516" t="s">
        <v>298</v>
      </c>
      <c r="P53" s="516"/>
      <c r="Q53" s="104">
        <v>5472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0.45578190587881762</v>
      </c>
      <c r="F54" s="102">
        <f>F53*M20/100</f>
        <v>27.708143527599852</v>
      </c>
      <c r="G54" s="102">
        <f>G53*M20/100</f>
        <v>25.090899894047826</v>
      </c>
      <c r="H54" s="102">
        <f>H53*M20/100</f>
        <v>5.7887085837630075</v>
      </c>
      <c r="I54" s="102">
        <f>I55/(J42+J48)</f>
        <v>41.112543381259293</v>
      </c>
      <c r="J54" s="99">
        <f>J55/(J42+J48)</f>
        <v>1.0074367873078829</v>
      </c>
      <c r="K54" s="99">
        <f>K55/(M42+M48)</f>
        <v>2.7235031145583619</v>
      </c>
      <c r="L54" s="99">
        <f>L55/(J42+J48)</f>
        <v>2.0391670798215169</v>
      </c>
      <c r="M54" s="96">
        <f>SUM(E54:L54)</f>
        <v>105.92618427423653</v>
      </c>
      <c r="N54" s="103">
        <v>3</v>
      </c>
      <c r="O54" s="516" t="s">
        <v>300</v>
      </c>
      <c r="P54" s="516"/>
      <c r="Q54" s="104">
        <f>Q53*Q52/100</f>
        <v>797.18984771573605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unit'!B3</f>
        <v>1799</v>
      </c>
      <c r="F55" s="118">
        <f>'Daily unit'!C3</f>
        <v>69615</v>
      </c>
      <c r="G55" s="118">
        <f>'Daily unit'!E3</f>
        <v>61873</v>
      </c>
      <c r="H55" s="118">
        <f>'Daily unit'!F3</f>
        <v>14026</v>
      </c>
      <c r="I55" s="118">
        <f>'Daily unit'!G3</f>
        <v>82924</v>
      </c>
      <c r="J55" s="118">
        <f>'Daily unit'!H3</f>
        <v>2032</v>
      </c>
      <c r="K55" s="118">
        <f>'Daily unit'!I3</f>
        <v>5885</v>
      </c>
      <c r="L55" s="118">
        <f>'Daily unit'!J3</f>
        <v>4113</v>
      </c>
      <c r="M55" s="119">
        <f>SUM(E55:L55)</f>
        <v>242267</v>
      </c>
      <c r="N55" s="105"/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30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286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27">
        <v>1</v>
      </c>
      <c r="C59" s="626" t="s">
        <v>306</v>
      </c>
      <c r="D59" s="626"/>
      <c r="E59" s="80">
        <v>42.5</v>
      </c>
      <c r="F59" s="53">
        <f>'Internal use cement'!F3</f>
        <v>0</v>
      </c>
      <c r="G59" s="53">
        <f>F59</f>
        <v>0</v>
      </c>
      <c r="H59" s="182">
        <f>F59+'Internal use cement'!F36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27"/>
      <c r="C60" s="466"/>
      <c r="D60" s="466"/>
      <c r="E60" s="80" t="s">
        <v>211</v>
      </c>
      <c r="F60" s="53">
        <f>'Internal use cement'!Q3</f>
        <v>0</v>
      </c>
      <c r="G60" s="53">
        <f t="shared" ref="G60:G61" si="23">F60</f>
        <v>0</v>
      </c>
      <c r="H60" s="287">
        <f>F60+'Internal use cement'!N36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27"/>
      <c r="C61" s="466"/>
      <c r="D61" s="466"/>
      <c r="E61" s="80">
        <v>32.5</v>
      </c>
      <c r="F61" s="53">
        <f>'Internal use cement'!AB3</f>
        <v>0</v>
      </c>
      <c r="G61" s="53">
        <f t="shared" si="23"/>
        <v>0</v>
      </c>
      <c r="H61" s="288">
        <f>F61+'Internal use cement'!Y36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27"/>
      <c r="C62" s="467"/>
      <c r="D62" s="467"/>
      <c r="E62" s="112" t="s">
        <v>187</v>
      </c>
      <c r="F62" s="113">
        <f>'Internal use cement'!AJ3</f>
        <v>0</v>
      </c>
      <c r="G62" s="53">
        <f>F62</f>
        <v>0</v>
      </c>
      <c r="H62" s="287">
        <f>F62+'Internal use cement'!AJ36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5"/>
      <c r="S65" s="115"/>
    </row>
    <row r="66" spans="2:19">
      <c r="R66" s="116"/>
      <c r="S66" s="116"/>
    </row>
    <row r="67" spans="2:19">
      <c r="R67" s="94"/>
      <c r="S67" s="94"/>
    </row>
    <row r="68" spans="2:19">
      <c r="R68" s="94"/>
      <c r="S68" s="94"/>
    </row>
    <row r="69" spans="2:19">
      <c r="R69" s="94"/>
      <c r="S69" s="94"/>
    </row>
    <row r="70" spans="2:19">
      <c r="R70" s="109"/>
      <c r="S70" s="109"/>
    </row>
    <row r="71" spans="2:19">
      <c r="R71" s="94"/>
      <c r="S71" s="94"/>
    </row>
    <row r="72" spans="2:19">
      <c r="R72" s="117"/>
      <c r="S72" s="117"/>
    </row>
    <row r="73" spans="2:19">
      <c r="R73" s="117"/>
      <c r="S73" s="117"/>
    </row>
    <row r="74" spans="2:19">
      <c r="R74" s="117"/>
      <c r="S74" s="117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2:19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</sheetData>
  <mergeCells count="85">
    <mergeCell ref="B2:Q2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O9:O18"/>
    <mergeCell ref="C10:D10"/>
    <mergeCell ref="B3:Q3"/>
    <mergeCell ref="C8:Q8"/>
    <mergeCell ref="C11:D11"/>
    <mergeCell ref="C12:D12"/>
    <mergeCell ref="Q6:Q7"/>
    <mergeCell ref="B16:B18"/>
    <mergeCell ref="C16:C18"/>
    <mergeCell ref="C9:D9"/>
    <mergeCell ref="C15:D15"/>
    <mergeCell ref="P15:Q15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M25:N26"/>
    <mergeCell ref="P25:Q27"/>
    <mergeCell ref="C27:D27"/>
    <mergeCell ref="M27:N27"/>
    <mergeCell ref="M20:M21"/>
    <mergeCell ref="C23:D23"/>
    <mergeCell ref="C25:C26"/>
    <mergeCell ref="O51:P51"/>
    <mergeCell ref="C54:D54"/>
    <mergeCell ref="O54:P54"/>
    <mergeCell ref="I57:Q62"/>
    <mergeCell ref="C30:D31"/>
    <mergeCell ref="F30:H30"/>
    <mergeCell ref="I30:I31"/>
    <mergeCell ref="J30:L30"/>
    <mergeCell ref="M30:O30"/>
    <mergeCell ref="P30:P31"/>
    <mergeCell ref="Q30:Q31"/>
    <mergeCell ref="B56:Q56"/>
    <mergeCell ref="B49:Q49"/>
    <mergeCell ref="B50:M50"/>
    <mergeCell ref="N50:Q50"/>
    <mergeCell ref="B30:B31"/>
    <mergeCell ref="I43:I47"/>
    <mergeCell ref="M43:P47"/>
    <mergeCell ref="C58:E58"/>
    <mergeCell ref="C55:D55"/>
    <mergeCell ref="I33:I34"/>
    <mergeCell ref="P33:P34"/>
    <mergeCell ref="M33:M34"/>
    <mergeCell ref="C33:D33"/>
    <mergeCell ref="C35:D35"/>
    <mergeCell ref="C36:D36"/>
    <mergeCell ref="C34:D34"/>
    <mergeCell ref="N33:N34"/>
    <mergeCell ref="O33:O34"/>
    <mergeCell ref="O52:P52"/>
    <mergeCell ref="C53:D53"/>
    <mergeCell ref="O53:P53"/>
    <mergeCell ref="C59:D62"/>
    <mergeCell ref="B59:B62"/>
    <mergeCell ref="B43:B48"/>
    <mergeCell ref="C43:C48"/>
    <mergeCell ref="B57:H57"/>
    <mergeCell ref="C51:D51"/>
    <mergeCell ref="C52:D52"/>
    <mergeCell ref="B37:B42"/>
    <mergeCell ref="C37:C42"/>
    <mergeCell ref="B28:Q28"/>
    <mergeCell ref="B29:Q29"/>
    <mergeCell ref="C32:D32"/>
  </mergeCells>
  <pageMargins left="0" right="0" top="0.75" bottom="0.75" header="0.3" footer="0.3"/>
  <pageSetup paperSize="9" scale="5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B2:U152"/>
  <sheetViews>
    <sheetView zoomScale="90" zoomScaleNormal="90" workbookViewId="0">
      <pane xSplit="4" ySplit="1" topLeftCell="E47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308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 t="s">
        <v>309</v>
      </c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474" t="s">
        <v>263</v>
      </c>
      <c r="D9" s="475"/>
      <c r="E9" s="74">
        <f>'1'!L9</f>
        <v>21171.842484553392</v>
      </c>
      <c r="F9" s="74">
        <f>Production2!D4</f>
        <v>2717.3199999999997</v>
      </c>
      <c r="G9" s="74">
        <f>F9+'1'!G9</f>
        <v>8161.04</v>
      </c>
      <c r="H9" s="74">
        <f>F9+'1'!H9</f>
        <v>165028.32</v>
      </c>
      <c r="I9" s="74">
        <f>Production2!E4</f>
        <v>1916</v>
      </c>
      <c r="J9" s="74">
        <f>I9+'1'!J9</f>
        <v>5317</v>
      </c>
      <c r="K9" s="74">
        <f>I9+'1'!K9</f>
        <v>145348</v>
      </c>
      <c r="L9" s="74">
        <f>E9+F9-I9-I23</f>
        <v>21552.562484553393</v>
      </c>
      <c r="M9" s="75">
        <f>I9</f>
        <v>1916</v>
      </c>
      <c r="N9" s="75">
        <f>(I9/I15)*100</f>
        <v>97.012658227848107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(2)'!L4</f>
        <v>2909.44</v>
      </c>
      <c r="F10" s="77">
        <f>'Mines (2)'!M4</f>
        <v>0</v>
      </c>
      <c r="G10" s="74">
        <f>F10+'1'!G10</f>
        <v>0</v>
      </c>
      <c r="H10" s="74">
        <f>F10+'1'!H10</f>
        <v>5269.4000000000015</v>
      </c>
      <c r="I10" s="77">
        <f>'Mines (2)'!N4</f>
        <v>10</v>
      </c>
      <c r="J10" s="74">
        <f>I10+'1'!J10</f>
        <v>12</v>
      </c>
      <c r="K10" s="74">
        <f>I10+'1'!K10</f>
        <v>2494</v>
      </c>
      <c r="L10" s="77">
        <f t="shared" ref="L10:L15" si="0">E10+F10-I10</f>
        <v>2899.44</v>
      </c>
      <c r="M10" s="75">
        <f t="shared" ref="M10:M12" si="1">I10</f>
        <v>10</v>
      </c>
      <c r="N10" s="75">
        <f>(I10/I15)*100</f>
        <v>0.50632911392405067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Clinker!C4</f>
        <v>2595.92</v>
      </c>
      <c r="F11" s="77">
        <f>Clinker!D4</f>
        <v>0</v>
      </c>
      <c r="G11" s="74">
        <f>F11+'1'!G11</f>
        <v>0</v>
      </c>
      <c r="H11" s="74">
        <f>F11+'1'!H11</f>
        <v>417.28000000000003</v>
      </c>
      <c r="I11" s="77">
        <f>Clinker!E4</f>
        <v>49</v>
      </c>
      <c r="J11" s="74">
        <f>I11+'1'!J11</f>
        <v>101</v>
      </c>
      <c r="K11" s="74">
        <f>I11+'1'!K11</f>
        <v>3236</v>
      </c>
      <c r="L11" s="77">
        <f t="shared" si="0"/>
        <v>2546.92</v>
      </c>
      <c r="M11" s="75">
        <f t="shared" si="1"/>
        <v>49</v>
      </c>
      <c r="N11" s="75">
        <f>(I11/I15)*100</f>
        <v>2.481012658227848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(2)'!Q4</f>
        <v>3.999999999996362E-2</v>
      </c>
      <c r="F12" s="77">
        <f>'Mines (2)'!R4</f>
        <v>0</v>
      </c>
      <c r="G12" s="74">
        <f>F12+'1'!G12</f>
        <v>0</v>
      </c>
      <c r="H12" s="74">
        <f>F12+'1'!H12</f>
        <v>137.76</v>
      </c>
      <c r="I12" s="77">
        <f>'Mines (2)'!S4</f>
        <v>0</v>
      </c>
      <c r="J12" s="74">
        <f>I12+'1'!J12</f>
        <v>0</v>
      </c>
      <c r="K12" s="74">
        <f>I12+'1'!K12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26677.24248455339</v>
      </c>
      <c r="F15" s="127">
        <f t="shared" si="2"/>
        <v>2717.3199999999997</v>
      </c>
      <c r="G15" s="127">
        <f t="shared" si="2"/>
        <v>8161.04</v>
      </c>
      <c r="H15" s="127">
        <f t="shared" si="2"/>
        <v>170852.76</v>
      </c>
      <c r="I15" s="127">
        <f t="shared" si="2"/>
        <v>1975</v>
      </c>
      <c r="J15" s="127">
        <f t="shared" si="2"/>
        <v>5430</v>
      </c>
      <c r="K15" s="127">
        <f t="shared" si="2"/>
        <v>151816</v>
      </c>
      <c r="L15" s="127">
        <f t="shared" si="0"/>
        <v>27419.562484553389</v>
      </c>
      <c r="M15" s="128">
        <f>SUM(M9:M12)</f>
        <v>1975</v>
      </c>
      <c r="N15" s="128">
        <f>SUM(N9:N12)</f>
        <v>100.00000000000001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Clinker!EB4</f>
        <v>4466.5069999999905</v>
      </c>
      <c r="F16" s="77">
        <f>Clinker!EC4</f>
        <v>186.98</v>
      </c>
      <c r="G16" s="77">
        <f>F16+'1'!G16</f>
        <v>338.74</v>
      </c>
      <c r="H16" s="77">
        <f>F16+'1'!H16</f>
        <v>1143.98</v>
      </c>
      <c r="I16" s="77">
        <f>Clinker!ED4</f>
        <v>277.77999999999997</v>
      </c>
      <c r="J16" s="77">
        <f>I16+'1'!J16</f>
        <v>591.11</v>
      </c>
      <c r="K16" s="77">
        <f>I16+'1'!K16</f>
        <v>15308.420000000002</v>
      </c>
      <c r="L16" s="77">
        <f>E16+F16-I16-Clinker!N4-Clinker!Z4-Clinker!AS4-Clinker!AX4-Clinker!BC4-Clinker!BW4-Clinker!BH4-Clinker!BM4-Clinker!BR4-Clinker!CV4-Clinker!DP4</f>
        <v>4375.7069999999903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Clinker!EF4</f>
        <v>4164.7699999999941</v>
      </c>
      <c r="F17" s="77">
        <f>Clinker!EG4</f>
        <v>150.1</v>
      </c>
      <c r="G17" s="77">
        <f>F17+'1'!G17</f>
        <v>422.15</v>
      </c>
      <c r="H17" s="77">
        <f>F17+'1'!H17</f>
        <v>2563.1</v>
      </c>
      <c r="I17" s="77">
        <f>Clinker!EH4</f>
        <v>130</v>
      </c>
      <c r="J17" s="77">
        <f>I17+'1'!J17</f>
        <v>286</v>
      </c>
      <c r="K17" s="77">
        <f>I17+'1'!K17</f>
        <v>8458</v>
      </c>
      <c r="L17" s="77">
        <f>E17+F17-Clinker!AE4-Clinker!AJ4-Clinker!CL4-Clinker!CQ4-Clinker!CG4</f>
        <v>4184.8699999999944</v>
      </c>
      <c r="M17" s="81"/>
      <c r="N17" s="81"/>
      <c r="O17" s="515"/>
      <c r="P17" s="78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8631.2769999999837</v>
      </c>
      <c r="F18" s="125">
        <f>F16+F17</f>
        <v>337.08</v>
      </c>
      <c r="G18" s="125">
        <f t="shared" ref="G18" si="3">G16+G17</f>
        <v>760.89</v>
      </c>
      <c r="H18" s="125">
        <f>H16+H17</f>
        <v>3707.08</v>
      </c>
      <c r="I18" s="125">
        <f>I16+I17</f>
        <v>407.78</v>
      </c>
      <c r="J18" s="125">
        <f>J16+J17</f>
        <v>877.11</v>
      </c>
      <c r="K18" s="125">
        <f>K16+K17</f>
        <v>23766.420000000002</v>
      </c>
      <c r="L18" s="125">
        <f>L16+L17</f>
        <v>8560.5769999999848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Clinker!EJ4</f>
        <v>26304.469085761677</v>
      </c>
      <c r="F20" s="74">
        <f>Clinker!EK4</f>
        <v>1615</v>
      </c>
      <c r="G20" s="74">
        <f>F20+'1'!G20</f>
        <v>3585</v>
      </c>
      <c r="H20" s="74">
        <f>F20+'1'!H20</f>
        <v>89111</v>
      </c>
      <c r="I20" s="74">
        <f>Clinker!EL4</f>
        <v>1783.0079999999998</v>
      </c>
      <c r="J20" s="74">
        <f>I20+'1'!J20</f>
        <v>3394.3480000000013</v>
      </c>
      <c r="K20" s="74">
        <f>I20+'1'!K20</f>
        <v>66256.079013865048</v>
      </c>
      <c r="L20" s="74">
        <f>E20+F20-I20-I22</f>
        <v>26136.461085761679</v>
      </c>
      <c r="M20" s="641">
        <f>((I20+I21)/(J42+J48))*100</f>
        <v>78.442938847338311</v>
      </c>
      <c r="N20" s="525"/>
      <c r="O20" s="527"/>
      <c r="P20" s="535"/>
      <c r="Q20" s="536"/>
      <c r="R20" s="20"/>
      <c r="S20" s="190"/>
    </row>
    <row r="21" spans="2:19" ht="45">
      <c r="B21" s="512"/>
      <c r="C21" s="477"/>
      <c r="D21" s="85" t="s">
        <v>70</v>
      </c>
      <c r="E21" s="74">
        <f>Clinker!EO4</f>
        <v>5306.1090080001359</v>
      </c>
      <c r="F21" s="74">
        <f>Clinker!EP4</f>
        <v>0</v>
      </c>
      <c r="G21" s="74">
        <f>F21+'1'!G21</f>
        <v>0</v>
      </c>
      <c r="H21" s="74">
        <f>F21+'1'!H21</f>
        <v>13390.660000000003</v>
      </c>
      <c r="I21" s="74">
        <f>Clinker!EQ4</f>
        <v>0</v>
      </c>
      <c r="J21" s="74">
        <f>I21+'1'!J21</f>
        <v>0</v>
      </c>
      <c r="K21" s="74">
        <f>I21+'1'!K21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20"/>
      <c r="S21" s="235"/>
    </row>
    <row r="22" spans="2:19" ht="30">
      <c r="B22" s="512"/>
      <c r="C22" s="524"/>
      <c r="D22" s="86" t="s">
        <v>270</v>
      </c>
      <c r="E22" s="77"/>
      <c r="F22" s="77">
        <f>Clinker!EN4</f>
        <v>0</v>
      </c>
      <c r="G22" s="74">
        <f>F22+'1'!G22</f>
        <v>0</v>
      </c>
      <c r="H22" s="74">
        <f>F22+'1'!H22</f>
        <v>0</v>
      </c>
      <c r="I22" s="77">
        <f>Clinker!EN4</f>
        <v>0</v>
      </c>
      <c r="J22" s="74">
        <f>I22+'1'!J22</f>
        <v>0</v>
      </c>
      <c r="K22" s="74">
        <f>I22+'1'!K22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Cement!S4</f>
        <v>420.60000000000008</v>
      </c>
      <c r="J23" s="74">
        <f>I23+'1'!J23</f>
        <v>759.27777777777624</v>
      </c>
      <c r="K23" s="74">
        <f>I23+'1'!K23</f>
        <v>21232.629212630454</v>
      </c>
      <c r="L23" s="74"/>
      <c r="M23" s="78">
        <f>(I23/(J42+J48))*100</f>
        <v>18.504179498460189</v>
      </c>
      <c r="N23" s="78">
        <f>M23+(M23*P23)/100</f>
        <v>20.354597448306208</v>
      </c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Cement!C4</f>
        <v>4102.1726425877978</v>
      </c>
      <c r="F24" s="77">
        <f>Cement!D4</f>
        <v>0</v>
      </c>
      <c r="G24" s="74">
        <f>F24+'1'!G24</f>
        <v>0</v>
      </c>
      <c r="H24" s="74">
        <f>F24+'1'!H24</f>
        <v>2126.62</v>
      </c>
      <c r="I24" s="77">
        <f>Cement!F4</f>
        <v>117.31789473684211</v>
      </c>
      <c r="J24" s="74">
        <f>I24+'1'!J24</f>
        <v>223.47578947368424</v>
      </c>
      <c r="K24" s="74">
        <f>I24+'1'!K24</f>
        <v>5587.1453112988274</v>
      </c>
      <c r="L24" s="74">
        <f t="shared" ref="L24:L26" si="4">E24+F24-I24</f>
        <v>3984.8547478509558</v>
      </c>
      <c r="M24" s="78">
        <f>(I24/(J42+J48))*100</f>
        <v>5.1613680042605417</v>
      </c>
      <c r="N24" s="78">
        <f>M24+(M24*P24)/100</f>
        <v>5.3678227244309635</v>
      </c>
      <c r="O24" s="527"/>
      <c r="P24" s="87">
        <v>4</v>
      </c>
      <c r="Q24" s="573"/>
      <c r="R24" s="237"/>
      <c r="S24" s="20"/>
    </row>
    <row r="25" spans="2:19" ht="15" customHeight="1">
      <c r="B25" s="512"/>
      <c r="C25" s="476" t="s">
        <v>272</v>
      </c>
      <c r="D25" s="76" t="s">
        <v>82</v>
      </c>
      <c r="E25" s="77">
        <f>Cement!H4</f>
        <v>0.23999999999796273</v>
      </c>
      <c r="F25" s="77">
        <f>Cement!I4</f>
        <v>0</v>
      </c>
      <c r="G25" s="74">
        <f>F25+'1'!G25</f>
        <v>0</v>
      </c>
      <c r="H25" s="74">
        <f>F25+'1'!H25</f>
        <v>0</v>
      </c>
      <c r="I25" s="77">
        <f>Cement!J4</f>
        <v>0</v>
      </c>
      <c r="J25" s="74">
        <f>I25+'1'!J25</f>
        <v>0</v>
      </c>
      <c r="K25" s="74">
        <f>I25+'1'!K25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Cement!L4</f>
        <v>0</v>
      </c>
      <c r="F26" s="77">
        <f>Cement!M4</f>
        <v>0</v>
      </c>
      <c r="G26" s="74">
        <f>F26+'1'!G26</f>
        <v>0</v>
      </c>
      <c r="H26" s="74">
        <f>F26+'1'!H26</f>
        <v>0</v>
      </c>
      <c r="I26" s="77">
        <f>Cement!N4</f>
        <v>0</v>
      </c>
      <c r="J26" s="74">
        <f>I26+'1'!J26</f>
        <v>0</v>
      </c>
      <c r="K26" s="74">
        <f>I26+'1'!K26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35712.99073634961</v>
      </c>
      <c r="F27" s="122">
        <f t="shared" ref="F27:L27" si="5">F20+F21+F23+F24+F25+F26</f>
        <v>1615</v>
      </c>
      <c r="G27" s="122">
        <f t="shared" si="5"/>
        <v>3585</v>
      </c>
      <c r="H27" s="122">
        <f t="shared" si="5"/>
        <v>104628.28</v>
      </c>
      <c r="I27" s="122">
        <f t="shared" si="5"/>
        <v>2320.9258947368417</v>
      </c>
      <c r="J27" s="122">
        <f t="shared" si="5"/>
        <v>4377.1015672514613</v>
      </c>
      <c r="K27" s="122">
        <f t="shared" si="5"/>
        <v>110009.95353779431</v>
      </c>
      <c r="L27" s="122">
        <f t="shared" si="5"/>
        <v>35427.664841612772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Production2!C4</f>
        <v>18.03</v>
      </c>
      <c r="G32" s="75">
        <f>F32+'1'!G32</f>
        <v>39.53</v>
      </c>
      <c r="H32" s="75">
        <f>F32+'1'!H32</f>
        <v>1008.6600000000001</v>
      </c>
      <c r="I32" s="74">
        <f>'Mines (2)'!C4+'Mines (2)'!H4+'Mines (2)'!V4+'Mines (2)'!Z4+'Mines (2)'!AD4</f>
        <v>21171.842484553388</v>
      </c>
      <c r="J32" s="74">
        <f>F9+F23</f>
        <v>2717.3199999999997</v>
      </c>
      <c r="K32" s="74">
        <f>J32+'1'!K32</f>
        <v>8161.04</v>
      </c>
      <c r="L32" s="74">
        <f>J32+'1'!L32</f>
        <v>165028.32</v>
      </c>
      <c r="M32" s="74">
        <f>I9+I23</f>
        <v>2336.6</v>
      </c>
      <c r="N32" s="74">
        <f>M32+'1'!N32</f>
        <v>6076.2777777777756</v>
      </c>
      <c r="O32" s="74">
        <f>M32+'1'!O32</f>
        <v>166580.62921263048</v>
      </c>
      <c r="P32" s="74">
        <f>I32+J32-M32</f>
        <v>21552.562484553389</v>
      </c>
      <c r="Q32" s="93">
        <f>J32/F32</f>
        <v>150.71103716028838</v>
      </c>
      <c r="R32" s="94"/>
      <c r="S32" s="94"/>
    </row>
    <row r="33" spans="2:19">
      <c r="B33" s="79">
        <v>2</v>
      </c>
      <c r="C33" s="501" t="s">
        <v>282</v>
      </c>
      <c r="D33" s="502"/>
      <c r="E33" s="95">
        <v>120</v>
      </c>
      <c r="F33" s="78">
        <f>Production2!G4</f>
        <v>12.3</v>
      </c>
      <c r="G33" s="75">
        <f>F33+'1'!G33</f>
        <v>34.57</v>
      </c>
      <c r="H33" s="75">
        <f>F33+'1'!H33</f>
        <v>1104.1099999999999</v>
      </c>
      <c r="I33" s="541">
        <f>Production2!H4</f>
        <v>1325.2000168375189</v>
      </c>
      <c r="J33" s="78">
        <f>Production2!N4</f>
        <v>1599</v>
      </c>
      <c r="K33" s="74">
        <f>J33+'1'!K33</f>
        <v>4475</v>
      </c>
      <c r="L33" s="74">
        <f>J33+'1'!L33</f>
        <v>130760.59</v>
      </c>
      <c r="M33" s="541">
        <f>Production2!K4</f>
        <v>2503.25</v>
      </c>
      <c r="N33" s="541">
        <f>M33+'1'!N33</f>
        <v>5556.75</v>
      </c>
      <c r="O33" s="541">
        <f>M33+'1'!O33</f>
        <v>138122.04999999999</v>
      </c>
      <c r="P33" s="541">
        <f>I33+J34+J33-M33</f>
        <v>600.92001683751914</v>
      </c>
      <c r="Q33" s="96">
        <f t="shared" ref="Q33:Q48" si="6">J33/F33</f>
        <v>130</v>
      </c>
      <c r="R33" s="94"/>
      <c r="S33" s="94"/>
    </row>
    <row r="34" spans="2:19">
      <c r="B34" s="79"/>
      <c r="C34" s="501" t="s">
        <v>283</v>
      </c>
      <c r="D34" s="502"/>
      <c r="E34" s="95">
        <v>20</v>
      </c>
      <c r="F34" s="78">
        <f>Production2!P4</f>
        <v>17.88</v>
      </c>
      <c r="G34" s="75">
        <f>F34+'1'!G34</f>
        <v>41.379999999999995</v>
      </c>
      <c r="H34" s="75">
        <f>F34+'1'!H34</f>
        <v>657.05</v>
      </c>
      <c r="I34" s="473"/>
      <c r="J34" s="78">
        <f>Production2!Q4</f>
        <v>179.97</v>
      </c>
      <c r="K34" s="74">
        <f>J34+'1'!K34</f>
        <v>415.03</v>
      </c>
      <c r="L34" s="74">
        <f>J34+'1'!L34</f>
        <v>5968.6500000000005</v>
      </c>
      <c r="M34" s="473"/>
      <c r="N34" s="473"/>
      <c r="O34" s="473"/>
      <c r="P34" s="473"/>
      <c r="Q34" s="96">
        <f t="shared" si="6"/>
        <v>10.065436241610739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Production2!S4</f>
        <v>18.3</v>
      </c>
      <c r="G35" s="75">
        <f>F35+'1'!G35</f>
        <v>37</v>
      </c>
      <c r="H35" s="75">
        <f>F35+'1'!H35</f>
        <v>990.33</v>
      </c>
      <c r="I35" s="77">
        <f>Production2!T4</f>
        <v>37.109999999999843</v>
      </c>
      <c r="J35" s="77">
        <f>Production2!U4</f>
        <v>250</v>
      </c>
      <c r="K35" s="74">
        <f>J35+'1'!K35</f>
        <v>532</v>
      </c>
      <c r="L35" s="74">
        <f>J35+'1'!L35</f>
        <v>13777.599999999999</v>
      </c>
      <c r="M35" s="77">
        <f>Production2!V4</f>
        <v>247</v>
      </c>
      <c r="N35" s="74">
        <f>M35+'1'!N35</f>
        <v>534</v>
      </c>
      <c r="O35" s="74">
        <f>M35+'1'!O35</f>
        <v>13753</v>
      </c>
      <c r="P35" s="74">
        <f t="shared" ref="P35" si="7">I35+J35-M35</f>
        <v>40.109999999999843</v>
      </c>
      <c r="Q35" s="96">
        <f t="shared" si="6"/>
        <v>13.66120218579235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Production2!Y4</f>
        <v>23.75</v>
      </c>
      <c r="G36" s="75">
        <f>F36+'1'!G36</f>
        <v>47.75</v>
      </c>
      <c r="H36" s="75">
        <f>F36+'1'!H36</f>
        <v>1362.56</v>
      </c>
      <c r="I36" s="77">
        <f>Clinker!EJ4</f>
        <v>26304.469085761677</v>
      </c>
      <c r="J36" s="77">
        <f>Clinker!EK4</f>
        <v>1615</v>
      </c>
      <c r="K36" s="74">
        <f>J36+'1'!K36</f>
        <v>3585</v>
      </c>
      <c r="L36" s="74">
        <f>J36+'1'!L36</f>
        <v>89111</v>
      </c>
      <c r="M36" s="77">
        <f>Clinker!EL4</f>
        <v>1783.0079999999998</v>
      </c>
      <c r="N36" s="74">
        <f>M36+'1'!N36</f>
        <v>3394.3480000000013</v>
      </c>
      <c r="O36" s="74">
        <f>M36+'1'!O36</f>
        <v>66256.079013865048</v>
      </c>
      <c r="P36" s="74">
        <f>I36+J36-M36-I22</f>
        <v>26136.461085761679</v>
      </c>
      <c r="Q36" s="96">
        <f t="shared" si="6"/>
        <v>68</v>
      </c>
      <c r="R36" s="94"/>
      <c r="S36" s="94"/>
    </row>
    <row r="37" spans="2:19">
      <c r="B37" s="569">
        <v>5</v>
      </c>
      <c r="C37" s="476" t="s">
        <v>158</v>
      </c>
      <c r="D37" s="80" t="s">
        <v>285</v>
      </c>
      <c r="E37" s="97">
        <v>90</v>
      </c>
      <c r="F37" s="78">
        <f>Production2!AE4</f>
        <v>0</v>
      </c>
      <c r="G37" s="75">
        <f>F37+'1'!G37</f>
        <v>0</v>
      </c>
      <c r="H37" s="75">
        <f>F37+'1'!H37</f>
        <v>39.700000000000003</v>
      </c>
      <c r="I37" s="77">
        <f>Production2!BJ4</f>
        <v>547.29999999999995</v>
      </c>
      <c r="J37" s="77">
        <f>Production2!AF4</f>
        <v>0</v>
      </c>
      <c r="K37" s="74">
        <f>J37+'1'!K37</f>
        <v>0</v>
      </c>
      <c r="L37" s="74">
        <f>J37+'1'!L37</f>
        <v>2634</v>
      </c>
      <c r="M37" s="77">
        <f>Production2!BL4</f>
        <v>126</v>
      </c>
      <c r="N37" s="74">
        <f>M37+'1'!N37</f>
        <v>157</v>
      </c>
      <c r="O37" s="74">
        <f>M37+'1'!O37</f>
        <v>5195</v>
      </c>
      <c r="P37" s="74">
        <f>I37+J37+J43-M37-F61</f>
        <v>421.29999999999995</v>
      </c>
      <c r="Q37" s="96" t="e">
        <f t="shared" si="6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Production2!AB4</f>
        <v>16.920000000000002</v>
      </c>
      <c r="G38" s="75">
        <f>F38+'1'!G38</f>
        <v>25.300000000000004</v>
      </c>
      <c r="H38" s="75">
        <f>F38+'1'!H38</f>
        <v>523.76999999999987</v>
      </c>
      <c r="I38" s="77">
        <f>Production2!BF4</f>
        <v>1721.7279999999787</v>
      </c>
      <c r="J38" s="77">
        <f>Production2!AC4</f>
        <v>1099</v>
      </c>
      <c r="K38" s="74">
        <f>J38+'1'!K38</f>
        <v>1652</v>
      </c>
      <c r="L38" s="74">
        <f>J38+'1'!L38</f>
        <v>32982</v>
      </c>
      <c r="M38" s="77">
        <f>Production2!BH4</f>
        <v>2227.15</v>
      </c>
      <c r="N38" s="74">
        <f>M38+'1'!N38</f>
        <v>4115.1499999999996</v>
      </c>
      <c r="O38" s="74">
        <f>M38+'1'!O38</f>
        <v>84857.979999999981</v>
      </c>
      <c r="P38" s="74">
        <f>I38+J38+J44-M38-F59</f>
        <v>1597.5779999999786</v>
      </c>
      <c r="Q38" s="96">
        <f t="shared" si="6"/>
        <v>64.952718676122927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Production2!AH4</f>
        <v>0</v>
      </c>
      <c r="G39" s="75">
        <f>F39+'1'!G39</f>
        <v>0</v>
      </c>
      <c r="H39" s="75">
        <f>F39+'1'!H39</f>
        <v>0</v>
      </c>
      <c r="I39" s="77">
        <f>Production2!BN4</f>
        <v>9.0000000000849845E-2</v>
      </c>
      <c r="J39" s="77">
        <f>Production2!AI4</f>
        <v>0</v>
      </c>
      <c r="K39" s="74">
        <f>J39+'1'!K39</f>
        <v>0</v>
      </c>
      <c r="L39" s="74">
        <f>J39+'1'!L39</f>
        <v>0</v>
      </c>
      <c r="M39" s="77">
        <f>Production2!BP4</f>
        <v>0</v>
      </c>
      <c r="N39" s="74">
        <f>M39+'1'!N39</f>
        <v>0</v>
      </c>
      <c r="O39" s="74">
        <f>M39+'1'!O39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Production2!AK4</f>
        <v>0</v>
      </c>
      <c r="G40" s="75">
        <f>F40+'1'!G40</f>
        <v>0</v>
      </c>
      <c r="H40" s="75">
        <f>F40+'1'!H40</f>
        <v>5</v>
      </c>
      <c r="I40" s="195">
        <f>Production2!BR4</f>
        <v>230.70000000000005</v>
      </c>
      <c r="J40" s="195">
        <v>0</v>
      </c>
      <c r="K40" s="74">
        <f>J40+'1'!K40</f>
        <v>0</v>
      </c>
      <c r="L40" s="74">
        <f>J40+'1'!L40</f>
        <v>300</v>
      </c>
      <c r="M40" s="195">
        <f>Production2!BT4</f>
        <v>150</v>
      </c>
      <c r="N40" s="74">
        <f>M40+'1'!N40</f>
        <v>271</v>
      </c>
      <c r="O40" s="74">
        <f>M40+'1'!O40</f>
        <v>3303.5</v>
      </c>
      <c r="P40" s="74">
        <f>I40+J40+J46-M40-F62</f>
        <v>250.70000000000005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Production2!AN4</f>
        <v>0</v>
      </c>
      <c r="G41" s="75">
        <f>F41+'1'!G41</f>
        <v>0</v>
      </c>
      <c r="H41" s="75">
        <f>F41+'1'!H41</f>
        <v>126.16999999999999</v>
      </c>
      <c r="I41" s="195">
        <f>Production2!BV4</f>
        <v>1046.5800000000002</v>
      </c>
      <c r="J41" s="195">
        <v>0</v>
      </c>
      <c r="K41" s="74">
        <f>J41+'1'!K41</f>
        <v>0</v>
      </c>
      <c r="L41" s="74">
        <f>J41+'1'!L41</f>
        <v>8178</v>
      </c>
      <c r="M41" s="77">
        <f>Production2!BX4</f>
        <v>453.52</v>
      </c>
      <c r="N41" s="74">
        <f>M41+'1'!N41</f>
        <v>574.33999999999992</v>
      </c>
      <c r="O41" s="74">
        <f>M41+'1'!O41</f>
        <v>14569.65</v>
      </c>
      <c r="P41" s="74">
        <f>I41+J41+J47-M41</f>
        <v>593.06000000000017</v>
      </c>
      <c r="Q41" s="96" t="e">
        <f t="shared" si="6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16.920000000000002</v>
      </c>
      <c r="G42" s="132">
        <f t="shared" ref="G42:H42" si="8">G37+G38+G39+G40+G41</f>
        <v>25.300000000000004</v>
      </c>
      <c r="H42" s="132">
        <f t="shared" si="8"/>
        <v>694.63999999999987</v>
      </c>
      <c r="I42" s="122">
        <f>I37+I38+I39+I40+I41</f>
        <v>3546.3979999999792</v>
      </c>
      <c r="J42" s="122">
        <f>J37+J38+J39+J40+J41</f>
        <v>1099</v>
      </c>
      <c r="K42" s="122">
        <f t="shared" ref="K42:P42" si="9">K37+K38+K39+K40+K41</f>
        <v>1652</v>
      </c>
      <c r="L42" s="122">
        <f t="shared" si="9"/>
        <v>44094</v>
      </c>
      <c r="M42" s="122">
        <f t="shared" si="9"/>
        <v>2956.67</v>
      </c>
      <c r="N42" s="122">
        <f t="shared" si="9"/>
        <v>5117.49</v>
      </c>
      <c r="O42" s="122">
        <f t="shared" si="9"/>
        <v>107925.97999999998</v>
      </c>
      <c r="P42" s="122">
        <f t="shared" si="9"/>
        <v>2862.7279999999801</v>
      </c>
      <c r="Q42" s="123">
        <f t="shared" si="6"/>
        <v>64.952718676122927</v>
      </c>
      <c r="R42" s="94"/>
      <c r="S42" s="94"/>
    </row>
    <row r="43" spans="2:19">
      <c r="B43" s="569">
        <v>5</v>
      </c>
      <c r="C43" s="476" t="s">
        <v>289</v>
      </c>
      <c r="D43" s="80" t="s">
        <v>285</v>
      </c>
      <c r="E43" s="97">
        <v>75</v>
      </c>
      <c r="F43" s="78">
        <f>Production2!AT4</f>
        <v>0</v>
      </c>
      <c r="G43" s="75">
        <f>F43+'1'!G43</f>
        <v>0</v>
      </c>
      <c r="H43" s="75">
        <f>F43+'1'!H43</f>
        <v>45.429999999999993</v>
      </c>
      <c r="I43" s="471"/>
      <c r="J43" s="77">
        <f>Production2!AU4</f>
        <v>0</v>
      </c>
      <c r="K43" s="74">
        <f>J43+'1'!K43</f>
        <v>0</v>
      </c>
      <c r="L43" s="74">
        <f>J43+'1'!L43</f>
        <v>2750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Production2!AQ4</f>
        <v>16.25</v>
      </c>
      <c r="G44" s="75">
        <f>F44+'1'!G44</f>
        <v>36.25</v>
      </c>
      <c r="H44" s="75">
        <f>F44+'1'!H44</f>
        <v>886.66000000000008</v>
      </c>
      <c r="I44" s="472"/>
      <c r="J44" s="77">
        <f>Production2!AR4</f>
        <v>1004</v>
      </c>
      <c r="K44" s="74">
        <f>J44+'1'!K44</f>
        <v>2244</v>
      </c>
      <c r="L44" s="74">
        <f>J44+'1'!L44</f>
        <v>52205</v>
      </c>
      <c r="M44" s="545"/>
      <c r="N44" s="546"/>
      <c r="O44" s="546"/>
      <c r="P44" s="547"/>
      <c r="Q44" s="96">
        <f t="shared" si="6"/>
        <v>61.784615384615385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Production2!AW4</f>
        <v>0</v>
      </c>
      <c r="G45" s="75">
        <f>F45+'1'!G45</f>
        <v>0</v>
      </c>
      <c r="H45" s="75">
        <f>F45+'1'!H45</f>
        <v>0</v>
      </c>
      <c r="I45" s="472"/>
      <c r="J45" s="77">
        <f>Production2!AX4</f>
        <v>0</v>
      </c>
      <c r="K45" s="74">
        <f>J45+'1'!K45</f>
        <v>0</v>
      </c>
      <c r="L45" s="74">
        <f>J45+'1'!L45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Production2!AZ4</f>
        <v>3</v>
      </c>
      <c r="G46" s="75">
        <f>F46+'1'!G46</f>
        <v>7</v>
      </c>
      <c r="H46" s="75">
        <f>F46+'1'!H46</f>
        <v>54.88</v>
      </c>
      <c r="I46" s="473"/>
      <c r="J46" s="195">
        <f>Production2!BA4</f>
        <v>170</v>
      </c>
      <c r="K46" s="74">
        <f>J46+'1'!K46</f>
        <v>394</v>
      </c>
      <c r="L46" s="74">
        <f>J46+'1'!L46</f>
        <v>3041</v>
      </c>
      <c r="M46" s="545"/>
      <c r="N46" s="546"/>
      <c r="O46" s="546"/>
      <c r="P46" s="547"/>
      <c r="Q46" s="96">
        <f t="shared" si="6"/>
        <v>56.666666666666664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Production2!BC4</f>
        <v>0</v>
      </c>
      <c r="G47" s="75">
        <f>F47+'1'!G47</f>
        <v>0</v>
      </c>
      <c r="H47" s="75">
        <f>F47+'1'!H47</f>
        <v>108.67</v>
      </c>
      <c r="I47" s="425"/>
      <c r="J47" s="195">
        <f>Production2!BD4</f>
        <v>0</v>
      </c>
      <c r="K47" s="74">
        <f>J47+'1'!K47</f>
        <v>0</v>
      </c>
      <c r="L47" s="74">
        <f>J47+'1'!L47</f>
        <v>6615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19.25</v>
      </c>
      <c r="G48" s="132">
        <f t="shared" ref="G48:H48" si="10">G43+G44+G45+G46+G47</f>
        <v>43.25</v>
      </c>
      <c r="H48" s="132">
        <f t="shared" si="10"/>
        <v>1095.6400000000001</v>
      </c>
      <c r="I48" s="132">
        <f t="shared" ref="I48" si="11">I43+I44+I45+I46</f>
        <v>0</v>
      </c>
      <c r="J48" s="132">
        <f>J43+J44+J45+J46+J47</f>
        <v>1174</v>
      </c>
      <c r="K48" s="132">
        <f t="shared" ref="K48:L48" si="12">K43+K44+K45+K46+K47</f>
        <v>2638</v>
      </c>
      <c r="L48" s="132">
        <f t="shared" si="12"/>
        <v>64611</v>
      </c>
      <c r="M48" s="132"/>
      <c r="N48" s="132"/>
      <c r="O48" s="132"/>
      <c r="P48" s="132"/>
      <c r="Q48" s="123">
        <f t="shared" si="6"/>
        <v>60.987012987012989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77" t="s">
        <v>290</v>
      </c>
      <c r="C50" s="578"/>
      <c r="D50" s="578"/>
      <c r="E50" s="578"/>
      <c r="F50" s="578"/>
      <c r="G50" s="578"/>
      <c r="H50" s="578"/>
      <c r="I50" s="578"/>
      <c r="J50" s="578"/>
      <c r="K50" s="578"/>
      <c r="L50" s="578"/>
      <c r="M50" s="640"/>
      <c r="N50" s="482" t="s">
        <v>291</v>
      </c>
      <c r="O50" s="483"/>
      <c r="P50" s="483"/>
      <c r="Q50" s="484"/>
      <c r="R50" s="98"/>
      <c r="S50" s="98"/>
    </row>
    <row r="51" spans="2:19" s="70" customFormat="1" ht="15.6" customHeight="1" thickBot="1">
      <c r="B51" s="145" t="s">
        <v>250</v>
      </c>
      <c r="C51" s="585" t="s">
        <v>251</v>
      </c>
      <c r="D51" s="585"/>
      <c r="E51" s="133" t="s">
        <v>153</v>
      </c>
      <c r="F51" s="133" t="s">
        <v>132</v>
      </c>
      <c r="G51" s="133" t="s">
        <v>156</v>
      </c>
      <c r="H51" s="133" t="s">
        <v>157</v>
      </c>
      <c r="I51" s="133" t="s">
        <v>292</v>
      </c>
      <c r="J51" s="133" t="s">
        <v>159</v>
      </c>
      <c r="K51" s="133" t="s">
        <v>293</v>
      </c>
      <c r="L51" s="146" t="s">
        <v>294</v>
      </c>
      <c r="M51" s="135" t="s">
        <v>162</v>
      </c>
      <c r="N51" s="147" t="s">
        <v>250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0.66204937217552595</v>
      </c>
      <c r="F52" s="99">
        <f>F55/(J33+J34)</f>
        <v>39.132194472082162</v>
      </c>
      <c r="G52" s="99">
        <f>G55/J36</f>
        <v>38.311455108359134</v>
      </c>
      <c r="H52" s="99">
        <f>H55/J35</f>
        <v>56.103999999999999</v>
      </c>
      <c r="I52" s="99"/>
      <c r="J52" s="99"/>
      <c r="K52" s="99"/>
      <c r="L52" s="99"/>
      <c r="M52" s="100"/>
      <c r="N52" s="101">
        <v>1</v>
      </c>
      <c r="O52" s="587" t="s">
        <v>296</v>
      </c>
      <c r="P52" s="587"/>
      <c r="Q52" s="93">
        <f>(M35/J36)*100</f>
        <v>15.294117647058824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0.7854406173921411</v>
      </c>
      <c r="F53" s="102">
        <f>F52*1.55</f>
        <v>60.654901431727353</v>
      </c>
      <c r="G53" s="102">
        <f>G52</f>
        <v>38.311455108359134</v>
      </c>
      <c r="H53" s="102">
        <f>H52*Q52/100</f>
        <v>8.5806117647058837</v>
      </c>
      <c r="I53" s="102"/>
      <c r="J53" s="102"/>
      <c r="K53" s="102"/>
      <c r="L53" s="102"/>
      <c r="M53" s="96">
        <f>SUM(E53:H53)</f>
        <v>108.3324089221845</v>
      </c>
      <c r="N53" s="103">
        <v>2</v>
      </c>
      <c r="O53" s="516" t="s">
        <v>298</v>
      </c>
      <c r="P53" s="516"/>
      <c r="Q53" s="104">
        <v>5408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0.61612270318307372</v>
      </c>
      <c r="F54" s="102">
        <f>F53*M20/100</f>
        <v>47.579487238003225</v>
      </c>
      <c r="G54" s="102">
        <f>G53*M20/100</f>
        <v>30.052631302175623</v>
      </c>
      <c r="H54" s="102">
        <f>H53*M20/100</f>
        <v>6.730884039315753</v>
      </c>
      <c r="I54" s="102">
        <f>I55/(J42+J48)</f>
        <v>36.482182138143422</v>
      </c>
      <c r="J54" s="99">
        <f>J55/(J42+J48)</f>
        <v>0.8939727232732072</v>
      </c>
      <c r="K54" s="99">
        <f>K55/(M42+M48)</f>
        <v>1.990414892429659</v>
      </c>
      <c r="L54" s="99">
        <f>L55/(J42+J48)</f>
        <v>1.8095028596568412</v>
      </c>
      <c r="M54" s="96">
        <f>SUM(E54:L54)</f>
        <v>126.15519789618081</v>
      </c>
      <c r="N54" s="103">
        <v>3</v>
      </c>
      <c r="O54" s="516" t="s">
        <v>300</v>
      </c>
      <c r="P54" s="516"/>
      <c r="Q54" s="104">
        <f>Q53*Q52/100</f>
        <v>827.10588235294131</v>
      </c>
    </row>
    <row r="55" spans="2:19" ht="15" customHeight="1" thickBot="1">
      <c r="B55" s="199" t="s">
        <v>262</v>
      </c>
      <c r="C55" s="659" t="s">
        <v>301</v>
      </c>
      <c r="D55" s="659"/>
      <c r="E55" s="203">
        <f>'Daily unit'!B4</f>
        <v>1799</v>
      </c>
      <c r="F55" s="203">
        <f>'Daily unit'!C4</f>
        <v>69615</v>
      </c>
      <c r="G55" s="203">
        <f>'Daily unit'!E4</f>
        <v>61873</v>
      </c>
      <c r="H55" s="203">
        <f>'Daily unit'!F4</f>
        <v>14026</v>
      </c>
      <c r="I55" s="203">
        <f>'Daily unit'!G4</f>
        <v>82924</v>
      </c>
      <c r="J55" s="203">
        <f>'Daily unit'!H4</f>
        <v>2032</v>
      </c>
      <c r="K55" s="203">
        <f>'Daily unit'!I4</f>
        <v>5885</v>
      </c>
      <c r="L55" s="203">
        <f>'Daily unit'!J4</f>
        <v>4113</v>
      </c>
      <c r="M55" s="204">
        <f>SUM(E55:L55)</f>
        <v>242267</v>
      </c>
      <c r="N55" s="205"/>
      <c r="O55" s="206"/>
      <c r="P55" s="84"/>
      <c r="Q55" s="207"/>
    </row>
    <row r="56" spans="2:19" ht="15" customHeight="1" thickBot="1">
      <c r="B56" s="656"/>
      <c r="C56" s="657"/>
      <c r="D56" s="657"/>
      <c r="E56" s="657"/>
      <c r="F56" s="657"/>
      <c r="G56" s="657"/>
      <c r="H56" s="657"/>
      <c r="I56" s="657"/>
      <c r="J56" s="657"/>
      <c r="K56" s="657"/>
      <c r="L56" s="657"/>
      <c r="M56" s="657"/>
      <c r="N56" s="657"/>
      <c r="O56" s="657"/>
      <c r="P56" s="657"/>
      <c r="Q56" s="658"/>
    </row>
    <row r="57" spans="2:19" ht="14.45" customHeight="1">
      <c r="B57" s="577" t="s">
        <v>302</v>
      </c>
      <c r="C57" s="578"/>
      <c r="D57" s="578"/>
      <c r="E57" s="578"/>
      <c r="F57" s="578"/>
      <c r="G57" s="578"/>
      <c r="H57" s="578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187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69">
        <v>1</v>
      </c>
      <c r="C59" s="650" t="s">
        <v>306</v>
      </c>
      <c r="D59" s="651"/>
      <c r="E59" s="80">
        <v>42.5</v>
      </c>
      <c r="F59" s="53">
        <f>'Internal use cement'!F4</f>
        <v>0</v>
      </c>
      <c r="G59" s="53">
        <f>F59+'1'!G59</f>
        <v>0</v>
      </c>
      <c r="H59" s="77">
        <f>F59+'1'!H59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64"/>
      <c r="C60" s="652"/>
      <c r="D60" s="653"/>
      <c r="E60" s="80" t="s">
        <v>211</v>
      </c>
      <c r="F60" s="53">
        <f>'Internal use cement'!Q4</f>
        <v>0</v>
      </c>
      <c r="G60" s="53">
        <f>F60+'1'!G60</f>
        <v>0</v>
      </c>
      <c r="H60" s="77">
        <f>F60+'1'!H60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64"/>
      <c r="C61" s="652"/>
      <c r="D61" s="653"/>
      <c r="E61" s="80">
        <v>32.5</v>
      </c>
      <c r="F61" s="53">
        <f>'Internal use cement'!AB4</f>
        <v>0</v>
      </c>
      <c r="G61" s="53">
        <f>F61+'1'!G61</f>
        <v>0</v>
      </c>
      <c r="H61" s="77">
        <f>F61+'1'!H61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565"/>
      <c r="C62" s="654"/>
      <c r="D62" s="655"/>
      <c r="E62" s="112" t="s">
        <v>187</v>
      </c>
      <c r="F62" s="113">
        <f>'Internal use cement'!AJ4</f>
        <v>0</v>
      </c>
      <c r="G62" s="113">
        <f>F62+'1'!G62</f>
        <v>0</v>
      </c>
      <c r="H62" s="209">
        <f>F62+'1'!H62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7"/>
      <c r="S65" s="117"/>
    </row>
    <row r="66" spans="2:19">
      <c r="R66" s="117"/>
      <c r="S66" s="117"/>
    </row>
    <row r="67" spans="2:19">
      <c r="R67" s="117"/>
      <c r="S67" s="117"/>
    </row>
    <row r="68" spans="2:19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2:19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</sheetData>
  <mergeCells count="85"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6:B18"/>
    <mergeCell ref="C16:C18"/>
    <mergeCell ref="C8:Q8"/>
    <mergeCell ref="C11:D11"/>
    <mergeCell ref="C12:D12"/>
    <mergeCell ref="C15:D15"/>
    <mergeCell ref="P15:Q15"/>
    <mergeCell ref="O9:O18"/>
    <mergeCell ref="C10:D10"/>
    <mergeCell ref="C9:D9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M25:N26"/>
    <mergeCell ref="P25:Q27"/>
    <mergeCell ref="C27:D27"/>
    <mergeCell ref="M27:N27"/>
    <mergeCell ref="C23:D23"/>
    <mergeCell ref="M20:M21"/>
    <mergeCell ref="C25:C26"/>
    <mergeCell ref="B37:B42"/>
    <mergeCell ref="C37:C42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P33:P34"/>
    <mergeCell ref="C34:D34"/>
    <mergeCell ref="I33:I34"/>
    <mergeCell ref="M33:M34"/>
    <mergeCell ref="B59:B62"/>
    <mergeCell ref="B43:B48"/>
    <mergeCell ref="C43:C48"/>
    <mergeCell ref="B57:H57"/>
    <mergeCell ref="B49:Q49"/>
    <mergeCell ref="B50:M50"/>
    <mergeCell ref="N50:Q50"/>
    <mergeCell ref="C51:D51"/>
    <mergeCell ref="O51:P51"/>
    <mergeCell ref="C52:D52"/>
    <mergeCell ref="O52:P52"/>
    <mergeCell ref="C53:D53"/>
    <mergeCell ref="O53:P53"/>
    <mergeCell ref="C54:D54"/>
    <mergeCell ref="B56:Q56"/>
    <mergeCell ref="C55:D55"/>
    <mergeCell ref="C58:E58"/>
    <mergeCell ref="I57:Q62"/>
    <mergeCell ref="C59:D62"/>
    <mergeCell ref="I43:I46"/>
    <mergeCell ref="O54:P54"/>
    <mergeCell ref="N33:N34"/>
    <mergeCell ref="O33:O34"/>
    <mergeCell ref="M43:P47"/>
    <mergeCell ref="C32:D32"/>
    <mergeCell ref="C33:D33"/>
    <mergeCell ref="C35:D35"/>
    <mergeCell ref="C36:D36"/>
  </mergeCells>
  <pageMargins left="0" right="0" top="0.75" bottom="0.75" header="0.3" footer="0.3"/>
  <pageSetup paperSize="9" scale="5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B2:U157"/>
  <sheetViews>
    <sheetView zoomScale="90" zoomScaleNormal="90" workbookViewId="0">
      <pane xSplit="4" ySplit="1" topLeftCell="E53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10.140625" style="68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1.140625" style="68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310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 t="s">
        <v>309</v>
      </c>
    </row>
    <row r="7" spans="2:21" ht="15" customHeight="1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210" t="s">
        <v>263</v>
      </c>
      <c r="D9" s="73" t="s">
        <v>74</v>
      </c>
      <c r="E9" s="74">
        <f>'2'!L9</f>
        <v>21552.562484553393</v>
      </c>
      <c r="F9" s="74">
        <f>Production2!D5</f>
        <v>3464.66</v>
      </c>
      <c r="G9" s="74">
        <f>F9+'2'!G9</f>
        <v>11625.7</v>
      </c>
      <c r="H9" s="74">
        <f>F9+'2'!H9</f>
        <v>168492.98</v>
      </c>
      <c r="I9" s="74">
        <f>Production2!E5</f>
        <v>2530</v>
      </c>
      <c r="J9" s="74">
        <f>I9+'2'!J9</f>
        <v>7847</v>
      </c>
      <c r="K9" s="74">
        <f>I9+'2'!K9</f>
        <v>147878</v>
      </c>
      <c r="L9" s="74">
        <f>E9+F9-I9-I23</f>
        <v>21922.622484553394</v>
      </c>
      <c r="M9" s="75">
        <f>I9</f>
        <v>2530</v>
      </c>
      <c r="N9" s="75">
        <f>(I9/I15)*100</f>
        <v>94.508778483376915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(2)'!L5</f>
        <v>2899.44</v>
      </c>
      <c r="F10" s="77">
        <f>'Mines (2)'!M5</f>
        <v>140.24</v>
      </c>
      <c r="G10" s="74">
        <f>F10+'2'!G10</f>
        <v>140.24</v>
      </c>
      <c r="H10" s="74">
        <f>F10+'2'!H10</f>
        <v>5409.6400000000012</v>
      </c>
      <c r="I10" s="77">
        <f>'Mines (2)'!N5</f>
        <v>80</v>
      </c>
      <c r="J10" s="74">
        <f>I10+'2'!J10</f>
        <v>92</v>
      </c>
      <c r="K10" s="74">
        <f>I10+'2'!K10</f>
        <v>2574</v>
      </c>
      <c r="L10" s="77">
        <f t="shared" ref="L10:L15" si="0">E10+F10-I10</f>
        <v>2959.6800000000003</v>
      </c>
      <c r="M10" s="75">
        <f t="shared" ref="M10:M12" si="1">I10</f>
        <v>80</v>
      </c>
      <c r="N10" s="75">
        <f>(I10/I15)*100</f>
        <v>2.9884198729921554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Clinker!C5</f>
        <v>2546.92</v>
      </c>
      <c r="F11" s="77">
        <f>Clinker!D5</f>
        <v>0</v>
      </c>
      <c r="G11" s="74">
        <f>F11+'2'!G11</f>
        <v>0</v>
      </c>
      <c r="H11" s="74">
        <f>F11+'2'!H11</f>
        <v>417.28000000000003</v>
      </c>
      <c r="I11" s="77">
        <f>Clinker!E5</f>
        <v>67</v>
      </c>
      <c r="J11" s="74">
        <f>I11+'2'!J11</f>
        <v>168</v>
      </c>
      <c r="K11" s="74">
        <f>I11+'2'!K11</f>
        <v>3303</v>
      </c>
      <c r="L11" s="77">
        <f t="shared" si="0"/>
        <v>2479.92</v>
      </c>
      <c r="M11" s="75">
        <f t="shared" si="1"/>
        <v>67</v>
      </c>
      <c r="N11" s="75">
        <f>(I11/I15)*100</f>
        <v>2.5028016436309302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(2)'!Q5</f>
        <v>3.999999999996362E-2</v>
      </c>
      <c r="F12" s="77">
        <f>'Mines (2)'!R5</f>
        <v>0</v>
      </c>
      <c r="G12" s="74">
        <f>F12+'2'!G12</f>
        <v>0</v>
      </c>
      <c r="H12" s="74">
        <f>F12+'2'!H12</f>
        <v>137.76</v>
      </c>
      <c r="I12" s="77">
        <f>'Mines (2)'!S5</f>
        <v>0</v>
      </c>
      <c r="J12" s="74">
        <f>I12+'2'!J12</f>
        <v>0</v>
      </c>
      <c r="K12" s="74">
        <f>I12+'2'!K12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26998.962484553391</v>
      </c>
      <c r="F15" s="127">
        <f t="shared" si="2"/>
        <v>3604.8999999999996</v>
      </c>
      <c r="G15" s="127">
        <f t="shared" si="2"/>
        <v>11765.94</v>
      </c>
      <c r="H15" s="127">
        <f t="shared" si="2"/>
        <v>174457.66000000003</v>
      </c>
      <c r="I15" s="127">
        <f t="shared" si="2"/>
        <v>2677</v>
      </c>
      <c r="J15" s="127">
        <f t="shared" si="2"/>
        <v>8107</v>
      </c>
      <c r="K15" s="127">
        <f t="shared" si="2"/>
        <v>154493</v>
      </c>
      <c r="L15" s="127">
        <f t="shared" si="0"/>
        <v>27926.862484553392</v>
      </c>
      <c r="M15" s="128">
        <f>SUM(M9:M12)</f>
        <v>2677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Clinker!EB5</f>
        <v>4375.7069999999903</v>
      </c>
      <c r="F16" s="77">
        <f>Clinker!EC5</f>
        <v>221.94</v>
      </c>
      <c r="G16" s="77">
        <f>F16+'2'!G16</f>
        <v>560.68000000000006</v>
      </c>
      <c r="H16" s="77">
        <f>F16+'2'!H16</f>
        <v>1365.92</v>
      </c>
      <c r="I16" s="77">
        <f>Clinker!ED5</f>
        <v>239</v>
      </c>
      <c r="J16" s="77">
        <f>I16+'2'!J16</f>
        <v>830.11</v>
      </c>
      <c r="K16" s="77">
        <f>I16+'2'!K16</f>
        <v>15547.420000000002</v>
      </c>
      <c r="L16" s="77">
        <f>E16+F16-I16-Clinker!N5-Clinker!Z5-Clinker!AS5-Clinker!AX5-Clinker!BC5-Clinker!BW5-Clinker!BH5-Clinker!BM5-Clinker!BR5-Clinker!CV5-Clinker!DP5</f>
        <v>4358.6469999999899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Clinker!EF5</f>
        <v>4184.8699999999944</v>
      </c>
      <c r="F17" s="77">
        <f>Clinker!EG5</f>
        <v>397.15</v>
      </c>
      <c r="G17" s="77">
        <f>F17+'2'!G17</f>
        <v>819.3</v>
      </c>
      <c r="H17" s="77">
        <f>F17+'2'!H17</f>
        <v>2960.25</v>
      </c>
      <c r="I17" s="77">
        <f>Clinker!EH5</f>
        <v>138</v>
      </c>
      <c r="J17" s="77">
        <f>I17+'2'!J17</f>
        <v>424</v>
      </c>
      <c r="K17" s="77">
        <f>I17+'2'!K17</f>
        <v>8596</v>
      </c>
      <c r="L17" s="77">
        <f>E17+F17-Clinker!AE5-Clinker!AJ5-Clinker!CG5-Clinker!CL5-Clinker!CQ5</f>
        <v>4444.0199999999941</v>
      </c>
      <c r="M17" s="81"/>
      <c r="N17" s="81"/>
      <c r="O17" s="515"/>
      <c r="P17" s="78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8560.5769999999848</v>
      </c>
      <c r="F18" s="125">
        <f>F16+F17</f>
        <v>619.08999999999992</v>
      </c>
      <c r="G18" s="125">
        <f t="shared" ref="G18:L18" si="3">G16+G17</f>
        <v>1379.98</v>
      </c>
      <c r="H18" s="125">
        <f t="shared" si="3"/>
        <v>4326.17</v>
      </c>
      <c r="I18" s="125">
        <f>I16+I17</f>
        <v>377</v>
      </c>
      <c r="J18" s="125">
        <f>J16+J17</f>
        <v>1254.1100000000001</v>
      </c>
      <c r="K18" s="125">
        <f>K16+K17</f>
        <v>24143.420000000002</v>
      </c>
      <c r="L18" s="125">
        <f t="shared" si="3"/>
        <v>8802.6669999999831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Clinker!EJ5</f>
        <v>26136.461085761679</v>
      </c>
      <c r="F20" s="74">
        <f>Clinker!EK5</f>
        <v>1408</v>
      </c>
      <c r="G20" s="74">
        <f>F20+'2'!G20</f>
        <v>4993</v>
      </c>
      <c r="H20" s="74">
        <f>F20+'2'!H20</f>
        <v>90519</v>
      </c>
      <c r="I20" s="74">
        <f>Clinker!EL5</f>
        <v>2274.2399999999998</v>
      </c>
      <c r="J20" s="74">
        <f>I20+'2'!J20</f>
        <v>5668.5880000000016</v>
      </c>
      <c r="K20" s="74">
        <f>I20+'2'!K20</f>
        <v>68530.319013865053</v>
      </c>
      <c r="L20" s="99">
        <f>E20+F20-I20-I22</f>
        <v>25270.221085761681</v>
      </c>
      <c r="M20" s="641">
        <f>((I21+I20)/I27)*100</f>
        <v>75.767643760270857</v>
      </c>
      <c r="N20" s="525"/>
      <c r="O20" s="527"/>
      <c r="P20" s="535"/>
      <c r="Q20" s="536"/>
      <c r="R20" s="20"/>
      <c r="S20" s="20"/>
    </row>
    <row r="21" spans="2:19" ht="45">
      <c r="B21" s="512"/>
      <c r="C21" s="477"/>
      <c r="D21" s="85" t="s">
        <v>70</v>
      </c>
      <c r="E21" s="74">
        <f>Clinker!EO5</f>
        <v>5306.1090080001359</v>
      </c>
      <c r="F21" s="74">
        <f>Clinker!EP5</f>
        <v>0</v>
      </c>
      <c r="G21" s="74">
        <f>F21+'2'!G21</f>
        <v>0</v>
      </c>
      <c r="H21" s="74">
        <f>F21+'2'!H21</f>
        <v>13390.660000000003</v>
      </c>
      <c r="I21" s="74">
        <f>Clinker!EQ5</f>
        <v>0</v>
      </c>
      <c r="J21" s="74">
        <f>I21+'2'!J21</f>
        <v>0</v>
      </c>
      <c r="K21" s="74">
        <f>I21+'2'!K21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190"/>
      <c r="S21" s="20"/>
    </row>
    <row r="22" spans="2:19" ht="30">
      <c r="B22" s="512"/>
      <c r="C22" s="524"/>
      <c r="D22" s="86" t="s">
        <v>270</v>
      </c>
      <c r="E22" s="77"/>
      <c r="F22" s="77">
        <f>Clinker!EN5</f>
        <v>0</v>
      </c>
      <c r="G22" s="74">
        <f>F22+'2'!G22</f>
        <v>0</v>
      </c>
      <c r="H22" s="74">
        <f>F22+'2'!H22</f>
        <v>0</v>
      </c>
      <c r="I22" s="77">
        <f>Clinker!EN5</f>
        <v>0</v>
      </c>
      <c r="J22" s="74">
        <f>I22+'2'!J22</f>
        <v>0</v>
      </c>
      <c r="K22" s="74">
        <f>I22+'2'!K22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Cement!S5</f>
        <v>564.6</v>
      </c>
      <c r="J23" s="74">
        <f>I23+'2'!J23</f>
        <v>1323.8777777777764</v>
      </c>
      <c r="K23" s="74">
        <f>I23+'2'!K23</f>
        <v>21797.229212630453</v>
      </c>
      <c r="L23" s="74"/>
      <c r="M23" s="78">
        <f>(I23/(J42+J48))*100</f>
        <v>19.223697650663944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Cement!C5</f>
        <v>3984.8547478509558</v>
      </c>
      <c r="F24" s="77">
        <f>Cement!D5</f>
        <v>0</v>
      </c>
      <c r="G24" s="74">
        <f>F24+'2'!G24</f>
        <v>0</v>
      </c>
      <c r="H24" s="74">
        <f>F24+'2'!H24</f>
        <v>2126.62</v>
      </c>
      <c r="I24" s="77">
        <f>Cement!F5</f>
        <v>162.7578947368421</v>
      </c>
      <c r="J24" s="74">
        <f>I24+'2'!J24</f>
        <v>386.23368421052635</v>
      </c>
      <c r="K24" s="74">
        <f>I24+'2'!K24</f>
        <v>5749.9032060356694</v>
      </c>
      <c r="L24" s="74">
        <f t="shared" ref="L24:L26" si="4">E24+F24-I24</f>
        <v>3822.0968531141139</v>
      </c>
      <c r="M24" s="78">
        <f>(I24/(J42+J48))*100</f>
        <v>5.5416375463684746</v>
      </c>
      <c r="N24" s="78"/>
      <c r="O24" s="527"/>
      <c r="P24" s="87">
        <v>5</v>
      </c>
      <c r="Q24" s="573"/>
      <c r="R24" s="20"/>
      <c r="S24" s="20"/>
    </row>
    <row r="25" spans="2:19" ht="15" customHeight="1">
      <c r="B25" s="512"/>
      <c r="C25" s="476" t="s">
        <v>272</v>
      </c>
      <c r="D25" s="76" t="s">
        <v>82</v>
      </c>
      <c r="E25" s="77">
        <f>Cement!H5</f>
        <v>0.23999999999796273</v>
      </c>
      <c r="F25" s="77">
        <f>Cement!I5</f>
        <v>0</v>
      </c>
      <c r="G25" s="74">
        <f>F25+'2'!G25</f>
        <v>0</v>
      </c>
      <c r="H25" s="74">
        <f>F25+'2'!H25</f>
        <v>0</v>
      </c>
      <c r="I25" s="77">
        <f>Cement!J5</f>
        <v>0</v>
      </c>
      <c r="J25" s="74">
        <f>I25+'2'!J25</f>
        <v>0</v>
      </c>
      <c r="K25" s="74">
        <f>I25+'2'!K25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Cement!L5</f>
        <v>0</v>
      </c>
      <c r="F26" s="77">
        <f>Cement!M5</f>
        <v>0</v>
      </c>
      <c r="G26" s="74">
        <f>F26+'2'!G26</f>
        <v>0</v>
      </c>
      <c r="H26" s="74">
        <f>F26+'2'!H26</f>
        <v>0</v>
      </c>
      <c r="I26" s="77">
        <f>Cement!N5</f>
        <v>0</v>
      </c>
      <c r="J26" s="74">
        <f>I26+'2'!J26</f>
        <v>0</v>
      </c>
      <c r="K26" s="74">
        <f>I26+'2'!K26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35427.664841612772</v>
      </c>
      <c r="F27" s="122">
        <f t="shared" ref="F27:L27" si="5">F20+F21+F23+F24+F25+F26</f>
        <v>1408</v>
      </c>
      <c r="G27" s="122">
        <f t="shared" si="5"/>
        <v>4993</v>
      </c>
      <c r="H27" s="122">
        <f t="shared" si="5"/>
        <v>106036.28</v>
      </c>
      <c r="I27" s="122">
        <f t="shared" si="5"/>
        <v>3001.5978947368417</v>
      </c>
      <c r="J27" s="122">
        <f t="shared" si="5"/>
        <v>7378.6994619883035</v>
      </c>
      <c r="K27" s="122">
        <f t="shared" si="5"/>
        <v>113011.55143253118</v>
      </c>
      <c r="L27" s="122">
        <f t="shared" si="5"/>
        <v>34398.666946875928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Production2!C5</f>
        <v>18.78</v>
      </c>
      <c r="G32" s="75">
        <f>F32+'2'!G32</f>
        <v>58.31</v>
      </c>
      <c r="H32" s="75">
        <f>F32+'2'!H32</f>
        <v>1027.44</v>
      </c>
      <c r="I32" s="74">
        <f>'Mines (2)'!C5+'Mines (2)'!H5+'Mines (2)'!V5+'Mines (2)'!Z5+'Mines (2)'!AD5</f>
        <v>21552.562484553389</v>
      </c>
      <c r="J32" s="74">
        <f>Production2!D5</f>
        <v>3464.66</v>
      </c>
      <c r="K32" s="74">
        <f>J32+'2'!K32</f>
        <v>11625.7</v>
      </c>
      <c r="L32" s="74">
        <f>J32+'2'!L32</f>
        <v>168492.98</v>
      </c>
      <c r="M32" s="74">
        <f>I9+I23</f>
        <v>3094.6</v>
      </c>
      <c r="N32" s="74">
        <f>M32+'2'!N32</f>
        <v>9170.8777777777759</v>
      </c>
      <c r="O32" s="74">
        <f>M32+'2'!O32</f>
        <v>169675.22921263048</v>
      </c>
      <c r="P32" s="74">
        <f>I32+J32-M32</f>
        <v>21922.622484553391</v>
      </c>
      <c r="Q32" s="93">
        <f>J32/F32</f>
        <v>184.48668796592116</v>
      </c>
      <c r="R32" s="94"/>
      <c r="S32" s="94"/>
    </row>
    <row r="33" spans="2:19">
      <c r="B33" s="91">
        <v>2</v>
      </c>
      <c r="C33" s="501" t="s">
        <v>282</v>
      </c>
      <c r="D33" s="502"/>
      <c r="E33" s="95">
        <v>120</v>
      </c>
      <c r="F33" s="78">
        <f>Production2!G5</f>
        <v>17.670000000000002</v>
      </c>
      <c r="G33" s="75">
        <f>F33+'2'!G33</f>
        <v>52.24</v>
      </c>
      <c r="H33" s="75">
        <f>F33+'2'!H33</f>
        <v>1121.78</v>
      </c>
      <c r="I33" s="541">
        <f>Production2!H5</f>
        <v>600.92001683751869</v>
      </c>
      <c r="J33" s="77">
        <f>Production2!N5</f>
        <v>2226</v>
      </c>
      <c r="K33" s="74">
        <f>J33+'2'!K33</f>
        <v>6701</v>
      </c>
      <c r="L33" s="74">
        <f>J33+'2'!L33</f>
        <v>132986.59</v>
      </c>
      <c r="M33" s="541">
        <f>Production2!K5</f>
        <v>2182.4</v>
      </c>
      <c r="N33" s="541">
        <f>M33+'2'!N33</f>
        <v>7739.15</v>
      </c>
      <c r="O33" s="541">
        <f>M33+'2'!O33</f>
        <v>140304.44999999998</v>
      </c>
      <c r="P33" s="541">
        <f>I33+J34+J33-M33</f>
        <v>829.83001683751854</v>
      </c>
      <c r="Q33" s="96">
        <f t="shared" ref="Q33:Q48" si="6">J33/F33</f>
        <v>125.97623089983021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Production2!P5</f>
        <v>18.5</v>
      </c>
      <c r="G34" s="75">
        <f>F34+'2'!G34</f>
        <v>59.879999999999995</v>
      </c>
      <c r="H34" s="75">
        <f>F34+'2'!H34</f>
        <v>675.55</v>
      </c>
      <c r="I34" s="473"/>
      <c r="J34" s="78">
        <f>Production2!Q5</f>
        <v>185.31</v>
      </c>
      <c r="K34" s="74">
        <f>J34+'2'!K34</f>
        <v>600.33999999999992</v>
      </c>
      <c r="L34" s="74">
        <f>J34+'2'!L34</f>
        <v>6153.9600000000009</v>
      </c>
      <c r="M34" s="473"/>
      <c r="N34" s="473"/>
      <c r="O34" s="473"/>
      <c r="P34" s="473"/>
      <c r="Q34" s="96">
        <f>J34/F34</f>
        <v>10.016756756756758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Production2!S5</f>
        <v>15</v>
      </c>
      <c r="G35" s="75">
        <f>F35+'2'!G35</f>
        <v>52</v>
      </c>
      <c r="H35" s="75">
        <f>F35+'2'!H35</f>
        <v>1005.33</v>
      </c>
      <c r="I35" s="77">
        <f>Production2!T5</f>
        <v>40.109999999999843</v>
      </c>
      <c r="J35" s="77">
        <f>Production2!U5</f>
        <v>215.1</v>
      </c>
      <c r="K35" s="74">
        <f>J35+'2'!K35</f>
        <v>747.1</v>
      </c>
      <c r="L35" s="74">
        <f>J35+'2'!L35</f>
        <v>13992.699999999999</v>
      </c>
      <c r="M35" s="77">
        <f>Production2!V5</f>
        <v>232</v>
      </c>
      <c r="N35" s="74">
        <f>M35+'2'!N35</f>
        <v>766</v>
      </c>
      <c r="O35" s="74">
        <f>M35+'2'!O35</f>
        <v>13985</v>
      </c>
      <c r="P35" s="74">
        <f t="shared" ref="P35" si="7">I35+J35-M35</f>
        <v>23.209999999999837</v>
      </c>
      <c r="Q35" s="96">
        <f t="shared" si="6"/>
        <v>14.34</v>
      </c>
      <c r="R35" s="94"/>
      <c r="S35" s="94"/>
    </row>
    <row r="36" spans="2:19">
      <c r="B36" s="79">
        <v>5</v>
      </c>
      <c r="C36" s="501" t="s">
        <v>63</v>
      </c>
      <c r="D36" s="502"/>
      <c r="E36" s="95">
        <v>50</v>
      </c>
      <c r="F36" s="78">
        <f>Production2!Y5</f>
        <v>21.62</v>
      </c>
      <c r="G36" s="75">
        <f>F36+'2'!G36</f>
        <v>69.37</v>
      </c>
      <c r="H36" s="75">
        <f>F36+'2'!H36</f>
        <v>1384.1799999999998</v>
      </c>
      <c r="I36" s="77">
        <f>Clinker!EJ5</f>
        <v>26136.461085761679</v>
      </c>
      <c r="J36" s="77">
        <f>Clinker!EK5</f>
        <v>1408</v>
      </c>
      <c r="K36" s="74">
        <f>J36+'2'!K36</f>
        <v>4993</v>
      </c>
      <c r="L36" s="74">
        <f>J36+'2'!L36</f>
        <v>90519</v>
      </c>
      <c r="M36" s="77">
        <f>Clinker!EL5</f>
        <v>2274.2399999999998</v>
      </c>
      <c r="N36" s="74">
        <f>M36+'2'!N36</f>
        <v>5668.5880000000016</v>
      </c>
      <c r="O36" s="74">
        <f>M36+'2'!O36</f>
        <v>68530.319013865053</v>
      </c>
      <c r="P36" s="74">
        <f>I36+J36-M36-I22</f>
        <v>25270.221085761681</v>
      </c>
      <c r="Q36" s="96">
        <f t="shared" si="6"/>
        <v>65.124884366327478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Production2!AE5</f>
        <v>0</v>
      </c>
      <c r="G37" s="75">
        <f>F37+'2'!G37</f>
        <v>0</v>
      </c>
      <c r="H37" s="75">
        <f>F37+'2'!H37</f>
        <v>39.700000000000003</v>
      </c>
      <c r="I37" s="77">
        <f>Production2!BJ5</f>
        <v>421.29999999999995</v>
      </c>
      <c r="J37" s="77">
        <f>Production2!AF5</f>
        <v>0</v>
      </c>
      <c r="K37" s="74">
        <f>J37+'2'!K37</f>
        <v>0</v>
      </c>
      <c r="L37" s="74">
        <f>J37+'2'!L37</f>
        <v>2634</v>
      </c>
      <c r="M37" s="77">
        <f>Production2!BL5</f>
        <v>79</v>
      </c>
      <c r="N37" s="74">
        <f>M37+'2'!N37</f>
        <v>236</v>
      </c>
      <c r="O37" s="74">
        <f>M37+'2'!O37</f>
        <v>5274</v>
      </c>
      <c r="P37" s="74">
        <f>I37+J37+J43-M37-F61</f>
        <v>342.29999999999995</v>
      </c>
      <c r="Q37" s="96" t="e">
        <f t="shared" si="6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Production2!AB5</f>
        <v>23.2</v>
      </c>
      <c r="G38" s="75">
        <f>F38+'2'!G38</f>
        <v>48.5</v>
      </c>
      <c r="H38" s="75">
        <f>F38+'2'!H38</f>
        <v>546.96999999999991</v>
      </c>
      <c r="I38" s="77">
        <f>Production2!BF5</f>
        <v>1597.5779999999786</v>
      </c>
      <c r="J38" s="77">
        <f>Production2!AC5</f>
        <v>1554</v>
      </c>
      <c r="K38" s="74">
        <f>J38+'2'!K38</f>
        <v>3206</v>
      </c>
      <c r="L38" s="74">
        <f>J38+'2'!L38</f>
        <v>34536</v>
      </c>
      <c r="M38" s="77">
        <f>Production2!BH5</f>
        <v>1686.91</v>
      </c>
      <c r="N38" s="74">
        <f>M38+'2'!N38</f>
        <v>5802.0599999999995</v>
      </c>
      <c r="O38" s="74">
        <f>M38+'2'!O38</f>
        <v>86544.889999999985</v>
      </c>
      <c r="P38" s="74">
        <f>I38+J38+J44-M38-F59</f>
        <v>2733.6679999999787</v>
      </c>
      <c r="Q38" s="96">
        <f t="shared" si="6"/>
        <v>66.982758620689651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Production2!AH5</f>
        <v>0</v>
      </c>
      <c r="G39" s="75">
        <f>F39+'2'!G39</f>
        <v>0</v>
      </c>
      <c r="H39" s="75">
        <f>F39+'2'!H39</f>
        <v>0</v>
      </c>
      <c r="I39" s="77">
        <f>Production2!BN5</f>
        <v>9.0000000000849845E-2</v>
      </c>
      <c r="J39" s="77">
        <f>Production2!AI5</f>
        <v>0</v>
      </c>
      <c r="K39" s="74">
        <f>J39+'2'!K39</f>
        <v>0</v>
      </c>
      <c r="L39" s="74">
        <f>J39+'2'!L39</f>
        <v>0</v>
      </c>
      <c r="M39" s="77">
        <f>Production2!BP5</f>
        <v>0</v>
      </c>
      <c r="N39" s="74">
        <f>M39+'2'!N39</f>
        <v>0</v>
      </c>
      <c r="O39" s="74">
        <f>M39+'2'!O39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Production2!AK5</f>
        <v>0</v>
      </c>
      <c r="G40" s="75">
        <f>F40+'2'!G40</f>
        <v>0</v>
      </c>
      <c r="H40" s="75">
        <f>F40+'2'!H40</f>
        <v>5</v>
      </c>
      <c r="I40" s="195">
        <f>Production2!BR5</f>
        <v>250.70000000000005</v>
      </c>
      <c r="J40" s="195">
        <v>0</v>
      </c>
      <c r="K40" s="74">
        <f>J40+'2'!K40</f>
        <v>0</v>
      </c>
      <c r="L40" s="74">
        <f>J40+'2'!L40</f>
        <v>300</v>
      </c>
      <c r="M40" s="195">
        <f>Production2!BT5</f>
        <v>30</v>
      </c>
      <c r="N40" s="74">
        <f>M40+'2'!N40</f>
        <v>301</v>
      </c>
      <c r="O40" s="74">
        <f>M40+'2'!O40</f>
        <v>3333.5</v>
      </c>
      <c r="P40" s="74">
        <f>I40+J40+J46-M40-F62</f>
        <v>334.70000000000005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Production2!AN5</f>
        <v>0</v>
      </c>
      <c r="G41" s="75">
        <f>F41+'2'!G41</f>
        <v>0</v>
      </c>
      <c r="H41" s="75">
        <f>F41+'2'!H41</f>
        <v>126.16999999999999</v>
      </c>
      <c r="I41" s="195">
        <f>Production2!BV5</f>
        <v>593.06000000000017</v>
      </c>
      <c r="J41" s="195">
        <f>Production2!BW5</f>
        <v>0</v>
      </c>
      <c r="K41" s="74">
        <f>J41+'2'!K41</f>
        <v>0</v>
      </c>
      <c r="L41" s="74">
        <f>J41+'2'!L41</f>
        <v>8178</v>
      </c>
      <c r="M41" s="77">
        <f>Production2!BX5</f>
        <v>363.8</v>
      </c>
      <c r="N41" s="74">
        <f>M41+'2'!N41</f>
        <v>938.13999999999987</v>
      </c>
      <c r="O41" s="74">
        <f>M41+'2'!O41</f>
        <v>14933.449999999999</v>
      </c>
      <c r="P41" s="74">
        <f>I41+J41+J47-M41</f>
        <v>229.26000000000016</v>
      </c>
      <c r="Q41" s="96" t="e">
        <f t="shared" si="6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23.2</v>
      </c>
      <c r="G42" s="132">
        <f t="shared" ref="G42:H42" si="8">G37+G38+G39+G40+G41</f>
        <v>48.5</v>
      </c>
      <c r="H42" s="132">
        <f t="shared" si="8"/>
        <v>717.83999999999992</v>
      </c>
      <c r="I42" s="122">
        <f>I37+I38+I39+I40+I41</f>
        <v>2862.7279999999801</v>
      </c>
      <c r="J42" s="122">
        <f t="shared" ref="J42:O42" si="9">J37+J38+J39+J40+J41</f>
        <v>1554</v>
      </c>
      <c r="K42" s="122">
        <f t="shared" si="9"/>
        <v>3206</v>
      </c>
      <c r="L42" s="122">
        <f t="shared" si="9"/>
        <v>45648</v>
      </c>
      <c r="M42" s="122">
        <f t="shared" si="9"/>
        <v>2159.71</v>
      </c>
      <c r="N42" s="122">
        <f t="shared" si="9"/>
        <v>7277.1999999999989</v>
      </c>
      <c r="O42" s="122">
        <f t="shared" si="9"/>
        <v>110085.68999999999</v>
      </c>
      <c r="P42" s="122">
        <f>P37+P38+P39+P40+P41</f>
        <v>3640.01799999998</v>
      </c>
      <c r="Q42" s="123">
        <f t="shared" si="6"/>
        <v>66.982758620689651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Production2!AT5</f>
        <v>0</v>
      </c>
      <c r="G43" s="75">
        <f>F43+'2'!G43</f>
        <v>0</v>
      </c>
      <c r="H43" s="75">
        <f>F43+'2'!H43</f>
        <v>45.429999999999993</v>
      </c>
      <c r="I43" s="471"/>
      <c r="J43" s="77">
        <f>Production2!AU5</f>
        <v>0</v>
      </c>
      <c r="K43" s="74">
        <f>J43+'2'!K43</f>
        <v>0</v>
      </c>
      <c r="L43" s="74">
        <f>J43+'2'!L43</f>
        <v>2750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Production2!AQ5</f>
        <v>21.25</v>
      </c>
      <c r="G44" s="75">
        <f>F44+'2'!G44</f>
        <v>57.5</v>
      </c>
      <c r="H44" s="75">
        <f>F44+'2'!H44</f>
        <v>907.91000000000008</v>
      </c>
      <c r="I44" s="472"/>
      <c r="J44" s="77">
        <f>Production2!AR5</f>
        <v>1269</v>
      </c>
      <c r="K44" s="74">
        <f>J44+'2'!K44</f>
        <v>3513</v>
      </c>
      <c r="L44" s="74">
        <f>J44+'2'!L44</f>
        <v>53474</v>
      </c>
      <c r="M44" s="545"/>
      <c r="N44" s="546"/>
      <c r="O44" s="546"/>
      <c r="P44" s="547"/>
      <c r="Q44" s="96">
        <f t="shared" si="6"/>
        <v>59.71764705882353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Production2!AW5</f>
        <v>0</v>
      </c>
      <c r="G45" s="75">
        <f>F45+'2'!G45</f>
        <v>0</v>
      </c>
      <c r="H45" s="75">
        <f>F45+'2'!H45</f>
        <v>0</v>
      </c>
      <c r="I45" s="472"/>
      <c r="J45" s="77">
        <f>Production2!AX5</f>
        <v>0</v>
      </c>
      <c r="K45" s="74">
        <f>J45+'2'!K45</f>
        <v>0</v>
      </c>
      <c r="L45" s="74">
        <f>J45+'2'!L45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Production2!AZ5</f>
        <v>2</v>
      </c>
      <c r="G46" s="75">
        <f>F46+'2'!G46</f>
        <v>9</v>
      </c>
      <c r="H46" s="75">
        <f>F46+'2'!H46</f>
        <v>56.88</v>
      </c>
      <c r="I46" s="473"/>
      <c r="J46" s="195">
        <f>Production2!BA5</f>
        <v>114</v>
      </c>
      <c r="K46" s="74">
        <f>J46+'2'!K46</f>
        <v>508</v>
      </c>
      <c r="L46" s="74">
        <f>J46+'2'!L46</f>
        <v>3155</v>
      </c>
      <c r="M46" s="545"/>
      <c r="N46" s="546"/>
      <c r="O46" s="546"/>
      <c r="P46" s="547"/>
      <c r="Q46" s="96">
        <f t="shared" si="6"/>
        <v>57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Production2!BC5</f>
        <v>0</v>
      </c>
      <c r="G47" s="75">
        <f>F47+'2'!G47</f>
        <v>0</v>
      </c>
      <c r="H47" s="75">
        <f>F47+'2'!H47</f>
        <v>108.67</v>
      </c>
      <c r="I47" s="425"/>
      <c r="J47" s="195">
        <f>Production2!BD5</f>
        <v>0</v>
      </c>
      <c r="K47" s="74">
        <f>J47+'2'!K47</f>
        <v>0</v>
      </c>
      <c r="L47" s="74">
        <f>J47+'2'!L47</f>
        <v>6615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23.25</v>
      </c>
      <c r="G48" s="132">
        <f t="shared" ref="G48:H48" si="10">G43+G44+G45+G46+G47</f>
        <v>66.5</v>
      </c>
      <c r="H48" s="132">
        <f t="shared" si="10"/>
        <v>1118.8900000000001</v>
      </c>
      <c r="I48" s="132">
        <f t="shared" ref="I48" si="11">I43+I44+I45+I46</f>
        <v>0</v>
      </c>
      <c r="J48" s="122">
        <f>J43+J44+J45+J46+J47</f>
        <v>1383</v>
      </c>
      <c r="K48" s="122">
        <f t="shared" ref="K48:L48" si="12">K43+K44+K45+K46+K47</f>
        <v>4021</v>
      </c>
      <c r="L48" s="122">
        <f t="shared" si="12"/>
        <v>65994</v>
      </c>
      <c r="M48" s="132"/>
      <c r="N48" s="132"/>
      <c r="O48" s="132"/>
      <c r="P48" s="132"/>
      <c r="Q48" s="123">
        <f t="shared" si="6"/>
        <v>59.483870967741936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668" t="s">
        <v>290</v>
      </c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70"/>
      <c r="N50" s="671" t="s">
        <v>291</v>
      </c>
      <c r="O50" s="672"/>
      <c r="P50" s="672"/>
      <c r="Q50" s="673"/>
      <c r="R50" s="98"/>
      <c r="S50" s="98"/>
    </row>
    <row r="51" spans="2:19" s="70" customFormat="1" ht="15.6" customHeight="1" thickBot="1">
      <c r="B51" s="301" t="s">
        <v>250</v>
      </c>
      <c r="C51" s="666" t="s">
        <v>251</v>
      </c>
      <c r="D51" s="666"/>
      <c r="E51" s="300" t="s">
        <v>153</v>
      </c>
      <c r="F51" s="305" t="s">
        <v>154</v>
      </c>
      <c r="G51" s="300" t="s">
        <v>155</v>
      </c>
      <c r="H51" s="300" t="s">
        <v>156</v>
      </c>
      <c r="I51" s="300" t="s">
        <v>157</v>
      </c>
      <c r="J51" s="300" t="s">
        <v>292</v>
      </c>
      <c r="K51" s="300" t="s">
        <v>159</v>
      </c>
      <c r="L51" s="300" t="s">
        <v>293</v>
      </c>
      <c r="M51" s="302" t="s">
        <v>294</v>
      </c>
      <c r="N51" s="303" t="s">
        <v>162</v>
      </c>
      <c r="O51" s="666" t="s">
        <v>251</v>
      </c>
      <c r="P51" s="666"/>
      <c r="Q51" s="304"/>
    </row>
    <row r="52" spans="2:19" ht="14.45" customHeight="1">
      <c r="B52" s="91">
        <v>1</v>
      </c>
      <c r="C52" s="586" t="s">
        <v>295</v>
      </c>
      <c r="D52" s="586"/>
      <c r="E52" s="99">
        <f>E55/J32</f>
        <v>0.45545594661525229</v>
      </c>
      <c r="F52" s="99">
        <f>F55/(J33+J34)</f>
        <v>23.389360969763324</v>
      </c>
      <c r="G52" s="99">
        <f>G55/J34</f>
        <v>0</v>
      </c>
      <c r="H52" s="99">
        <f>H55/J36</f>
        <v>34.514204545454547</v>
      </c>
      <c r="I52" s="99">
        <f>I55/J35</f>
        <v>51.655044165504421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16.477272727272727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0.81839740407428152</v>
      </c>
      <c r="F53" s="102">
        <f>F52*1.55</f>
        <v>36.253509503133152</v>
      </c>
      <c r="G53" s="102">
        <f>G52*1.55</f>
        <v>0</v>
      </c>
      <c r="H53" s="102">
        <f>H52</f>
        <v>34.514204545454547</v>
      </c>
      <c r="I53" s="102">
        <f>I52*(Q52/100)</f>
        <v>8.5113425045433413</v>
      </c>
      <c r="J53" s="102"/>
      <c r="K53" s="102"/>
      <c r="L53" s="102"/>
      <c r="M53" s="96"/>
      <c r="N53" s="306">
        <f>SUM(E53:I53)</f>
        <v>80.097453957205317</v>
      </c>
      <c r="O53" s="516" t="s">
        <v>298</v>
      </c>
      <c r="P53" s="516"/>
      <c r="Q53" s="104">
        <v>5324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0.62008042966230603</v>
      </c>
      <c r="F54" s="102">
        <f>F53*M20/100</f>
        <v>27.468429930929869</v>
      </c>
      <c r="G54" s="102">
        <f>G53*M20/100</f>
        <v>0</v>
      </c>
      <c r="H54" s="102">
        <f>H53*M20/100</f>
        <v>26.150599546691215</v>
      </c>
      <c r="I54" s="102">
        <f>I53*M20/100</f>
        <v>6.4488436680589141</v>
      </c>
      <c r="J54" s="99">
        <f>J55/(J42+J48)</f>
        <v>38.684371807967317</v>
      </c>
      <c r="K54" s="99">
        <f>K55/(J48+J42)</f>
        <v>0.72420837589376919</v>
      </c>
      <c r="L54" s="99">
        <f>L55/(M42)</f>
        <v>2.6549860860948922</v>
      </c>
      <c r="M54" s="96">
        <f>M55/(J48+J42)</f>
        <v>1.5880149812734083</v>
      </c>
      <c r="N54" s="306">
        <f>SUM(E54:M54)</f>
        <v>104.33953482657169</v>
      </c>
      <c r="O54" s="516" t="s">
        <v>300</v>
      </c>
      <c r="P54" s="516"/>
      <c r="Q54" s="104">
        <f>Q53*Q52/100</f>
        <v>877.25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unit'!B5</f>
        <v>1578</v>
      </c>
      <c r="F55" s="118">
        <f>'Daily unit'!C5</f>
        <v>56399</v>
      </c>
      <c r="G55" s="118">
        <f>'Daily unit'!D5</f>
        <v>0</v>
      </c>
      <c r="H55" s="118">
        <f>'Daily unit'!E5</f>
        <v>48596</v>
      </c>
      <c r="I55" s="118">
        <f>'Daily unit'!F5</f>
        <v>11111</v>
      </c>
      <c r="J55" s="118">
        <f>'Daily unit'!G5</f>
        <v>113616</v>
      </c>
      <c r="K55" s="118">
        <f>'Daily unit'!H5</f>
        <v>2127</v>
      </c>
      <c r="L55" s="118">
        <f>'Daily unit'!I5</f>
        <v>5734</v>
      </c>
      <c r="M55" s="119">
        <f>'Daily unit'!J5</f>
        <v>4664</v>
      </c>
      <c r="N55" s="317">
        <f>SUM(E55:M55)</f>
        <v>243825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69">
        <v>1</v>
      </c>
      <c r="C59" s="660" t="s">
        <v>306</v>
      </c>
      <c r="D59" s="661"/>
      <c r="E59" s="80">
        <v>42.5</v>
      </c>
      <c r="F59" s="53">
        <f>'Internal use cement'!F5</f>
        <v>0</v>
      </c>
      <c r="G59" s="53">
        <f>F59+'2'!G59</f>
        <v>0</v>
      </c>
      <c r="H59" s="104">
        <f>F59+'2'!H59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64"/>
      <c r="C60" s="662"/>
      <c r="D60" s="663"/>
      <c r="E60" s="80" t="s">
        <v>211</v>
      </c>
      <c r="F60" s="53">
        <f>'Internal use cement'!Q5</f>
        <v>0</v>
      </c>
      <c r="G60" s="53">
        <f>F60+'2'!G60</f>
        <v>0</v>
      </c>
      <c r="H60" s="104">
        <f>F60+'2'!H60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64"/>
      <c r="C61" s="662"/>
      <c r="D61" s="663"/>
      <c r="E61" s="80">
        <v>32.5</v>
      </c>
      <c r="F61" s="53">
        <f>'Internal use cement'!AB5</f>
        <v>0</v>
      </c>
      <c r="G61" s="53">
        <f>F61+'2'!G61</f>
        <v>0</v>
      </c>
      <c r="H61" s="104">
        <f>F61+'2'!H61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565"/>
      <c r="C62" s="664"/>
      <c r="D62" s="665"/>
      <c r="E62" s="112" t="s">
        <v>187</v>
      </c>
      <c r="F62" s="113">
        <f>'Internal use cement'!AJ5</f>
        <v>0</v>
      </c>
      <c r="G62" s="53">
        <f>F62+'2'!G62</f>
        <v>0</v>
      </c>
      <c r="H62" s="104">
        <f>F62+'2'!H62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6"/>
      <c r="S64" s="116"/>
    </row>
    <row r="65" spans="2:19">
      <c r="R65" s="94"/>
      <c r="S65" s="94"/>
    </row>
    <row r="66" spans="2:19">
      <c r="R66" s="94"/>
      <c r="S66" s="94"/>
    </row>
    <row r="67" spans="2:19">
      <c r="R67" s="94"/>
      <c r="S67" s="94"/>
    </row>
    <row r="68" spans="2:19">
      <c r="R68" s="109"/>
      <c r="S68" s="109"/>
    </row>
    <row r="69" spans="2:19">
      <c r="R69" s="94"/>
      <c r="S69" s="94"/>
    </row>
    <row r="70" spans="2:19">
      <c r="R70" s="117"/>
      <c r="S70" s="117"/>
    </row>
    <row r="71" spans="2:19">
      <c r="R71" s="117"/>
      <c r="S71" s="117"/>
    </row>
    <row r="72" spans="2:19">
      <c r="R72" s="117"/>
      <c r="S72" s="117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4">
    <mergeCell ref="B2:Q2"/>
    <mergeCell ref="B3:Q3"/>
    <mergeCell ref="B57:H57"/>
    <mergeCell ref="I57:Q62"/>
    <mergeCell ref="C58:E58"/>
    <mergeCell ref="B56:Q56"/>
    <mergeCell ref="B49:Q49"/>
    <mergeCell ref="B50:M50"/>
    <mergeCell ref="N50:Q50"/>
    <mergeCell ref="C51:D51"/>
    <mergeCell ref="C54:D54"/>
    <mergeCell ref="O54:P54"/>
    <mergeCell ref="C55:D55"/>
    <mergeCell ref="C32:D32"/>
    <mergeCell ref="C33:D33"/>
    <mergeCell ref="C35:D35"/>
    <mergeCell ref="C36:D36"/>
    <mergeCell ref="O51:P51"/>
    <mergeCell ref="C52:D52"/>
    <mergeCell ref="O52:P52"/>
    <mergeCell ref="C43:C48"/>
    <mergeCell ref="M43:P47"/>
    <mergeCell ref="C53:D53"/>
    <mergeCell ref="O53:P53"/>
    <mergeCell ref="I43:I46"/>
    <mergeCell ref="B37:B42"/>
    <mergeCell ref="C37:C42"/>
    <mergeCell ref="B43:B48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M25:N26"/>
    <mergeCell ref="P25:Q27"/>
    <mergeCell ref="C27:D27"/>
    <mergeCell ref="M27:N27"/>
    <mergeCell ref="O20:O27"/>
    <mergeCell ref="P20:Q22"/>
    <mergeCell ref="Q23:Q24"/>
    <mergeCell ref="C24:D24"/>
    <mergeCell ref="C23:D23"/>
    <mergeCell ref="M20:M21"/>
    <mergeCell ref="C20:C22"/>
    <mergeCell ref="N20:N22"/>
    <mergeCell ref="C25:C2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6:B18"/>
    <mergeCell ref="C16:C18"/>
    <mergeCell ref="C59:D62"/>
    <mergeCell ref="B59:B62"/>
    <mergeCell ref="C8:Q8"/>
    <mergeCell ref="C11:D11"/>
    <mergeCell ref="C12:D12"/>
    <mergeCell ref="C15:D15"/>
    <mergeCell ref="P15:Q15"/>
    <mergeCell ref="O9:O18"/>
    <mergeCell ref="C10:D10"/>
    <mergeCell ref="C19:Q19"/>
    <mergeCell ref="B20:B22"/>
    <mergeCell ref="B25:B26"/>
    <mergeCell ref="P33:P34"/>
    <mergeCell ref="C34:D34"/>
    <mergeCell ref="I33:I34"/>
    <mergeCell ref="M33:M34"/>
    <mergeCell ref="N33:N34"/>
    <mergeCell ref="O33:O34"/>
  </mergeCells>
  <pageMargins left="0" right="0" top="0.75" bottom="0.75" header="0.3" footer="0.3"/>
  <pageSetup paperSize="9" scale="5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B2:U158"/>
  <sheetViews>
    <sheetView zoomScale="90" zoomScaleNormal="90" workbookViewId="0">
      <pane xSplit="4" ySplit="1" topLeftCell="E48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5.85546875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312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 t="s">
        <v>313</v>
      </c>
    </row>
    <row r="7" spans="2:21" ht="27" customHeight="1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'3'!L9</f>
        <v>21922.622484553394</v>
      </c>
      <c r="F9" s="74">
        <f>Production2!D6</f>
        <v>1139.0999999999999</v>
      </c>
      <c r="G9" s="74">
        <f>F9+'3'!G9</f>
        <v>12764.800000000001</v>
      </c>
      <c r="H9" s="74">
        <f>F9+'3'!H9</f>
        <v>169632.08000000002</v>
      </c>
      <c r="I9" s="74">
        <f>Production2!E6</f>
        <v>3136</v>
      </c>
      <c r="J9" s="74">
        <f>I9+'3'!J9</f>
        <v>10983</v>
      </c>
      <c r="K9" s="74">
        <f>I9+'3'!K9</f>
        <v>151014</v>
      </c>
      <c r="L9" s="74">
        <f>E9+F9-I9-I23</f>
        <v>19418.411373437571</v>
      </c>
      <c r="M9" s="75">
        <f>I9</f>
        <v>3136</v>
      </c>
      <c r="N9" s="75">
        <f>(I9/I15)*100</f>
        <v>95.493300852618759</v>
      </c>
      <c r="O9" s="515"/>
      <c r="P9" s="285">
        <v>10</v>
      </c>
      <c r="Q9" s="261">
        <f>'Raw mill moisture content'!L35</f>
        <v>9.9999999999999908E-2</v>
      </c>
      <c r="S9" s="176"/>
    </row>
    <row r="10" spans="2:21" ht="13.9" customHeight="1">
      <c r="B10" s="79">
        <v>2</v>
      </c>
      <c r="C10" s="516" t="s">
        <v>75</v>
      </c>
      <c r="D10" s="516"/>
      <c r="E10" s="77">
        <f>'Mines (2)'!L6</f>
        <v>2959.6800000000003</v>
      </c>
      <c r="F10" s="77">
        <f>'Mines (2)'!M6</f>
        <v>81.98</v>
      </c>
      <c r="G10" s="74">
        <f>F10+'3'!G10</f>
        <v>222.22000000000003</v>
      </c>
      <c r="H10" s="74">
        <f>F10+'3'!H10</f>
        <v>5491.6200000000008</v>
      </c>
      <c r="I10" s="77">
        <f>'Mines (2)'!N6</f>
        <v>66</v>
      </c>
      <c r="J10" s="74">
        <f>I10+'3'!J10</f>
        <v>158</v>
      </c>
      <c r="K10" s="74">
        <f>I10+'3'!K10</f>
        <v>2640</v>
      </c>
      <c r="L10" s="77">
        <f t="shared" ref="L10:L18" si="0">E10+F10-I10</f>
        <v>2975.6600000000003</v>
      </c>
      <c r="M10" s="75">
        <f t="shared" ref="M10:M12" si="1">I10</f>
        <v>66</v>
      </c>
      <c r="N10" s="75">
        <f>(I10/I15)*100</f>
        <v>2.0097442143727164</v>
      </c>
      <c r="O10" s="515"/>
      <c r="P10" s="53">
        <v>10</v>
      </c>
      <c r="Q10" s="262">
        <f>'Raw mill moisture content'!M35</f>
        <v>9.9999999999999964E-2</v>
      </c>
      <c r="S10" s="176"/>
    </row>
    <row r="11" spans="2:21">
      <c r="B11" s="79">
        <v>3</v>
      </c>
      <c r="C11" s="516" t="s">
        <v>77</v>
      </c>
      <c r="D11" s="516"/>
      <c r="E11" s="77">
        <f>Clinker!C6</f>
        <v>2479.92</v>
      </c>
      <c r="F11" s="77">
        <f>Clinker!D6</f>
        <v>0</v>
      </c>
      <c r="G11" s="74">
        <f>F11+'3'!G11</f>
        <v>0</v>
      </c>
      <c r="H11" s="74">
        <f>F11+'3'!H11</f>
        <v>417.28000000000003</v>
      </c>
      <c r="I11" s="77">
        <f>Clinker!E6</f>
        <v>82</v>
      </c>
      <c r="J11" s="74">
        <f>I11+'3'!J11</f>
        <v>250</v>
      </c>
      <c r="K11" s="74">
        <f>I11+'3'!K11</f>
        <v>3385</v>
      </c>
      <c r="L11" s="77">
        <f t="shared" si="0"/>
        <v>2397.92</v>
      </c>
      <c r="M11" s="75">
        <f t="shared" si="1"/>
        <v>82</v>
      </c>
      <c r="N11" s="75">
        <f>(I11/I15)*100</f>
        <v>2.4969549330085261</v>
      </c>
      <c r="O11" s="515"/>
      <c r="P11" s="53">
        <v>7</v>
      </c>
      <c r="Q11" s="262">
        <f>'Raw mill moisture content'!N35</f>
        <v>6.9999999999999854E-2</v>
      </c>
      <c r="S11" s="176"/>
    </row>
    <row r="12" spans="2:21" ht="13.9" customHeight="1">
      <c r="B12" s="79">
        <v>4</v>
      </c>
      <c r="C12" s="516" t="s">
        <v>264</v>
      </c>
      <c r="D12" s="516"/>
      <c r="E12" s="77">
        <f>'Mines (2)'!Q6</f>
        <v>3.999999999996362E-2</v>
      </c>
      <c r="F12" s="77">
        <f>'Mines (2)'!R6</f>
        <v>0</v>
      </c>
      <c r="G12" s="74">
        <f>F12+'3'!G12</f>
        <v>0</v>
      </c>
      <c r="H12" s="74">
        <f>F12+'3'!H12</f>
        <v>137.76</v>
      </c>
      <c r="I12" s="77">
        <f>'Mines (2)'!S6</f>
        <v>0</v>
      </c>
      <c r="J12" s="74">
        <f>I12+'3'!J12</f>
        <v>0</v>
      </c>
      <c r="K12" s="74">
        <f>I12+'3'!K12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  <c r="S12" s="176"/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  <c r="S13" s="176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  <c r="S14" s="176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27362.262484553394</v>
      </c>
      <c r="F15" s="127">
        <f t="shared" si="2"/>
        <v>1221.08</v>
      </c>
      <c r="G15" s="127">
        <f t="shared" si="2"/>
        <v>12987.02</v>
      </c>
      <c r="H15" s="127">
        <f t="shared" si="2"/>
        <v>175678.74000000002</v>
      </c>
      <c r="I15" s="127">
        <f>SUM(I9:I12)</f>
        <v>3284</v>
      </c>
      <c r="J15" s="127">
        <f t="shared" si="2"/>
        <v>11391</v>
      </c>
      <c r="K15" s="127">
        <f t="shared" si="2"/>
        <v>157777</v>
      </c>
      <c r="L15" s="127">
        <f t="shared" si="0"/>
        <v>25299.342484553395</v>
      </c>
      <c r="M15" s="128">
        <f>SUM(M9:M12)</f>
        <v>3284</v>
      </c>
      <c r="N15" s="128">
        <f>SUM(N9:N12)</f>
        <v>100</v>
      </c>
      <c r="O15" s="515"/>
      <c r="P15" s="522"/>
      <c r="Q15" s="523"/>
      <c r="S15" s="177"/>
    </row>
    <row r="16" spans="2:21">
      <c r="B16" s="512">
        <v>6</v>
      </c>
      <c r="C16" s="517" t="s">
        <v>266</v>
      </c>
      <c r="D16" s="80" t="s">
        <v>63</v>
      </c>
      <c r="E16" s="77">
        <f>Clinker!EB6</f>
        <v>4358.6469999999908</v>
      </c>
      <c r="F16" s="77">
        <f>Clinker!EC6</f>
        <v>124.16</v>
      </c>
      <c r="G16" s="77">
        <f>F16+'3'!G16</f>
        <v>684.84</v>
      </c>
      <c r="H16" s="77">
        <f>F16+'3'!H16</f>
        <v>1490.0800000000002</v>
      </c>
      <c r="I16" s="77">
        <f>Clinker!ED6</f>
        <v>316.67</v>
      </c>
      <c r="J16" s="77">
        <f>I16+'3'!J16</f>
        <v>1146.78</v>
      </c>
      <c r="K16" s="77">
        <f>I16+'3'!K16</f>
        <v>15864.090000000002</v>
      </c>
      <c r="L16" s="77">
        <f>E16+F16-I16-Clinker!N6-Clinker!Z6-Clinker!AS6-Clinker!AX6-Clinker!BC6-Clinker!BW6-Clinker!BH6-Clinker!BM6-Clinker!BR6-Clinker!CV6-Clinker!DP6</f>
        <v>4166.1369999999906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256"/>
    </row>
    <row r="17" spans="2:19">
      <c r="B17" s="512"/>
      <c r="C17" s="517"/>
      <c r="D17" s="80" t="s">
        <v>62</v>
      </c>
      <c r="E17" s="77">
        <f>Clinker!EF6</f>
        <v>4444.0199999999941</v>
      </c>
      <c r="F17" s="77">
        <f>Clinker!EG6</f>
        <v>120.2</v>
      </c>
      <c r="G17" s="77">
        <f>F17+'3'!G17</f>
        <v>939.5</v>
      </c>
      <c r="H17" s="77">
        <f>F17+'3'!H17</f>
        <v>3080.45</v>
      </c>
      <c r="I17" s="77">
        <f>Clinker!EH6</f>
        <v>158</v>
      </c>
      <c r="J17" s="77">
        <f>I17+'3'!J17</f>
        <v>582</v>
      </c>
      <c r="K17" s="77">
        <f>I17+'3'!K17</f>
        <v>8754</v>
      </c>
      <c r="L17" s="77">
        <f>E17+F17-Clinker!AE6-Clinker!AJ6-Clinker!CL6-Clinker!CQ6</f>
        <v>4406.2199999999939</v>
      </c>
      <c r="M17" s="81"/>
      <c r="N17" s="81"/>
      <c r="O17" s="515"/>
      <c r="P17" s="78"/>
      <c r="Q17" s="82"/>
      <c r="R17" s="83"/>
      <c r="S17" s="257"/>
    </row>
    <row r="18" spans="2:19">
      <c r="B18" s="512"/>
      <c r="C18" s="476"/>
      <c r="D18" s="124" t="s">
        <v>162</v>
      </c>
      <c r="E18" s="125">
        <f>E16+E17</f>
        <v>8802.6669999999849</v>
      </c>
      <c r="F18" s="125">
        <f>F16+F17</f>
        <v>244.36</v>
      </c>
      <c r="G18" s="125">
        <f t="shared" ref="G18:K18" si="3">G16+G17</f>
        <v>1624.3400000000001</v>
      </c>
      <c r="H18" s="125">
        <f t="shared" si="3"/>
        <v>4570.53</v>
      </c>
      <c r="I18" s="125">
        <f>I16+I17</f>
        <v>474.67</v>
      </c>
      <c r="J18" s="125">
        <f>J16+J17</f>
        <v>1728.78</v>
      </c>
      <c r="K18" s="125">
        <f t="shared" si="3"/>
        <v>24618.090000000004</v>
      </c>
      <c r="L18" s="125">
        <f t="shared" si="0"/>
        <v>8572.3569999999854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190"/>
    </row>
    <row r="20" spans="2:19">
      <c r="B20" s="512">
        <v>7</v>
      </c>
      <c r="C20" s="477" t="s">
        <v>268</v>
      </c>
      <c r="D20" s="85" t="s">
        <v>269</v>
      </c>
      <c r="E20" s="74">
        <f>Clinker!EJ6</f>
        <v>25270.221085761681</v>
      </c>
      <c r="F20" s="74">
        <f>Clinker!EK6</f>
        <v>1790</v>
      </c>
      <c r="G20" s="74">
        <f>F20+'3'!G20</f>
        <v>6783</v>
      </c>
      <c r="H20" s="74">
        <f>F20+'3'!H20</f>
        <v>92309</v>
      </c>
      <c r="I20" s="74">
        <f>Clinker!EL6</f>
        <v>2000.1199999957621</v>
      </c>
      <c r="J20" s="74">
        <f>I20+'3'!J20</f>
        <v>7668.7079999957641</v>
      </c>
      <c r="K20" s="74">
        <f>I20+'3'!K20</f>
        <v>70530.439013860814</v>
      </c>
      <c r="L20" s="74">
        <f>E20+F20-I20-I22</f>
        <v>25060.10108576592</v>
      </c>
      <c r="M20" s="75">
        <f>((I20+I21)/(J42+J48))*100</f>
        <v>77.344160866038749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Clinker!EO6</f>
        <v>5306.1090080001359</v>
      </c>
      <c r="F21" s="74">
        <f>Clinker!EP6</f>
        <v>0</v>
      </c>
      <c r="G21" s="74">
        <f>F21+'3'!G21</f>
        <v>0</v>
      </c>
      <c r="H21" s="74">
        <f>F21+'3'!H21</f>
        <v>13390.660000000003</v>
      </c>
      <c r="I21" s="74">
        <f>Clinker!EQ6</f>
        <v>0</v>
      </c>
      <c r="J21" s="74">
        <f>I21+'3'!J21</f>
        <v>0</v>
      </c>
      <c r="K21" s="74">
        <f>I21+'3'!K21</f>
        <v>16934.099999999999</v>
      </c>
      <c r="L21" s="74">
        <f>E21+F21-I21</f>
        <v>5306.1090080001359</v>
      </c>
      <c r="M21" s="75"/>
      <c r="N21" s="525"/>
      <c r="O21" s="527"/>
      <c r="P21" s="535"/>
      <c r="Q21" s="536"/>
      <c r="R21" s="20"/>
      <c r="S21" s="235"/>
    </row>
    <row r="22" spans="2:19" ht="30">
      <c r="B22" s="512"/>
      <c r="C22" s="524"/>
      <c r="D22" s="86" t="s">
        <v>270</v>
      </c>
      <c r="E22" s="77"/>
      <c r="F22" s="77">
        <f>Clinker!EN6</f>
        <v>0</v>
      </c>
      <c r="G22" s="74">
        <f>F22+'3'!G22</f>
        <v>0</v>
      </c>
      <c r="H22" s="74">
        <f>F22+'3'!H22</f>
        <v>0</v>
      </c>
      <c r="I22" s="77">
        <f>Clinker!EN6</f>
        <v>0</v>
      </c>
      <c r="J22" s="74">
        <f>I22+'3'!J22</f>
        <v>0</v>
      </c>
      <c r="K22" s="74">
        <f>I22+'3'!K22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>
        <f>Cement!U6</f>
        <v>0</v>
      </c>
      <c r="F23" s="77"/>
      <c r="G23" s="74"/>
      <c r="H23" s="74"/>
      <c r="I23" s="77">
        <f>Cement!S6</f>
        <v>507.3111111158201</v>
      </c>
      <c r="J23" s="74">
        <f>I23+'3'!J23</f>
        <v>1831.1888888935964</v>
      </c>
      <c r="K23" s="74">
        <f>I23+'3'!K23</f>
        <v>22304.540323746274</v>
      </c>
      <c r="L23" s="74"/>
      <c r="M23" s="78">
        <f>(I23/I27)*100</f>
        <v>19.190623441147544</v>
      </c>
      <c r="N23" s="78"/>
      <c r="O23" s="527"/>
      <c r="P23" s="87">
        <v>10</v>
      </c>
      <c r="Q23" s="674" t="s">
        <v>314</v>
      </c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Cement!C6</f>
        <v>3822.0968531141139</v>
      </c>
      <c r="F24" s="77">
        <f>Cement!D6</f>
        <v>0</v>
      </c>
      <c r="G24" s="74">
        <f>F24+'3'!G24</f>
        <v>0</v>
      </c>
      <c r="H24" s="74">
        <f>F24+'3'!H24</f>
        <v>2126.62</v>
      </c>
      <c r="I24" s="77">
        <f>Cement!F6</f>
        <v>136.10526315789477</v>
      </c>
      <c r="J24" s="74">
        <f>I24+'3'!J24</f>
        <v>522.33894736842115</v>
      </c>
      <c r="K24" s="74">
        <f>I24+'3'!K24</f>
        <v>5886.0084691935645</v>
      </c>
      <c r="L24" s="74">
        <f t="shared" ref="L24:L26" si="4">E24+F24-I24</f>
        <v>3685.9915899562193</v>
      </c>
      <c r="M24" s="78">
        <f>(I24/(J42+J48))*100</f>
        <v>5.2631578947368434</v>
      </c>
      <c r="N24" s="78"/>
      <c r="O24" s="527"/>
      <c r="P24" s="87">
        <v>5</v>
      </c>
      <c r="Q24" s="573"/>
      <c r="R24" s="20"/>
      <c r="S24" s="20"/>
    </row>
    <row r="25" spans="2:19" ht="15" customHeight="1">
      <c r="B25" s="512"/>
      <c r="C25" s="476" t="s">
        <v>272</v>
      </c>
      <c r="D25" s="76" t="s">
        <v>82</v>
      </c>
      <c r="E25" s="77">
        <f>Cement!H6</f>
        <v>0.23999999999796273</v>
      </c>
      <c r="F25" s="77">
        <f>Cement!I6</f>
        <v>0</v>
      </c>
      <c r="G25" s="74">
        <f>F25+'3'!G25</f>
        <v>0</v>
      </c>
      <c r="H25" s="74">
        <f>F25+'3'!H25</f>
        <v>0</v>
      </c>
      <c r="I25" s="77">
        <f>Cement!J6</f>
        <v>0</v>
      </c>
      <c r="J25" s="74">
        <f>I25+'3'!J25</f>
        <v>0</v>
      </c>
      <c r="K25" s="74">
        <f>I25+'3'!K25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Cement!L6</f>
        <v>0</v>
      </c>
      <c r="F26" s="77">
        <f>Cement!M6</f>
        <v>0</v>
      </c>
      <c r="G26" s="74">
        <f>F26+'3'!G26</f>
        <v>0</v>
      </c>
      <c r="H26" s="74">
        <f>F26+'3'!H26</f>
        <v>0</v>
      </c>
      <c r="I26" s="77">
        <f>Cement!N6</f>
        <v>0</v>
      </c>
      <c r="J26" s="74">
        <f>I26+'3'!J26</f>
        <v>0</v>
      </c>
      <c r="K26" s="74">
        <f>I26+'3'!K26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34398.666946875928</v>
      </c>
      <c r="F27" s="122">
        <f>F20+F21+F23+F24+F25+F26</f>
        <v>1790</v>
      </c>
      <c r="G27" s="122">
        <f t="shared" ref="G27:L27" si="5">G20+G21+G23+G24+G25+G26</f>
        <v>6783</v>
      </c>
      <c r="H27" s="122">
        <f t="shared" si="5"/>
        <v>107826.28</v>
      </c>
      <c r="I27" s="122">
        <f>I20+I21+I23+I24+I25+I26</f>
        <v>2643.5363742694767</v>
      </c>
      <c r="J27" s="122">
        <f t="shared" si="5"/>
        <v>10022.235836257783</v>
      </c>
      <c r="K27" s="122">
        <f t="shared" si="5"/>
        <v>115655.08780680064</v>
      </c>
      <c r="L27" s="122">
        <f t="shared" si="5"/>
        <v>34052.441683722274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Production2!C6</f>
        <v>7.43</v>
      </c>
      <c r="G32" s="75">
        <f>F32+'3'!G32</f>
        <v>65.740000000000009</v>
      </c>
      <c r="H32" s="75">
        <f>F32+'3'!H32</f>
        <v>1034.8700000000001</v>
      </c>
      <c r="I32" s="74">
        <f>'Mines (2)'!C6+'Mines (2)'!H6+'Mines (2)'!V6+'Mines (2)'!Z6+'Mines (2)'!AD6</f>
        <v>21922.622484553387</v>
      </c>
      <c r="J32" s="74">
        <f>Production2!D6</f>
        <v>1139.0999999999999</v>
      </c>
      <c r="K32" s="74">
        <f>J32+'3'!K32</f>
        <v>12764.800000000001</v>
      </c>
      <c r="L32" s="74">
        <f>J32+'3'!L32</f>
        <v>169632.08000000002</v>
      </c>
      <c r="M32" s="74">
        <f>I9+I23</f>
        <v>3643.31111111582</v>
      </c>
      <c r="N32" s="74">
        <f>M32+'3'!N32</f>
        <v>12814.188888893596</v>
      </c>
      <c r="O32" s="74">
        <f>M32+'3'!O32</f>
        <v>173318.5403237463</v>
      </c>
      <c r="P32" s="74">
        <f>I32+J32-M32</f>
        <v>19418.411373437564</v>
      </c>
      <c r="Q32" s="93">
        <f>J32/F32</f>
        <v>153.31090174966351</v>
      </c>
      <c r="R32" s="94"/>
      <c r="S32" s="94"/>
    </row>
    <row r="33" spans="2:19">
      <c r="B33" s="79">
        <v>2</v>
      </c>
      <c r="C33" s="501" t="s">
        <v>315</v>
      </c>
      <c r="D33" s="502"/>
      <c r="E33" s="95">
        <v>120</v>
      </c>
      <c r="F33" s="78">
        <f>Production2!G6</f>
        <v>21.33</v>
      </c>
      <c r="G33" s="75">
        <f>F33+'3'!G33</f>
        <v>73.569999999999993</v>
      </c>
      <c r="H33" s="75">
        <f>F33+'3'!H33</f>
        <v>1143.1099999999999</v>
      </c>
      <c r="I33" s="541">
        <f>Production2!H6</f>
        <v>829.83001683751854</v>
      </c>
      <c r="J33" s="77">
        <f>Production2!N6</f>
        <v>2751</v>
      </c>
      <c r="K33" s="74">
        <f>J33+'3'!K33</f>
        <v>9452</v>
      </c>
      <c r="L33" s="74">
        <f>J33+'3'!L33</f>
        <v>135737.59</v>
      </c>
      <c r="M33" s="541">
        <f>Production2!K6</f>
        <v>2774.5</v>
      </c>
      <c r="N33" s="541">
        <f>M33+'3'!N33</f>
        <v>10513.65</v>
      </c>
      <c r="O33" s="541">
        <f>M33+'3'!O33</f>
        <v>143078.94999999998</v>
      </c>
      <c r="P33" s="541">
        <f>I33+J33+J34-M33</f>
        <v>1013.3900168375185</v>
      </c>
      <c r="Q33" s="96">
        <f t="shared" ref="Q33:Q48" si="6">J33/F33</f>
        <v>128.97327707454292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Production2!P6</f>
        <v>20.75</v>
      </c>
      <c r="G34" s="75">
        <f>F34+'3'!G34</f>
        <v>80.63</v>
      </c>
      <c r="H34" s="75">
        <f>F34+'3'!H34</f>
        <v>696.3</v>
      </c>
      <c r="I34" s="473"/>
      <c r="J34" s="78">
        <f>Production2!Q6</f>
        <v>207.06</v>
      </c>
      <c r="K34" s="74">
        <f>J34+'3'!K34</f>
        <v>807.39999999999986</v>
      </c>
      <c r="L34" s="74">
        <f>J34+'3'!L34</f>
        <v>6361.0200000000013</v>
      </c>
      <c r="M34" s="473"/>
      <c r="N34" s="473"/>
      <c r="O34" s="473"/>
      <c r="P34" s="473"/>
      <c r="Q34" s="96">
        <f>J34/F34</f>
        <v>9.9787951807228925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Production2!S6</f>
        <v>19.7</v>
      </c>
      <c r="G35" s="75">
        <f>F35+'3'!G35</f>
        <v>71.7</v>
      </c>
      <c r="H35" s="75">
        <f>F35+'3'!H35</f>
        <v>1025.03</v>
      </c>
      <c r="I35" s="77">
        <f>Production2!T6</f>
        <v>23.209999999999837</v>
      </c>
      <c r="J35" s="77">
        <f>Production2!U6</f>
        <v>285</v>
      </c>
      <c r="K35" s="74">
        <f>J35+'3'!K35</f>
        <v>1032.0999999999999</v>
      </c>
      <c r="L35" s="74">
        <f>J35+'3'!L35</f>
        <v>14277.699999999999</v>
      </c>
      <c r="M35" s="77">
        <f>Production2!V6</f>
        <v>265</v>
      </c>
      <c r="N35" s="74">
        <f>M35+'3'!N35</f>
        <v>1031</v>
      </c>
      <c r="O35" s="74">
        <f>M35+'3'!O35</f>
        <v>14250</v>
      </c>
      <c r="P35" s="74">
        <f t="shared" ref="P35" si="7">I35+J35-M35</f>
        <v>43.209999999999809</v>
      </c>
      <c r="Q35" s="96">
        <f t="shared" si="6"/>
        <v>14.467005076142133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Production2!Y6</f>
        <v>24</v>
      </c>
      <c r="G36" s="75">
        <f>F36+'3'!G36</f>
        <v>93.37</v>
      </c>
      <c r="H36" s="75">
        <f>F36+'3'!H36</f>
        <v>1408.1799999999998</v>
      </c>
      <c r="I36" s="77">
        <f>Clinker!EJ6</f>
        <v>25270.221085761681</v>
      </c>
      <c r="J36" s="77">
        <f>Clinker!EK6</f>
        <v>1790</v>
      </c>
      <c r="K36" s="74">
        <f>J36+'3'!K36</f>
        <v>6783</v>
      </c>
      <c r="L36" s="74">
        <f>J36+'3'!L36</f>
        <v>92309</v>
      </c>
      <c r="M36" s="77">
        <f>Clinker!EL6</f>
        <v>2000.1199999957621</v>
      </c>
      <c r="N36" s="74">
        <f>M36+'3'!N36</f>
        <v>7668.7079999957641</v>
      </c>
      <c r="O36" s="74">
        <f>M36+'3'!O36</f>
        <v>70530.439013860814</v>
      </c>
      <c r="P36" s="74">
        <f>I36+J36-M36-I22</f>
        <v>25060.10108576592</v>
      </c>
      <c r="Q36" s="96">
        <f t="shared" si="6"/>
        <v>74.583333333333329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Production2!AE6</f>
        <v>0</v>
      </c>
      <c r="G37" s="75">
        <f>F37+'3'!G37</f>
        <v>0</v>
      </c>
      <c r="H37" s="75">
        <f>F37+'3'!H37</f>
        <v>39.700000000000003</v>
      </c>
      <c r="I37" s="77">
        <f>Production2!BJ6</f>
        <v>342.29999999999995</v>
      </c>
      <c r="J37" s="77">
        <f>Production2!AF6</f>
        <v>0</v>
      </c>
      <c r="K37" s="74">
        <f>J37+'3'!K37</f>
        <v>0</v>
      </c>
      <c r="L37" s="74">
        <f>J37+'3'!L37</f>
        <v>2634</v>
      </c>
      <c r="M37" s="77">
        <f>Production2!BL6</f>
        <v>124</v>
      </c>
      <c r="N37" s="74">
        <f>M37+'3'!N37</f>
        <v>360</v>
      </c>
      <c r="O37" s="74">
        <f>M37+'3'!O37</f>
        <v>5398</v>
      </c>
      <c r="P37" s="74">
        <f>I37+J37+J43-M37-F61</f>
        <v>218.29999999999995</v>
      </c>
      <c r="Q37" s="96" t="e">
        <f t="shared" si="6"/>
        <v>#DIV/0!</v>
      </c>
      <c r="R37" s="94"/>
      <c r="S37" s="94"/>
    </row>
    <row r="38" spans="2:19" ht="15.75" customHeight="1">
      <c r="B38" s="564"/>
      <c r="C38" s="477"/>
      <c r="D38" s="80" t="s">
        <v>286</v>
      </c>
      <c r="E38" s="97">
        <v>78</v>
      </c>
      <c r="F38" s="78">
        <f>Production2!AB6</f>
        <v>18.23</v>
      </c>
      <c r="G38" s="75">
        <f>F38+'3'!G38</f>
        <v>66.73</v>
      </c>
      <c r="H38" s="75">
        <f>F38+'3'!H38</f>
        <v>565.19999999999993</v>
      </c>
      <c r="I38" s="77">
        <f>Production2!BF6</f>
        <v>2733.6679999999787</v>
      </c>
      <c r="J38" s="77">
        <f>Production2!AC6</f>
        <v>1173</v>
      </c>
      <c r="K38" s="74">
        <f>J38+'3'!K38</f>
        <v>4379</v>
      </c>
      <c r="L38" s="74">
        <f>J38+'3'!L38</f>
        <v>35709</v>
      </c>
      <c r="M38" s="77">
        <f>Production2!BH6</f>
        <v>2654.98</v>
      </c>
      <c r="N38" s="74">
        <f>M38+'3'!N38</f>
        <v>8457.0399999999991</v>
      </c>
      <c r="O38" s="74">
        <f>M38+'3'!O38</f>
        <v>89199.869999999981</v>
      </c>
      <c r="P38" s="74">
        <f>I38+J38+J44-M38-F59</f>
        <v>2452.6879999999787</v>
      </c>
      <c r="Q38" s="96">
        <f t="shared" si="6"/>
        <v>64.344487109160724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Production2!AH6</f>
        <v>0</v>
      </c>
      <c r="G39" s="75">
        <f>F39+'3'!G39</f>
        <v>0</v>
      </c>
      <c r="H39" s="75">
        <f>F39+'3'!H39</f>
        <v>0</v>
      </c>
      <c r="I39" s="77">
        <f>Production2!BN6</f>
        <v>9.0000000000849845E-2</v>
      </c>
      <c r="J39" s="77">
        <f>Production2!AI6</f>
        <v>0</v>
      </c>
      <c r="K39" s="74">
        <f>J39+'3'!K39</f>
        <v>0</v>
      </c>
      <c r="L39" s="74">
        <f>J39+'3'!L39</f>
        <v>0</v>
      </c>
      <c r="M39" s="77">
        <f>Production2!BP6</f>
        <v>0</v>
      </c>
      <c r="N39" s="74">
        <f>M39+'3'!N39</f>
        <v>0</v>
      </c>
      <c r="O39" s="74">
        <f>M39+'3'!O39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Production2!AK6</f>
        <v>0</v>
      </c>
      <c r="G40" s="75">
        <f>F40+'3'!G40</f>
        <v>0</v>
      </c>
      <c r="H40" s="75">
        <f>F40+'3'!H40</f>
        <v>5</v>
      </c>
      <c r="I40" s="195">
        <f>Production2!BR6</f>
        <v>334.70000000000005</v>
      </c>
      <c r="J40" s="195">
        <v>0</v>
      </c>
      <c r="K40" s="74">
        <f>J40+'3'!K40</f>
        <v>0</v>
      </c>
      <c r="L40" s="74">
        <f>J40+'3'!L40</f>
        <v>300</v>
      </c>
      <c r="M40" s="195">
        <f>Production2!BT6</f>
        <v>212</v>
      </c>
      <c r="N40" s="74">
        <f>M40+'3'!N40</f>
        <v>513</v>
      </c>
      <c r="O40" s="74">
        <f>M40+'3'!O40</f>
        <v>3545.5</v>
      </c>
      <c r="P40" s="74">
        <f>I40+J40+J46-M40-F62</f>
        <v>122.70000000000005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Production2!AN6</f>
        <v>3</v>
      </c>
      <c r="G41" s="75">
        <f>F41+'3'!G41</f>
        <v>3</v>
      </c>
      <c r="H41" s="75">
        <f>F41+'3'!H41</f>
        <v>129.16999999999999</v>
      </c>
      <c r="I41" s="195">
        <f>Production2!BV6</f>
        <v>229.26000000000016</v>
      </c>
      <c r="J41" s="195">
        <f>Production2!BW6</f>
        <v>212</v>
      </c>
      <c r="K41" s="74">
        <f>J41+'3'!K41</f>
        <v>212</v>
      </c>
      <c r="L41" s="74">
        <f>J41+'3'!L41</f>
        <v>8390</v>
      </c>
      <c r="M41" s="77">
        <f>Production2!BX6</f>
        <v>119.76</v>
      </c>
      <c r="N41" s="74">
        <f>M41+'3'!N41</f>
        <v>1057.8999999999999</v>
      </c>
      <c r="O41" s="74">
        <f>M41+'3'!O41</f>
        <v>15053.21</v>
      </c>
      <c r="P41" s="74">
        <f>I41+J41+J47-M41</f>
        <v>321.50000000000017</v>
      </c>
      <c r="Q41" s="96">
        <f t="shared" si="6"/>
        <v>70.666666666666671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21.23</v>
      </c>
      <c r="G42" s="132">
        <f>G37+G38+G39+G40+G41</f>
        <v>69.73</v>
      </c>
      <c r="H42" s="132">
        <f>H37+H38+H39+H40+H41</f>
        <v>739.06999999999994</v>
      </c>
      <c r="I42" s="122">
        <f>I37+I38+I39+I40+I41</f>
        <v>3640.01799999998</v>
      </c>
      <c r="J42" s="122">
        <f>J37+J38+J39+J40+J41</f>
        <v>1385</v>
      </c>
      <c r="K42" s="122">
        <f t="shared" ref="K42:P42" si="8">K37+K38+K39+K40+K41</f>
        <v>4591</v>
      </c>
      <c r="L42" s="122">
        <f t="shared" si="8"/>
        <v>47033</v>
      </c>
      <c r="M42" s="122">
        <f t="shared" si="8"/>
        <v>3110.7400000000002</v>
      </c>
      <c r="N42" s="122">
        <f t="shared" si="8"/>
        <v>10387.939999999999</v>
      </c>
      <c r="O42" s="122">
        <f t="shared" si="8"/>
        <v>113196.43</v>
      </c>
      <c r="P42" s="122">
        <f t="shared" si="8"/>
        <v>3115.2779999999793</v>
      </c>
      <c r="Q42" s="123">
        <f t="shared" si="6"/>
        <v>65.237870937352795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Production2!AT6</f>
        <v>0</v>
      </c>
      <c r="G43" s="75">
        <f>F43+'3'!G43</f>
        <v>0</v>
      </c>
      <c r="H43" s="75">
        <f>F43+'3'!H43</f>
        <v>45.429999999999993</v>
      </c>
      <c r="I43" s="471"/>
      <c r="J43" s="77">
        <f>Production2!AU6</f>
        <v>0</v>
      </c>
      <c r="K43" s="74">
        <f>J43+'3'!K43</f>
        <v>0</v>
      </c>
      <c r="L43" s="74">
        <f>J43+'3'!L43</f>
        <v>2750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Production2!AQ6</f>
        <v>20.6</v>
      </c>
      <c r="G44" s="75">
        <f>F44+'3'!G44</f>
        <v>78.099999999999994</v>
      </c>
      <c r="H44" s="75">
        <f>F44+'3'!H44</f>
        <v>928.5100000000001</v>
      </c>
      <c r="I44" s="472"/>
      <c r="J44" s="77">
        <f>Production2!AR6</f>
        <v>1201</v>
      </c>
      <c r="K44" s="74">
        <f>J44+'3'!K44</f>
        <v>4714</v>
      </c>
      <c r="L44" s="74">
        <f>J44+'3'!L44</f>
        <v>54675</v>
      </c>
      <c r="M44" s="545"/>
      <c r="N44" s="546"/>
      <c r="O44" s="546"/>
      <c r="P44" s="547"/>
      <c r="Q44" s="96">
        <f t="shared" si="6"/>
        <v>58.300970873786405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Production2!AW6</f>
        <v>0</v>
      </c>
      <c r="G45" s="75">
        <f>F45+'3'!G45</f>
        <v>0</v>
      </c>
      <c r="H45" s="75">
        <f>F45+'3'!H45</f>
        <v>0</v>
      </c>
      <c r="I45" s="472"/>
      <c r="J45" s="77">
        <f>Production2!AX6</f>
        <v>0</v>
      </c>
      <c r="K45" s="74">
        <f>J45+'3'!K45</f>
        <v>0</v>
      </c>
      <c r="L45" s="74">
        <f>J45+'3'!L45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Production2!AZ6</f>
        <v>0</v>
      </c>
      <c r="G46" s="75">
        <f>F46+'3'!G46</f>
        <v>9</v>
      </c>
      <c r="H46" s="75">
        <f>F46+'3'!H46</f>
        <v>56.88</v>
      </c>
      <c r="I46" s="473"/>
      <c r="J46" s="195">
        <f>Production2!BA6</f>
        <v>0</v>
      </c>
      <c r="K46" s="74">
        <f>J46+'3'!K46</f>
        <v>508</v>
      </c>
      <c r="L46" s="74">
        <f>J46+'3'!L46</f>
        <v>3155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Production2!BC6</f>
        <v>0</v>
      </c>
      <c r="G47" s="75">
        <f>F47+'3'!G47</f>
        <v>0</v>
      </c>
      <c r="H47" s="75">
        <f>F47+'3'!H47</f>
        <v>108.67</v>
      </c>
      <c r="I47" s="425"/>
      <c r="J47" s="195">
        <f>Production2!BD6</f>
        <v>0</v>
      </c>
      <c r="K47" s="74">
        <f>J47+'2'!K47</f>
        <v>0</v>
      </c>
      <c r="L47" s="74">
        <f>J47+'2'!L47</f>
        <v>6615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20.6</v>
      </c>
      <c r="G48" s="132">
        <f t="shared" ref="G48:H48" si="9">G43+G44+G45+G46+G47</f>
        <v>87.1</v>
      </c>
      <c r="H48" s="132">
        <f t="shared" si="9"/>
        <v>1139.4900000000002</v>
      </c>
      <c r="I48" s="132">
        <f t="shared" ref="I48" si="10">I43+I44+I45+I46</f>
        <v>0</v>
      </c>
      <c r="J48" s="122">
        <f>J43+J44+J45+J46+J47</f>
        <v>1201</v>
      </c>
      <c r="K48" s="122">
        <f t="shared" ref="K48:L48" si="11">K43+K44+K45+K46+K47</f>
        <v>5222</v>
      </c>
      <c r="L48" s="122">
        <f t="shared" si="11"/>
        <v>67195</v>
      </c>
      <c r="M48" s="132"/>
      <c r="N48" s="132"/>
      <c r="O48" s="132"/>
      <c r="P48" s="132"/>
      <c r="Q48" s="123">
        <f t="shared" si="6"/>
        <v>58.300970873786405</v>
      </c>
      <c r="R48" s="94"/>
      <c r="S48" s="94"/>
    </row>
    <row r="49" spans="2:19">
      <c r="B49" s="675"/>
      <c r="C49" s="676"/>
      <c r="D49" s="676"/>
      <c r="E49" s="676"/>
      <c r="F49" s="676"/>
      <c r="G49" s="676"/>
      <c r="H49" s="676"/>
      <c r="I49" s="676"/>
      <c r="J49" s="676"/>
      <c r="K49" s="676"/>
      <c r="L49" s="676"/>
      <c r="M49" s="676"/>
      <c r="N49" s="676"/>
      <c r="O49" s="676"/>
      <c r="P49" s="676"/>
      <c r="Q49" s="677"/>
      <c r="R49" s="94"/>
      <c r="S49" s="94"/>
    </row>
    <row r="50" spans="2:19" s="70" customFormat="1" ht="15" customHeight="1">
      <c r="B50" s="580" t="s">
        <v>290</v>
      </c>
      <c r="C50" s="580"/>
      <c r="D50" s="580"/>
      <c r="E50" s="580"/>
      <c r="F50" s="580"/>
      <c r="G50" s="580"/>
      <c r="H50" s="580"/>
      <c r="I50" s="580"/>
      <c r="J50" s="580"/>
      <c r="K50" s="580"/>
      <c r="L50" s="580"/>
      <c r="M50" s="678"/>
      <c r="N50" s="310"/>
      <c r="O50" s="684" t="s">
        <v>291</v>
      </c>
      <c r="P50" s="508"/>
      <c r="Q50" s="508"/>
      <c r="R50" s="98"/>
      <c r="S50" s="98"/>
    </row>
    <row r="51" spans="2:19" s="70" customFormat="1" ht="15.6" customHeight="1" thickBot="1">
      <c r="B51" s="145" t="s">
        <v>250</v>
      </c>
      <c r="C51" s="585" t="s">
        <v>251</v>
      </c>
      <c r="D51" s="585"/>
      <c r="E51" s="314" t="s">
        <v>153</v>
      </c>
      <c r="F51" s="315" t="s">
        <v>154</v>
      </c>
      <c r="G51" s="314" t="s">
        <v>155</v>
      </c>
      <c r="H51" s="314" t="s">
        <v>156</v>
      </c>
      <c r="I51" s="314" t="s">
        <v>157</v>
      </c>
      <c r="J51" s="314" t="s">
        <v>292</v>
      </c>
      <c r="K51" s="314" t="s">
        <v>159</v>
      </c>
      <c r="L51" s="314" t="s">
        <v>293</v>
      </c>
      <c r="M51" s="316" t="s">
        <v>294</v>
      </c>
      <c r="N51" s="314" t="s">
        <v>162</v>
      </c>
      <c r="O51" s="679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0.92704766921253634</v>
      </c>
      <c r="F52" s="99">
        <f>F55/(J33+J34)</f>
        <v>24.290244281725187</v>
      </c>
      <c r="G52" s="99">
        <f>G55/J34</f>
        <v>0</v>
      </c>
      <c r="H52" s="99">
        <f>H55/J36</f>
        <v>31.913966480446927</v>
      </c>
      <c r="I52" s="99">
        <f>I55/J35</f>
        <v>50.256140350877196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14.804469273743019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1.6241460841622983</v>
      </c>
      <c r="F53" s="102">
        <f>F52*1.55</f>
        <v>37.649878636674039</v>
      </c>
      <c r="G53" s="102">
        <f>G52*1.55</f>
        <v>0</v>
      </c>
      <c r="H53" s="102">
        <f>H52</f>
        <v>31.913966480446927</v>
      </c>
      <c r="I53" s="102">
        <f>I52*(Q52/100)</f>
        <v>7.4401548564147806</v>
      </c>
      <c r="J53" s="102"/>
      <c r="K53" s="102"/>
      <c r="L53" s="102"/>
      <c r="M53" s="96"/>
      <c r="N53" s="306">
        <f>SUM(E53:I53)</f>
        <v>78.628146057698046</v>
      </c>
      <c r="O53" s="516" t="s">
        <v>298</v>
      </c>
      <c r="P53" s="516"/>
      <c r="Q53" s="104">
        <v>5430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1.2561821600339571</v>
      </c>
      <c r="F54" s="102">
        <f>F53*M20/100</f>
        <v>29.119982698617523</v>
      </c>
      <c r="G54" s="102">
        <f>G53*M20/100</f>
        <v>0</v>
      </c>
      <c r="H54" s="102">
        <f>H53*M20/100</f>
        <v>24.683589573370554</v>
      </c>
      <c r="I54" s="102">
        <f>I53*M20/100</f>
        <v>5.7545253408278425</v>
      </c>
      <c r="J54" s="99">
        <f>J55/(J42+J48)</f>
        <v>40.175174013921115</v>
      </c>
      <c r="K54" s="99">
        <f>K55/(J48+J42)</f>
        <v>0.8781902552204176</v>
      </c>
      <c r="L54" s="99">
        <f>L55/(M42)</f>
        <v>2.0065965011540663</v>
      </c>
      <c r="M54" s="96">
        <f>M55/(J48+J42)</f>
        <v>1.9187935034802783</v>
      </c>
      <c r="N54" s="306">
        <f>SUM(E54:M54)</f>
        <v>105.79303404662573</v>
      </c>
      <c r="O54" s="516" t="s">
        <v>300</v>
      </c>
      <c r="P54" s="516"/>
      <c r="Q54" s="104">
        <f>Q53*Q52/100</f>
        <v>803.8826815642459</v>
      </c>
    </row>
    <row r="55" spans="2:19" ht="15" customHeight="1" thickBot="1">
      <c r="B55" s="199" t="s">
        <v>262</v>
      </c>
      <c r="C55" s="659" t="s">
        <v>301</v>
      </c>
      <c r="D55" s="659"/>
      <c r="E55" s="118">
        <f>'Daily unit'!B6</f>
        <v>1056</v>
      </c>
      <c r="F55" s="118">
        <f>'Daily unit'!C6</f>
        <v>71852</v>
      </c>
      <c r="G55" s="118">
        <f>'Daily unit'!D6</f>
        <v>0</v>
      </c>
      <c r="H55" s="118">
        <f>'Daily unit'!E6</f>
        <v>57126</v>
      </c>
      <c r="I55" s="118">
        <f>'Daily unit'!F6</f>
        <v>14323</v>
      </c>
      <c r="J55" s="118">
        <f>'Daily unit'!G6</f>
        <v>103893</v>
      </c>
      <c r="K55" s="118">
        <f>'Daily unit'!H6</f>
        <v>2271</v>
      </c>
      <c r="L55" s="118">
        <f>'Daily unit'!I6</f>
        <v>6242</v>
      </c>
      <c r="M55" s="119">
        <f>'Daily unit'!J6</f>
        <v>4962</v>
      </c>
      <c r="N55" s="317">
        <f>SUM(E55:M55)</f>
        <v>261725</v>
      </c>
      <c r="O55" s="206"/>
      <c r="P55" s="84"/>
      <c r="Q55" s="207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680" t="s">
        <v>302</v>
      </c>
      <c r="C57" s="580"/>
      <c r="D57" s="580"/>
      <c r="E57" s="580"/>
      <c r="F57" s="580"/>
      <c r="G57" s="580"/>
      <c r="H57" s="580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187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81">
        <v>1</v>
      </c>
      <c r="C59" s="650" t="s">
        <v>306</v>
      </c>
      <c r="D59" s="651"/>
      <c r="E59" s="80">
        <v>42.5</v>
      </c>
      <c r="F59" s="53">
        <f>'Internal use cement'!F6</f>
        <v>0</v>
      </c>
      <c r="G59" s="53">
        <f>F59+'3'!G59</f>
        <v>0</v>
      </c>
      <c r="H59" s="77">
        <f>F59+'3'!H59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82"/>
      <c r="C60" s="652"/>
      <c r="D60" s="653"/>
      <c r="E60" s="80" t="s">
        <v>211</v>
      </c>
      <c r="F60" s="53">
        <f>'Internal use cement'!Q6</f>
        <v>0</v>
      </c>
      <c r="G60" s="53">
        <f>F60+'3'!G60</f>
        <v>0</v>
      </c>
      <c r="H60" s="77">
        <f>F60+'3'!H60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82"/>
      <c r="C61" s="652"/>
      <c r="D61" s="653"/>
      <c r="E61" s="80">
        <v>32.5</v>
      </c>
      <c r="F61" s="53">
        <f>'Internal use cement'!AB6</f>
        <v>0</v>
      </c>
      <c r="G61" s="53">
        <f>F61+'3'!G61</f>
        <v>0</v>
      </c>
      <c r="H61" s="77">
        <f>F61+'3'!H61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83"/>
      <c r="C62" s="654"/>
      <c r="D62" s="655"/>
      <c r="E62" s="112" t="s">
        <v>187</v>
      </c>
      <c r="F62" s="113">
        <f>'Internal use cement'!AJ6</f>
        <v>0</v>
      </c>
      <c r="G62" s="113">
        <f>F62+'3'!G62</f>
        <v>0</v>
      </c>
      <c r="H62" s="212">
        <f>F62+'3'!H62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4">
    <mergeCell ref="Q30:Q31"/>
    <mergeCell ref="F30:H30"/>
    <mergeCell ref="I30:I31"/>
    <mergeCell ref="J30:L30"/>
    <mergeCell ref="M30:O30"/>
    <mergeCell ref="P30:P31"/>
    <mergeCell ref="P33:P34"/>
    <mergeCell ref="O50:Q50"/>
    <mergeCell ref="C34:D34"/>
    <mergeCell ref="I33:I34"/>
    <mergeCell ref="M33:M34"/>
    <mergeCell ref="N33:N34"/>
    <mergeCell ref="O33:O34"/>
    <mergeCell ref="M43:P47"/>
    <mergeCell ref="B43:B48"/>
    <mergeCell ref="C43:C48"/>
    <mergeCell ref="I43:I46"/>
    <mergeCell ref="B2:Q2"/>
    <mergeCell ref="B3:Q3"/>
    <mergeCell ref="C32:D32"/>
    <mergeCell ref="C33:D33"/>
    <mergeCell ref="C35:D35"/>
    <mergeCell ref="C36:D36"/>
    <mergeCell ref="M27:N27"/>
    <mergeCell ref="B37:B42"/>
    <mergeCell ref="C37:C42"/>
    <mergeCell ref="B28:Q28"/>
    <mergeCell ref="B29:Q29"/>
    <mergeCell ref="B30:B31"/>
    <mergeCell ref="C30:D31"/>
    <mergeCell ref="B57:H57"/>
    <mergeCell ref="C58:E58"/>
    <mergeCell ref="C59:D62"/>
    <mergeCell ref="B59:B62"/>
    <mergeCell ref="I57:Q62"/>
    <mergeCell ref="B56:Q56"/>
    <mergeCell ref="B49:Q49"/>
    <mergeCell ref="B50:M50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C12:D12"/>
    <mergeCell ref="C15:D15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M25:N26"/>
    <mergeCell ref="P25:Q27"/>
    <mergeCell ref="C27:D27"/>
    <mergeCell ref="C23:D23"/>
    <mergeCell ref="C25:C26"/>
    <mergeCell ref="C10:D10"/>
    <mergeCell ref="C9:D9"/>
    <mergeCell ref="P6:P7"/>
    <mergeCell ref="Q6:Q7"/>
    <mergeCell ref="C11:D11"/>
    <mergeCell ref="B16:B18"/>
    <mergeCell ref="C16:C1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8:Q8"/>
    <mergeCell ref="P15:Q15"/>
    <mergeCell ref="O9:O18"/>
  </mergeCells>
  <pageMargins left="0.2" right="0.2" top="0.75" bottom="0.75" header="0.3" footer="0.3"/>
  <pageSetup paperSize="9" scale="5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B2:U159"/>
  <sheetViews>
    <sheetView zoomScale="90" zoomScaleNormal="90" workbookViewId="0">
      <pane xSplit="4" ySplit="1" topLeftCell="E47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1.140625" style="68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7.5703125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316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 t="s">
        <v>313</v>
      </c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474" t="s">
        <v>263</v>
      </c>
      <c r="D9" s="475"/>
      <c r="E9" s="74">
        <f>'4'!L9</f>
        <v>19418.411373437571</v>
      </c>
      <c r="F9" s="74">
        <f>Production2!D7</f>
        <v>3164.6400000000003</v>
      </c>
      <c r="G9" s="74">
        <f>F9+'4'!G9</f>
        <v>15929.440000000002</v>
      </c>
      <c r="H9" s="74">
        <f>F9+'4'!H9</f>
        <v>172796.72000000003</v>
      </c>
      <c r="I9" s="74">
        <f>Production2!E7</f>
        <v>2777</v>
      </c>
      <c r="J9" s="74">
        <f>I9+'4'!J9</f>
        <v>13760</v>
      </c>
      <c r="K9" s="74">
        <f>I9+'4'!K9</f>
        <v>153791</v>
      </c>
      <c r="L9" s="74">
        <f>E9+F9-I9-I23</f>
        <v>19343.405818092171</v>
      </c>
      <c r="M9" s="75">
        <f>I9</f>
        <v>2777</v>
      </c>
      <c r="N9" s="75">
        <f>(I9/I15)*100</f>
        <v>95.495185694635481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(2)'!L7</f>
        <v>2975.6600000000003</v>
      </c>
      <c r="F10" s="77">
        <f>'Mines (2)'!M7</f>
        <v>0</v>
      </c>
      <c r="G10" s="74">
        <f>F10+'4'!G10</f>
        <v>222.22000000000003</v>
      </c>
      <c r="H10" s="74">
        <f>F10+'4'!H10</f>
        <v>5491.6200000000008</v>
      </c>
      <c r="I10" s="77">
        <f>'Mines (2)'!N7</f>
        <v>58</v>
      </c>
      <c r="J10" s="74">
        <f>I10+'4'!J10</f>
        <v>216</v>
      </c>
      <c r="K10" s="74">
        <f>I10+'4'!K10</f>
        <v>2698</v>
      </c>
      <c r="L10" s="77">
        <f t="shared" ref="L10:L18" si="0">E10+F10-I10</f>
        <v>2917.6600000000003</v>
      </c>
      <c r="M10" s="75">
        <f t="shared" ref="M10:M12" si="1">I10</f>
        <v>58</v>
      </c>
      <c r="N10" s="75">
        <f>(I10/I15)*100</f>
        <v>1.9944979367262721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Clinker!C7</f>
        <v>2397.92</v>
      </c>
      <c r="F11" s="77">
        <f>Clinker!D7</f>
        <v>0</v>
      </c>
      <c r="G11" s="74">
        <f>F11+'4'!G11</f>
        <v>0</v>
      </c>
      <c r="H11" s="74">
        <f>F11+'4'!H11</f>
        <v>417.28000000000003</v>
      </c>
      <c r="I11" s="77">
        <f>Clinker!E7</f>
        <v>73</v>
      </c>
      <c r="J11" s="74">
        <f>I11+'4'!J11</f>
        <v>323</v>
      </c>
      <c r="K11" s="74">
        <f>I11+'4'!K11</f>
        <v>3458</v>
      </c>
      <c r="L11" s="77">
        <f t="shared" si="0"/>
        <v>2324.92</v>
      </c>
      <c r="M11" s="75">
        <f t="shared" si="1"/>
        <v>73</v>
      </c>
      <c r="N11" s="75">
        <f>(I11/I15)*100</f>
        <v>2.5103163686382395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(2)'!Q7</f>
        <v>3.999999999996362E-2</v>
      </c>
      <c r="F12" s="77">
        <f>'Mines (2)'!R7</f>
        <v>0</v>
      </c>
      <c r="G12" s="74">
        <f>F12+'4'!G12</f>
        <v>0</v>
      </c>
      <c r="H12" s="74">
        <f>F12+'4'!H12</f>
        <v>137.76</v>
      </c>
      <c r="I12" s="77">
        <f>'Mines (2)'!S7</f>
        <v>0</v>
      </c>
      <c r="J12" s="74">
        <f>I12+'4'!J12</f>
        <v>0</v>
      </c>
      <c r="K12" s="74">
        <f>I12+'4'!K12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24792.031373437574</v>
      </c>
      <c r="F15" s="127">
        <f t="shared" si="2"/>
        <v>3164.6400000000003</v>
      </c>
      <c r="G15" s="127">
        <f t="shared" si="2"/>
        <v>16151.660000000002</v>
      </c>
      <c r="H15" s="127">
        <f t="shared" si="2"/>
        <v>178843.38000000003</v>
      </c>
      <c r="I15" s="127">
        <f t="shared" si="2"/>
        <v>2908</v>
      </c>
      <c r="J15" s="127">
        <f t="shared" si="2"/>
        <v>14299</v>
      </c>
      <c r="K15" s="127">
        <f t="shared" si="2"/>
        <v>160685</v>
      </c>
      <c r="L15" s="127">
        <f t="shared" si="0"/>
        <v>25048.671373437573</v>
      </c>
      <c r="M15" s="128">
        <f>SUM(M9:M12)</f>
        <v>2908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Clinker!EB7</f>
        <v>4166.1369999999906</v>
      </c>
      <c r="F16" s="77">
        <f>Clinker!EC7</f>
        <v>0</v>
      </c>
      <c r="G16" s="77">
        <f>F16+'4'!G16</f>
        <v>684.84</v>
      </c>
      <c r="H16" s="77">
        <f>F16+'4'!H16</f>
        <v>1490.0800000000002</v>
      </c>
      <c r="I16" s="77">
        <f>Clinker!ED7</f>
        <v>292.22000000000003</v>
      </c>
      <c r="J16" s="77">
        <f>I16+'4'!J16</f>
        <v>1439</v>
      </c>
      <c r="K16" s="77">
        <f>I16+'4'!K16</f>
        <v>16156.310000000001</v>
      </c>
      <c r="L16" s="77">
        <f>E16+F16-I16-Clinker!N7-Clinker!Z7-Clinker!AS7-Clinker!AX7-Clinker!BC7-Clinker!BW7-Clinker!BH7-Clinker!BM7-Clinker!BR7-Clinker!CV7</f>
        <v>3873.9169999999904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Clinker!EF7</f>
        <v>4406.2199999999939</v>
      </c>
      <c r="F17" s="77">
        <f>Clinker!EG7</f>
        <v>30</v>
      </c>
      <c r="G17" s="77">
        <f>F17+'4'!G17</f>
        <v>969.5</v>
      </c>
      <c r="H17" s="77">
        <f>F17+'4'!H17</f>
        <v>3110.45</v>
      </c>
      <c r="I17" s="77">
        <f>Clinker!EH7</f>
        <v>140</v>
      </c>
      <c r="J17" s="77">
        <f>I17+'4'!J17</f>
        <v>722</v>
      </c>
      <c r="K17" s="77">
        <f>I17+'4'!K17</f>
        <v>8894</v>
      </c>
      <c r="L17" s="77">
        <f>E17+F17-Clinker!AE7-Clinker!AJ7-Clinker!CL7-Clinker!CQ7-Clinker!CG7</f>
        <v>4296.2199999999939</v>
      </c>
      <c r="M17" s="81"/>
      <c r="N17" s="81"/>
      <c r="O17" s="515"/>
      <c r="P17" s="78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8572.3569999999854</v>
      </c>
      <c r="F18" s="125">
        <f>F16+F17</f>
        <v>30</v>
      </c>
      <c r="G18" s="125">
        <f t="shared" ref="G18:K18" si="3">G16+G17</f>
        <v>1654.3400000000001</v>
      </c>
      <c r="H18" s="125">
        <f t="shared" si="3"/>
        <v>4600.53</v>
      </c>
      <c r="I18" s="125">
        <f>I16+I17</f>
        <v>432.22</v>
      </c>
      <c r="J18" s="125">
        <f>J16+J17</f>
        <v>2161</v>
      </c>
      <c r="K18" s="125">
        <f t="shared" si="3"/>
        <v>25050.31</v>
      </c>
      <c r="L18" s="125">
        <f t="shared" si="0"/>
        <v>8170.1369999999852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Clinker!EJ7</f>
        <v>25060.10108576592</v>
      </c>
      <c r="F20" s="74">
        <f>Clinker!EK7</f>
        <v>1690</v>
      </c>
      <c r="G20" s="74">
        <f>F20+'4'!G20</f>
        <v>8473</v>
      </c>
      <c r="H20" s="74">
        <f>F20+'4'!H20</f>
        <v>93999</v>
      </c>
      <c r="I20" s="74">
        <f>Clinker!EL7</f>
        <v>1825.61500178914</v>
      </c>
      <c r="J20" s="74">
        <f>I20+'4'!J20</f>
        <v>9494.3230017849037</v>
      </c>
      <c r="K20" s="74">
        <f>I20+'4'!K20</f>
        <v>72356.054015649948</v>
      </c>
      <c r="L20" s="74">
        <f>E20+F20-I20-I22</f>
        <v>24924.486083976779</v>
      </c>
      <c r="M20" s="641">
        <f>((I20+I21)/(J42+J48))*100</f>
        <v>77.356567872421195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Clinker!EO7</f>
        <v>5306.1090080001359</v>
      </c>
      <c r="F21" s="74">
        <f>Clinker!EP7</f>
        <v>0</v>
      </c>
      <c r="G21" s="74">
        <f>F21+'4'!G21</f>
        <v>0</v>
      </c>
      <c r="H21" s="74">
        <f>F21+'4'!H21</f>
        <v>13390.660000000003</v>
      </c>
      <c r="I21" s="74">
        <f>Clinker!EQ7</f>
        <v>0</v>
      </c>
      <c r="J21" s="74">
        <f>I21+'4'!J21</f>
        <v>0</v>
      </c>
      <c r="K21" s="74">
        <f>I21+'4'!K21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190"/>
      <c r="S21" s="190"/>
    </row>
    <row r="22" spans="2:19" ht="30">
      <c r="B22" s="512"/>
      <c r="C22" s="524"/>
      <c r="D22" s="86" t="s">
        <v>270</v>
      </c>
      <c r="E22" s="77"/>
      <c r="F22" s="77">
        <f>Clinker!EN7</f>
        <v>0</v>
      </c>
      <c r="G22" s="74">
        <f>F22+'4'!G22</f>
        <v>0</v>
      </c>
      <c r="H22" s="74">
        <f>F22+'4'!H22</f>
        <v>0</v>
      </c>
      <c r="I22" s="77">
        <f>Clinker!EN7</f>
        <v>0</v>
      </c>
      <c r="J22" s="74">
        <f>I22+'4'!J22</f>
        <v>0</v>
      </c>
      <c r="K22" s="74">
        <f>I22+'4'!K22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Cement!S7</f>
        <v>462.64555534540011</v>
      </c>
      <c r="J23" s="74">
        <f>I23+'4'!J23</f>
        <v>2293.8344442389966</v>
      </c>
      <c r="K23" s="74">
        <f>I23+'4'!K23</f>
        <v>22767.185879091674</v>
      </c>
      <c r="L23" s="74"/>
      <c r="M23" s="78">
        <f>(I23/(J42+J48))*100</f>
        <v>19.603625226500004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Cement!C7</f>
        <v>3685.9915899562193</v>
      </c>
      <c r="F24" s="77">
        <f>Cement!D7</f>
        <v>31.2</v>
      </c>
      <c r="G24" s="74">
        <f>F24+'4'!G24</f>
        <v>31.2</v>
      </c>
      <c r="H24" s="74">
        <f>F24+'4'!H24</f>
        <v>2157.8199999999997</v>
      </c>
      <c r="I24" s="77">
        <f>Cement!F7</f>
        <v>124.21473515789474</v>
      </c>
      <c r="J24" s="74">
        <f>I24+'4'!J24</f>
        <v>646.55368252631592</v>
      </c>
      <c r="K24" s="74">
        <f>I24+'4'!K24</f>
        <v>6010.2232043514596</v>
      </c>
      <c r="L24" s="74">
        <f t="shared" ref="L24:L26" si="4">E24+F24-I24</f>
        <v>3592.9768547983244</v>
      </c>
      <c r="M24" s="78">
        <f>(I24/(J42+J48))*100</f>
        <v>5.2633362355040143</v>
      </c>
      <c r="N24" s="78"/>
      <c r="O24" s="527"/>
      <c r="P24" s="87"/>
      <c r="Q24" s="573"/>
      <c r="R24" s="20"/>
      <c r="S24" s="235"/>
    </row>
    <row r="25" spans="2:19" ht="15" customHeight="1">
      <c r="B25" s="512"/>
      <c r="C25" s="476" t="s">
        <v>272</v>
      </c>
      <c r="D25" s="76" t="s">
        <v>82</v>
      </c>
      <c r="E25" s="77">
        <f>Cement!H7</f>
        <v>0.23999999999796273</v>
      </c>
      <c r="F25" s="77">
        <f>Cement!I7</f>
        <v>0</v>
      </c>
      <c r="G25" s="74">
        <f>F25+'4'!G25</f>
        <v>0</v>
      </c>
      <c r="H25" s="74">
        <f>F25+'4'!H25</f>
        <v>0</v>
      </c>
      <c r="I25" s="77">
        <f>Cement!J7</f>
        <v>0</v>
      </c>
      <c r="J25" s="74">
        <f>I25+'4'!J25</f>
        <v>0</v>
      </c>
      <c r="K25" s="74">
        <f>I25+'4'!K25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Cement!L7</f>
        <v>0</v>
      </c>
      <c r="F26" s="77">
        <f>Cement!M7</f>
        <v>0</v>
      </c>
      <c r="G26" s="74">
        <f>F26+'4'!G26</f>
        <v>0</v>
      </c>
      <c r="H26" s="74">
        <f>F26+'4'!H26</f>
        <v>0</v>
      </c>
      <c r="I26" s="77">
        <f>Cement!N7</f>
        <v>0</v>
      </c>
      <c r="J26" s="74">
        <f>I26+'4'!J26</f>
        <v>0</v>
      </c>
      <c r="K26" s="74">
        <f>I26+'4'!K26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34052.441683722274</v>
      </c>
      <c r="F27" s="122">
        <f t="shared" ref="F27:L27" si="5">F20+F21+F23+F24+F25+F26</f>
        <v>1721.2</v>
      </c>
      <c r="G27" s="122">
        <f t="shared" si="5"/>
        <v>8504.2000000000007</v>
      </c>
      <c r="H27" s="122">
        <f t="shared" si="5"/>
        <v>109547.48000000001</v>
      </c>
      <c r="I27" s="122">
        <f>I20+I21+I23+I24+I25+I26</f>
        <v>2412.4752922924349</v>
      </c>
      <c r="J27" s="122">
        <f t="shared" si="5"/>
        <v>12434.711128550216</v>
      </c>
      <c r="K27" s="122">
        <f t="shared" si="5"/>
        <v>118067.56309909309</v>
      </c>
      <c r="L27" s="122">
        <f t="shared" si="5"/>
        <v>33823.81194677524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Production2!C7</f>
        <v>21.58</v>
      </c>
      <c r="G32" s="75">
        <f>F32+'4'!G32</f>
        <v>87.320000000000007</v>
      </c>
      <c r="H32" s="75">
        <f>F32+'4'!H32</f>
        <v>1056.45</v>
      </c>
      <c r="I32" s="74">
        <f>'Mines (2)'!C7+'Mines (2)'!H7+'Mines (2)'!V7+'Mines (2)'!Z7+'Mines (2)'!AD7</f>
        <v>19418.411373437571</v>
      </c>
      <c r="J32" s="74">
        <f>Production2!D7</f>
        <v>3164.6400000000003</v>
      </c>
      <c r="K32" s="74">
        <f>J32+'4'!K32</f>
        <v>15929.440000000002</v>
      </c>
      <c r="L32" s="74">
        <f>J32+'4'!L32</f>
        <v>172796.72000000003</v>
      </c>
      <c r="M32" s="74">
        <f>I9+I23</f>
        <v>3239.6455553454002</v>
      </c>
      <c r="N32" s="74">
        <f>M32+'4'!N32</f>
        <v>16053.834444238995</v>
      </c>
      <c r="O32" s="74">
        <f>M32+'4'!O32</f>
        <v>176558.1858790917</v>
      </c>
      <c r="P32" s="74">
        <f>I32+J32-M32</f>
        <v>19343.405818092171</v>
      </c>
      <c r="Q32" s="93">
        <f>J32/F32</f>
        <v>146.64689527340133</v>
      </c>
      <c r="R32" s="94"/>
      <c r="S32" s="94"/>
    </row>
    <row r="33" spans="2:19">
      <c r="B33" s="79">
        <v>2</v>
      </c>
      <c r="C33" s="501" t="s">
        <v>315</v>
      </c>
      <c r="D33" s="502"/>
      <c r="E33" s="95">
        <v>120</v>
      </c>
      <c r="F33" s="78">
        <f>Production2!G7</f>
        <v>19.100000000000001</v>
      </c>
      <c r="G33" s="75">
        <f>F33+'4'!G33</f>
        <v>92.669999999999987</v>
      </c>
      <c r="H33" s="75">
        <f>F33+'4'!H33</f>
        <v>1162.2099999999998</v>
      </c>
      <c r="I33" s="541">
        <f>Production2!H7</f>
        <v>1013.3900168375185</v>
      </c>
      <c r="J33" s="78">
        <f>Production2!N7</f>
        <v>2439</v>
      </c>
      <c r="K33" s="74">
        <f>J33+'4'!K33</f>
        <v>11891</v>
      </c>
      <c r="L33" s="74">
        <f>J33+'4'!L33</f>
        <v>138176.59</v>
      </c>
      <c r="M33" s="541">
        <f>Production2!K7</f>
        <v>2619.5</v>
      </c>
      <c r="N33" s="541">
        <f>M33+'4'!N33</f>
        <v>13133.15</v>
      </c>
      <c r="O33" s="541">
        <f>M33+'4'!O33</f>
        <v>145698.44999999998</v>
      </c>
      <c r="P33" s="541">
        <f>I33+J33+J34-M33</f>
        <v>1013.2800168375184</v>
      </c>
      <c r="Q33" s="96">
        <f t="shared" ref="Q33:Q48" si="6">J33/F33</f>
        <v>127.69633507853402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Production2!P7</f>
        <v>18</v>
      </c>
      <c r="G34" s="75">
        <f>F34+'4'!G34</f>
        <v>98.63</v>
      </c>
      <c r="H34" s="75">
        <f>F34+'4'!H34</f>
        <v>714.3</v>
      </c>
      <c r="I34" s="473"/>
      <c r="J34" s="78">
        <f>Production2!Q7</f>
        <v>180.39</v>
      </c>
      <c r="K34" s="74">
        <f>J34+'4'!K34</f>
        <v>987.78999999999985</v>
      </c>
      <c r="L34" s="74">
        <f>J34+'4'!L34</f>
        <v>6541.4100000000017</v>
      </c>
      <c r="M34" s="473"/>
      <c r="N34" s="473"/>
      <c r="O34" s="473"/>
      <c r="P34" s="473"/>
      <c r="Q34" s="96">
        <f>J34/F34</f>
        <v>10.021666666666667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Production2!S7</f>
        <v>18</v>
      </c>
      <c r="G35" s="75">
        <f>F35+'4'!G35</f>
        <v>89.7</v>
      </c>
      <c r="H35" s="75">
        <f>F35+'4'!H35</f>
        <v>1043.03</v>
      </c>
      <c r="I35" s="77">
        <f>Production2!T7</f>
        <v>43.209999999999809</v>
      </c>
      <c r="J35" s="77">
        <f>Production2!U7</f>
        <v>263</v>
      </c>
      <c r="K35" s="74">
        <f>J35+'4'!K35</f>
        <v>1295.0999999999999</v>
      </c>
      <c r="L35" s="74">
        <f>J35+'4'!L35</f>
        <v>14540.699999999999</v>
      </c>
      <c r="M35" s="77">
        <f>Production2!V7</f>
        <v>252</v>
      </c>
      <c r="N35" s="74">
        <f>M35+'4'!N35</f>
        <v>1283</v>
      </c>
      <c r="O35" s="74">
        <f>M35+'4'!O35</f>
        <v>14502</v>
      </c>
      <c r="P35" s="74">
        <f t="shared" ref="P35" si="7">I35+J35-M35</f>
        <v>54.209999999999809</v>
      </c>
      <c r="Q35" s="96">
        <f t="shared" si="6"/>
        <v>14.611111111111111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Production2!Y7</f>
        <v>24</v>
      </c>
      <c r="G36" s="75">
        <f>F36+'4'!G36</f>
        <v>117.37</v>
      </c>
      <c r="H36" s="75">
        <f>F36+'4'!H36</f>
        <v>1432.1799999999998</v>
      </c>
      <c r="I36" s="77">
        <f>Clinker!EJ7</f>
        <v>25060.10108576592</v>
      </c>
      <c r="J36" s="77">
        <f>Clinker!EK7</f>
        <v>1690</v>
      </c>
      <c r="K36" s="74">
        <f>J36+'4'!K36</f>
        <v>8473</v>
      </c>
      <c r="L36" s="74">
        <f>J36+'4'!L36</f>
        <v>93999</v>
      </c>
      <c r="M36" s="77">
        <f>Clinker!EL7</f>
        <v>1825.61500178914</v>
      </c>
      <c r="N36" s="74">
        <f>M36+'4'!N36</f>
        <v>9494.3230017849037</v>
      </c>
      <c r="O36" s="74">
        <f>M36+'4'!O36</f>
        <v>72356.054015649948</v>
      </c>
      <c r="P36" s="74">
        <f>I36+J36-M36-I22</f>
        <v>24924.486083976779</v>
      </c>
      <c r="Q36" s="96">
        <f t="shared" si="6"/>
        <v>70.416666666666671</v>
      </c>
      <c r="R36" s="94"/>
      <c r="S36" s="94"/>
    </row>
    <row r="37" spans="2:19">
      <c r="B37" s="569">
        <v>5</v>
      </c>
      <c r="C37" s="476" t="s">
        <v>158</v>
      </c>
      <c r="D37" s="80" t="s">
        <v>285</v>
      </c>
      <c r="E37" s="97">
        <v>90</v>
      </c>
      <c r="F37" s="78">
        <f>Production2!AE7</f>
        <v>0</v>
      </c>
      <c r="G37" s="75">
        <f>F37+'4'!G37</f>
        <v>0</v>
      </c>
      <c r="H37" s="75">
        <f>F37+'4'!H37</f>
        <v>39.700000000000003</v>
      </c>
      <c r="I37" s="77">
        <f>Production2!BJ7</f>
        <v>218.29999999999995</v>
      </c>
      <c r="J37" s="77">
        <f>Production2!AF7</f>
        <v>0</v>
      </c>
      <c r="K37" s="74">
        <f>J37+'4'!K37</f>
        <v>0</v>
      </c>
      <c r="L37" s="74">
        <f>J37+'4'!L37</f>
        <v>2634</v>
      </c>
      <c r="M37" s="77">
        <f>Production2!BL7</f>
        <v>30</v>
      </c>
      <c r="N37" s="74">
        <f>M37+'4'!N37</f>
        <v>390</v>
      </c>
      <c r="O37" s="74">
        <f>M37+'4'!O37</f>
        <v>5428</v>
      </c>
      <c r="P37" s="74">
        <f>I37+J37+J43-M37-F61</f>
        <v>188.29999999999995</v>
      </c>
      <c r="Q37" s="96" t="e">
        <f t="shared" si="6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Production2!AB7</f>
        <v>22.2</v>
      </c>
      <c r="G38" s="75">
        <f>F38+'4'!G38</f>
        <v>88.93</v>
      </c>
      <c r="H38" s="75">
        <f>F38+'4'!H38</f>
        <v>587.4</v>
      </c>
      <c r="I38" s="77">
        <f>Production2!BF7</f>
        <v>2452.6879999999787</v>
      </c>
      <c r="J38" s="77">
        <f>Production2!AC7</f>
        <v>1462</v>
      </c>
      <c r="K38" s="74">
        <f>J38+'4'!K38</f>
        <v>5841</v>
      </c>
      <c r="L38" s="74">
        <f>J38+'4'!L38</f>
        <v>37171</v>
      </c>
      <c r="M38" s="77">
        <f>Production2!BH7</f>
        <v>2712.96</v>
      </c>
      <c r="N38" s="74">
        <f>M38+'4'!N38</f>
        <v>11170</v>
      </c>
      <c r="O38" s="74">
        <f>M38+'4'!O38</f>
        <v>91912.829999999987</v>
      </c>
      <c r="P38" s="74">
        <f>I38+J38+J44-M38-F59</f>
        <v>2099.7279999999782</v>
      </c>
      <c r="Q38" s="96">
        <f t="shared" si="6"/>
        <v>65.855855855855864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Production2!AH7</f>
        <v>0</v>
      </c>
      <c r="G39" s="75">
        <f>F39+'4'!G39</f>
        <v>0</v>
      </c>
      <c r="H39" s="75">
        <f>F39+'4'!H39</f>
        <v>0</v>
      </c>
      <c r="I39" s="77">
        <f>Production2!BN7</f>
        <v>9.0000000000849845E-2</v>
      </c>
      <c r="J39" s="77">
        <f>Production2!AI7</f>
        <v>0</v>
      </c>
      <c r="K39" s="74">
        <f>J39+'4'!K39</f>
        <v>0</v>
      </c>
      <c r="L39" s="74">
        <f>J39+'4'!L39</f>
        <v>0</v>
      </c>
      <c r="M39" s="77">
        <f>Production2!BP7</f>
        <v>0</v>
      </c>
      <c r="N39" s="74">
        <f>M39+'4'!N39</f>
        <v>0</v>
      </c>
      <c r="O39" s="74">
        <f>M39+'4'!O39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Production2!AK7</f>
        <v>0</v>
      </c>
      <c r="G40" s="75">
        <f>F40+'4'!G40</f>
        <v>0</v>
      </c>
      <c r="H40" s="75">
        <f>F40+'4'!H40</f>
        <v>5</v>
      </c>
      <c r="I40" s="195">
        <f>Production2!BR7</f>
        <v>122.70000000000005</v>
      </c>
      <c r="J40" s="195">
        <f>Production2!AL9</f>
        <v>0</v>
      </c>
      <c r="K40" s="74">
        <f>J40+'4'!K40</f>
        <v>0</v>
      </c>
      <c r="L40" s="74">
        <f>J40+'4'!L40</f>
        <v>300</v>
      </c>
      <c r="M40" s="195">
        <f>Production2!BT7</f>
        <v>30</v>
      </c>
      <c r="N40" s="74">
        <f>M40+'4'!N40</f>
        <v>543</v>
      </c>
      <c r="O40" s="74">
        <f>M40+'4'!O40</f>
        <v>3575.5</v>
      </c>
      <c r="P40" s="74">
        <f>I40+J40+J46-M40-F62</f>
        <v>92.700000000000045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Production2!AN7</f>
        <v>0</v>
      </c>
      <c r="G41" s="75">
        <f>F41+'4'!G41</f>
        <v>3</v>
      </c>
      <c r="H41" s="75">
        <f>F41+'4'!H41</f>
        <v>129.16999999999999</v>
      </c>
      <c r="I41" s="195">
        <f>Production2!BV7</f>
        <v>321.50000000000017</v>
      </c>
      <c r="J41" s="195">
        <f>Production2!AO7</f>
        <v>0</v>
      </c>
      <c r="K41" s="74">
        <f>J41+'4'!K41</f>
        <v>212</v>
      </c>
      <c r="L41" s="74">
        <f>J41+'4'!L41</f>
        <v>8390</v>
      </c>
      <c r="M41" s="77">
        <f>Production2!BX7</f>
        <v>120.84</v>
      </c>
      <c r="N41" s="74">
        <f>M41+'4'!N41</f>
        <v>1178.7399999999998</v>
      </c>
      <c r="O41" s="74">
        <f>M41+'4'!O41</f>
        <v>15174.05</v>
      </c>
      <c r="P41" s="74">
        <f>I41+J41+J47-M41</f>
        <v>200.66000000000017</v>
      </c>
      <c r="Q41" s="96" t="e">
        <f t="shared" si="6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22.2</v>
      </c>
      <c r="G42" s="132">
        <f t="shared" ref="G42:H42" si="8">G37+G38+G39+G40+G41</f>
        <v>91.93</v>
      </c>
      <c r="H42" s="132">
        <f t="shared" si="8"/>
        <v>761.27</v>
      </c>
      <c r="I42" s="122">
        <f>I37+I38+I39+I40+I41</f>
        <v>3115.2779999999793</v>
      </c>
      <c r="J42" s="122">
        <f>J37+J38+J39+J40+J41</f>
        <v>1462</v>
      </c>
      <c r="K42" s="122">
        <f>K37+K38+K39+K40+K41</f>
        <v>6053</v>
      </c>
      <c r="L42" s="122">
        <f t="shared" ref="L42:O42" si="9">L37+L38+L39+L40+L41</f>
        <v>48495</v>
      </c>
      <c r="M42" s="122">
        <f t="shared" si="9"/>
        <v>2893.8</v>
      </c>
      <c r="N42" s="122">
        <f t="shared" si="9"/>
        <v>13281.74</v>
      </c>
      <c r="O42" s="122">
        <f t="shared" si="9"/>
        <v>116090.23</v>
      </c>
      <c r="P42" s="122">
        <f>P37+P38+P39+P40+P41</f>
        <v>2581.4779999999796</v>
      </c>
      <c r="Q42" s="123">
        <f t="shared" si="6"/>
        <v>65.855855855855864</v>
      </c>
      <c r="R42" s="94"/>
      <c r="S42" s="94"/>
    </row>
    <row r="43" spans="2:19">
      <c r="B43" s="569">
        <v>5</v>
      </c>
      <c r="C43" s="476" t="s">
        <v>289</v>
      </c>
      <c r="D43" s="80" t="s">
        <v>285</v>
      </c>
      <c r="E43" s="97">
        <v>75</v>
      </c>
      <c r="F43" s="78">
        <f>Production2!AT7</f>
        <v>0</v>
      </c>
      <c r="G43" s="75">
        <f>F43+'4'!G43</f>
        <v>0</v>
      </c>
      <c r="H43" s="75">
        <f>F43+'4'!H43</f>
        <v>45.429999999999993</v>
      </c>
      <c r="I43" s="471"/>
      <c r="J43" s="77">
        <f>Production2!AU7</f>
        <v>0</v>
      </c>
      <c r="K43" s="74">
        <f>J43+'4'!K43</f>
        <v>0</v>
      </c>
      <c r="L43" s="74">
        <f>J43+'4'!L43</f>
        <v>2750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Production2!AQ7</f>
        <v>15.92</v>
      </c>
      <c r="G44" s="75">
        <f>F44+'4'!G44</f>
        <v>94.02</v>
      </c>
      <c r="H44" s="75">
        <f>F44+'4'!H44</f>
        <v>944.43000000000006</v>
      </c>
      <c r="I44" s="472"/>
      <c r="J44" s="77">
        <f>Production2!AR7</f>
        <v>898</v>
      </c>
      <c r="K44" s="74">
        <f>J44+'4'!K44</f>
        <v>5612</v>
      </c>
      <c r="L44" s="74">
        <f>J44+'4'!L44</f>
        <v>55573</v>
      </c>
      <c r="M44" s="545"/>
      <c r="N44" s="546"/>
      <c r="O44" s="546"/>
      <c r="P44" s="547"/>
      <c r="Q44" s="96">
        <f t="shared" si="6"/>
        <v>56.4070351758794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Production2!AW7</f>
        <v>0</v>
      </c>
      <c r="G45" s="75">
        <f>F45+'4'!G45</f>
        <v>0</v>
      </c>
      <c r="H45" s="75">
        <f>F45+'4'!H45</f>
        <v>0</v>
      </c>
      <c r="I45" s="472"/>
      <c r="J45" s="77">
        <f>Production2!AX7</f>
        <v>0</v>
      </c>
      <c r="K45" s="74">
        <f>J45+'4'!K45</f>
        <v>0</v>
      </c>
      <c r="L45" s="74">
        <f>J45+'4'!L45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Production2!AZ7</f>
        <v>0</v>
      </c>
      <c r="G46" s="75">
        <f>F46+'4'!G46</f>
        <v>9</v>
      </c>
      <c r="H46" s="75">
        <f>F46+'4'!H46</f>
        <v>56.88</v>
      </c>
      <c r="I46" s="473"/>
      <c r="J46" s="195">
        <f>Production2!BA7</f>
        <v>0</v>
      </c>
      <c r="K46" s="74">
        <f>J46+'4'!K46</f>
        <v>508</v>
      </c>
      <c r="L46" s="74">
        <f>J46+'4'!L46</f>
        <v>3155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Production2!BC7</f>
        <v>0</v>
      </c>
      <c r="G47" s="75">
        <f>F47+'4'!G47</f>
        <v>0</v>
      </c>
      <c r="H47" s="75">
        <f>F47+'4'!H47</f>
        <v>108.67</v>
      </c>
      <c r="I47" s="425"/>
      <c r="J47" s="195">
        <f>Production2!BD7</f>
        <v>0</v>
      </c>
      <c r="K47" s="74">
        <f>J47+'4'!K47</f>
        <v>0</v>
      </c>
      <c r="L47" s="74">
        <f>J47+'4'!L47</f>
        <v>6615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15.92</v>
      </c>
      <c r="G48" s="132">
        <f t="shared" ref="G48:H48" si="10">G43+G44+G45+G46+G47</f>
        <v>103.02</v>
      </c>
      <c r="H48" s="132">
        <f t="shared" si="10"/>
        <v>1155.4100000000001</v>
      </c>
      <c r="I48" s="132">
        <f t="shared" ref="I48" si="11">I43+I44+I45+I46</f>
        <v>0</v>
      </c>
      <c r="J48" s="122">
        <f>J43+J44+J45+J46+J47</f>
        <v>898</v>
      </c>
      <c r="K48" s="122">
        <f t="shared" ref="K48:L48" si="12">K43+K44+K45+K46+K47</f>
        <v>6120</v>
      </c>
      <c r="L48" s="122">
        <f t="shared" si="12"/>
        <v>68093</v>
      </c>
      <c r="M48" s="132"/>
      <c r="N48" s="132"/>
      <c r="O48" s="132"/>
      <c r="P48" s="132"/>
      <c r="Q48" s="123">
        <f t="shared" si="6"/>
        <v>56.4070351758794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685" t="s">
        <v>290</v>
      </c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7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679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0.49105111481874708</v>
      </c>
      <c r="F52" s="99">
        <f>F55/(J33+J34)</f>
        <v>20.18485219841261</v>
      </c>
      <c r="G52" s="99">
        <v>0</v>
      </c>
      <c r="H52" s="99">
        <f>H55/J36</f>
        <v>35.024852071005917</v>
      </c>
      <c r="I52" s="99">
        <f>I55/J35</f>
        <v>50.247148288973385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14.911242603550296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0.8068928673678466</v>
      </c>
      <c r="F53" s="102">
        <f>F52*1.55</f>
        <v>31.286520907539547</v>
      </c>
      <c r="G53" s="102">
        <f>G52*1.55</f>
        <v>0</v>
      </c>
      <c r="H53" s="102">
        <f>H52</f>
        <v>35.024852071005917</v>
      </c>
      <c r="I53" s="102">
        <f>I52*(Q52/100)</f>
        <v>7.4924741827344929</v>
      </c>
      <c r="J53" s="102"/>
      <c r="K53" s="102"/>
      <c r="L53" s="102"/>
      <c r="M53" s="96"/>
      <c r="N53" s="306">
        <f>SUM(E53:I53)</f>
        <v>74.610740028647811</v>
      </c>
      <c r="O53" s="516" t="s">
        <v>298</v>
      </c>
      <c r="P53" s="516"/>
      <c r="Q53" s="104">
        <v>5410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0.62418462860313373</v>
      </c>
      <c r="F54" s="102">
        <f>F53*M20/100</f>
        <v>24.202178780760079</v>
      </c>
      <c r="G54" s="102">
        <f>G53*M20/100</f>
        <v>0</v>
      </c>
      <c r="H54" s="102">
        <f>H53*M20/100</f>
        <v>27.09402346452281</v>
      </c>
      <c r="I54" s="102">
        <f>I53*M20/100</f>
        <v>5.7959208764906434</v>
      </c>
      <c r="J54" s="99">
        <f>J55/(J42+J48)</f>
        <v>40.655084745762714</v>
      </c>
      <c r="K54" s="99">
        <f>K55/(J48+J42)</f>
        <v>0.85635593220338979</v>
      </c>
      <c r="L54" s="99">
        <f>L55/(M42)</f>
        <v>2.0913677517451101</v>
      </c>
      <c r="M54" s="96">
        <f>M55/(J48+J42)</f>
        <v>2.0983050847457627</v>
      </c>
      <c r="N54" s="306">
        <f>SUM(E54:M54)</f>
        <v>103.41742126483364</v>
      </c>
      <c r="O54" s="516" t="s">
        <v>300</v>
      </c>
      <c r="P54" s="516"/>
      <c r="Q54" s="104">
        <f>Q53*Q52/100</f>
        <v>806.69822485207101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unit'!B7</f>
        <v>1554</v>
      </c>
      <c r="F55" s="118">
        <f>'Daily unit'!C7</f>
        <v>52872</v>
      </c>
      <c r="G55" s="118">
        <f>'Daily unit'!D7</f>
        <v>0</v>
      </c>
      <c r="H55" s="118">
        <f>'Daily unit'!E7</f>
        <v>59192</v>
      </c>
      <c r="I55" s="118">
        <f>'Daily unit'!F7</f>
        <v>13215</v>
      </c>
      <c r="J55" s="118">
        <f>'Daily unit'!G7</f>
        <v>95946</v>
      </c>
      <c r="K55" s="118">
        <f>'Daily unit'!H7</f>
        <v>2021</v>
      </c>
      <c r="L55" s="118">
        <f>'Daily unit'!I7</f>
        <v>6052</v>
      </c>
      <c r="M55" s="119">
        <f>'Daily unit'!J7</f>
        <v>4952</v>
      </c>
      <c r="N55" s="317">
        <f>SUM(E55:M55)</f>
        <v>235804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29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688" t="s">
        <v>304</v>
      </c>
      <c r="D58" s="688"/>
      <c r="E58" s="578"/>
      <c r="F58" s="150" t="s">
        <v>305</v>
      </c>
      <c r="G58" s="150" t="s">
        <v>27</v>
      </c>
      <c r="H58" s="183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90">
        <v>1</v>
      </c>
      <c r="C59" s="526" t="s">
        <v>306</v>
      </c>
      <c r="D59" s="526"/>
      <c r="E59" s="211">
        <v>42.5</v>
      </c>
      <c r="F59" s="53">
        <f>'Internal use cement'!F7</f>
        <v>0</v>
      </c>
      <c r="G59" s="53">
        <f>F59+'4'!G59</f>
        <v>0</v>
      </c>
      <c r="H59" s="182">
        <f>F59+'4'!H59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75"/>
      <c r="C60" s="526"/>
      <c r="D60" s="526"/>
      <c r="E60" s="211" t="s">
        <v>211</v>
      </c>
      <c r="F60" s="53">
        <f>'Internal use cement'!Q7</f>
        <v>0</v>
      </c>
      <c r="G60" s="53">
        <f>F60+'4'!G60</f>
        <v>0</v>
      </c>
      <c r="H60" s="182">
        <f>F60+'4'!H60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75"/>
      <c r="C61" s="526"/>
      <c r="D61" s="526"/>
      <c r="E61" s="211">
        <v>32.5</v>
      </c>
      <c r="F61" s="53">
        <f>'Internal use cement'!AB7</f>
        <v>0</v>
      </c>
      <c r="G61" s="53">
        <f>F61+'4'!G61</f>
        <v>0</v>
      </c>
      <c r="H61" s="182">
        <f>F61+'4'!H61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479"/>
      <c r="C62" s="689"/>
      <c r="D62" s="689"/>
      <c r="E62" s="213" t="s">
        <v>187</v>
      </c>
      <c r="F62" s="113">
        <f>'Internal use cement'!AJ7</f>
        <v>0</v>
      </c>
      <c r="G62" s="113">
        <f>F62+'4'!G62</f>
        <v>0</v>
      </c>
      <c r="H62" s="198">
        <f>F62+'4'!H62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5"/>
      <c r="S65" s="115"/>
    </row>
    <row r="66" spans="2:19">
      <c r="R66" s="116"/>
      <c r="S66" s="116"/>
    </row>
    <row r="67" spans="2:19">
      <c r="R67" s="94"/>
      <c r="S67" s="94"/>
    </row>
    <row r="68" spans="2:19">
      <c r="R68" s="94"/>
      <c r="S68" s="94"/>
    </row>
    <row r="69" spans="2:19">
      <c r="R69" s="94"/>
      <c r="S69" s="94"/>
    </row>
    <row r="70" spans="2:19">
      <c r="R70" s="109"/>
      <c r="S70" s="109"/>
    </row>
    <row r="71" spans="2:19">
      <c r="R71" s="94"/>
      <c r="S71" s="94"/>
    </row>
    <row r="72" spans="2:19">
      <c r="R72" s="117"/>
      <c r="S72" s="117"/>
    </row>
    <row r="73" spans="2:19">
      <c r="R73" s="117"/>
      <c r="S73" s="117"/>
    </row>
    <row r="74" spans="2:19">
      <c r="R74" s="117"/>
      <c r="S74" s="117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2:19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</sheetData>
  <mergeCells count="85">
    <mergeCell ref="J30:L30"/>
    <mergeCell ref="M30:O30"/>
    <mergeCell ref="B37:B42"/>
    <mergeCell ref="C37:C42"/>
    <mergeCell ref="C36:D36"/>
    <mergeCell ref="C32:D32"/>
    <mergeCell ref="O33:O34"/>
    <mergeCell ref="P33:P34"/>
    <mergeCell ref="B43:B48"/>
    <mergeCell ref="C43:C48"/>
    <mergeCell ref="I43:I46"/>
    <mergeCell ref="M43:P47"/>
    <mergeCell ref="B16:B18"/>
    <mergeCell ref="C16:C18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P25:Q27"/>
    <mergeCell ref="C27:D27"/>
    <mergeCell ref="M27:N27"/>
    <mergeCell ref="C25:C26"/>
    <mergeCell ref="M20:M21"/>
    <mergeCell ref="C8:Q8"/>
    <mergeCell ref="C11:D11"/>
    <mergeCell ref="C12:D12"/>
    <mergeCell ref="C15:D15"/>
    <mergeCell ref="P15:Q15"/>
    <mergeCell ref="O9:O18"/>
    <mergeCell ref="C10:D10"/>
    <mergeCell ref="C9:D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23:D23"/>
    <mergeCell ref="C33:D33"/>
    <mergeCell ref="C35:D35"/>
    <mergeCell ref="M25:N26"/>
    <mergeCell ref="C34:D34"/>
    <mergeCell ref="I33:I34"/>
    <mergeCell ref="M33:M34"/>
    <mergeCell ref="N33:N34"/>
    <mergeCell ref="B28:Q28"/>
    <mergeCell ref="B29:Q29"/>
    <mergeCell ref="B30:B31"/>
    <mergeCell ref="C30:D31"/>
    <mergeCell ref="F30:H30"/>
    <mergeCell ref="I30:I31"/>
    <mergeCell ref="P30:P31"/>
    <mergeCell ref="Q30:Q31"/>
    <mergeCell ref="B57:H57"/>
    <mergeCell ref="I57:Q62"/>
    <mergeCell ref="C58:E58"/>
    <mergeCell ref="C59:D62"/>
    <mergeCell ref="B59:B62"/>
    <mergeCell ref="B56:Q56"/>
    <mergeCell ref="B49:Q49"/>
    <mergeCell ref="C51:D51"/>
    <mergeCell ref="O51:P51"/>
    <mergeCell ref="C52:D52"/>
    <mergeCell ref="O52:P52"/>
    <mergeCell ref="O53:P53"/>
    <mergeCell ref="C54:D54"/>
    <mergeCell ref="O54:P54"/>
    <mergeCell ref="C55:D55"/>
    <mergeCell ref="C53:D53"/>
    <mergeCell ref="O50:Q50"/>
    <mergeCell ref="B50:N50"/>
  </mergeCells>
  <pageMargins left="0.2" right="0.2" top="0.75" bottom="0.75" header="0.3" footer="0.3"/>
  <pageSetup paperSize="9" scale="5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B2:U159"/>
  <sheetViews>
    <sheetView zoomScale="90" zoomScaleNormal="90" workbookViewId="0">
      <pane xSplit="4" ySplit="1" topLeftCell="E60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317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474" t="s">
        <v>263</v>
      </c>
      <c r="D9" s="475"/>
      <c r="E9" s="74">
        <f>'5'!L9</f>
        <v>19343.405818092171</v>
      </c>
      <c r="F9" s="74">
        <f>Production2!D8</f>
        <v>3318.08</v>
      </c>
      <c r="G9" s="74">
        <f>F9+'5'!G9</f>
        <v>19247.520000000004</v>
      </c>
      <c r="H9" s="74">
        <f>F9+'5'!H9</f>
        <v>176114.80000000002</v>
      </c>
      <c r="I9" s="74">
        <f>Production2!E8</f>
        <v>2377</v>
      </c>
      <c r="J9" s="74">
        <f>I9+'5'!J9</f>
        <v>16137</v>
      </c>
      <c r="K9" s="74">
        <f>I9+'5'!K9</f>
        <v>156168</v>
      </c>
      <c r="L9" s="74">
        <f>E9+F9-I9-I23</f>
        <v>19785.746929606172</v>
      </c>
      <c r="M9" s="75">
        <f>I9</f>
        <v>2377</v>
      </c>
      <c r="N9" s="75">
        <f>(I9/I15)*100</f>
        <v>95.500200883889107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(2)'!L8</f>
        <v>2917.6600000000003</v>
      </c>
      <c r="F10" s="77">
        <f>'Mines (2)'!M8</f>
        <v>0</v>
      </c>
      <c r="G10" s="74">
        <f>F10+'5'!G10</f>
        <v>222.22000000000003</v>
      </c>
      <c r="H10" s="74">
        <f>F10+'5'!H10</f>
        <v>5491.6200000000008</v>
      </c>
      <c r="I10" s="77">
        <f>'Mines (2)'!N8</f>
        <v>50</v>
      </c>
      <c r="J10" s="74">
        <f>I10+'5'!J10</f>
        <v>266</v>
      </c>
      <c r="K10" s="74">
        <f>I10+'5'!K10</f>
        <v>2748</v>
      </c>
      <c r="L10" s="77">
        <f t="shared" ref="L10:L15" si="0">E10+F10-I10</f>
        <v>2867.6600000000003</v>
      </c>
      <c r="M10" s="75">
        <f t="shared" ref="M10:M12" si="1">I10</f>
        <v>50</v>
      </c>
      <c r="N10" s="75">
        <f>(I10/I15)*100</f>
        <v>2.0088388911209321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Clinker!C8</f>
        <v>2324.92</v>
      </c>
      <c r="F11" s="77">
        <f>Clinker!D8</f>
        <v>0</v>
      </c>
      <c r="G11" s="74">
        <f>F11+'5'!G11</f>
        <v>0</v>
      </c>
      <c r="H11" s="74">
        <f>F11+'5'!H11</f>
        <v>417.28000000000003</v>
      </c>
      <c r="I11" s="77">
        <f>Clinker!E8</f>
        <v>62</v>
      </c>
      <c r="J11" s="74">
        <f>I11+'5'!J11</f>
        <v>385</v>
      </c>
      <c r="K11" s="74">
        <f>I11+'5'!K11</f>
        <v>3520</v>
      </c>
      <c r="L11" s="77">
        <f t="shared" si="0"/>
        <v>2262.92</v>
      </c>
      <c r="M11" s="75">
        <f t="shared" si="1"/>
        <v>62</v>
      </c>
      <c r="N11" s="75">
        <f>(I11/I15)*100</f>
        <v>2.4909602249899558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(2)'!Q8</f>
        <v>3.999999999996362E-2</v>
      </c>
      <c r="F12" s="77">
        <f>'Mines (2)'!R8</f>
        <v>0</v>
      </c>
      <c r="G12" s="74">
        <f>F12+'5'!G12</f>
        <v>0</v>
      </c>
      <c r="H12" s="74">
        <f>F12+'5'!H12</f>
        <v>137.76</v>
      </c>
      <c r="I12" s="77">
        <f>'Mines (2)'!S8</f>
        <v>0</v>
      </c>
      <c r="J12" s="74">
        <f>I12+'5'!J12</f>
        <v>0</v>
      </c>
      <c r="K12" s="74">
        <f>I12+'5'!K12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24586.025818092174</v>
      </c>
      <c r="F15" s="127">
        <f t="shared" si="2"/>
        <v>3318.08</v>
      </c>
      <c r="G15" s="127">
        <f t="shared" si="2"/>
        <v>19469.740000000005</v>
      </c>
      <c r="H15" s="127">
        <f t="shared" si="2"/>
        <v>182161.46000000002</v>
      </c>
      <c r="I15" s="127">
        <f t="shared" si="2"/>
        <v>2489</v>
      </c>
      <c r="J15" s="127">
        <f t="shared" si="2"/>
        <v>16788</v>
      </c>
      <c r="K15" s="127">
        <f t="shared" si="2"/>
        <v>163174</v>
      </c>
      <c r="L15" s="127">
        <f t="shared" si="0"/>
        <v>25415.105818092175</v>
      </c>
      <c r="M15" s="128">
        <f>SUM(M9:M12)</f>
        <v>2489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Clinker!EB8</f>
        <v>3873.9169999999904</v>
      </c>
      <c r="F16" s="77">
        <f>Clinker!EC8</f>
        <v>0</v>
      </c>
      <c r="G16" s="77">
        <f>F16+'5'!G16</f>
        <v>684.84</v>
      </c>
      <c r="H16" s="77">
        <f>F16+'5'!H16</f>
        <v>1490.0800000000002</v>
      </c>
      <c r="I16" s="77">
        <f>Clinker!ED8</f>
        <v>265.56</v>
      </c>
      <c r="J16" s="77">
        <f>I16+'5'!J16</f>
        <v>1704.56</v>
      </c>
      <c r="K16" s="77">
        <f>I16+'5'!K16</f>
        <v>16421.870000000003</v>
      </c>
      <c r="L16" s="77">
        <f>E16+F16-I16-Clinker!N8-Clinker!Z8-Clinker!AS8-Clinker!AX8-Clinker!BC8-Clinker!BW8-Clinker!BH8-Clinker!BM8-Clinker!BR8-Clinker!CV8</f>
        <v>3608.3569999999904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20">
      <c r="B17" s="512"/>
      <c r="C17" s="517"/>
      <c r="D17" s="80" t="s">
        <v>62</v>
      </c>
      <c r="E17" s="77">
        <f>Clinker!EF8</f>
        <v>4296.2199999999939</v>
      </c>
      <c r="F17" s="77">
        <f>Clinker!EG8</f>
        <v>0</v>
      </c>
      <c r="G17" s="77">
        <f>F17+'5'!G17</f>
        <v>969.5</v>
      </c>
      <c r="H17" s="77">
        <f>F17+'5'!H17</f>
        <v>3110.45</v>
      </c>
      <c r="I17" s="77">
        <f>Clinker!EH8</f>
        <v>140</v>
      </c>
      <c r="J17" s="77">
        <f>I17+'5'!J17</f>
        <v>862</v>
      </c>
      <c r="K17" s="77">
        <f>I17+'5'!K17</f>
        <v>9034</v>
      </c>
      <c r="L17" s="77">
        <f>E17+F17-Clinker!AE8-Clinker!AJ8-Clinker!CL8-Clinker!CQ8-Clinker!CG8</f>
        <v>4156.2199999999939</v>
      </c>
      <c r="M17" s="81"/>
      <c r="N17" s="81"/>
      <c r="O17" s="515"/>
      <c r="P17" s="53"/>
      <c r="Q17" s="82"/>
      <c r="R17" s="83"/>
      <c r="S17" s="83"/>
    </row>
    <row r="18" spans="2:20">
      <c r="B18" s="512"/>
      <c r="C18" s="476"/>
      <c r="D18" s="124" t="s">
        <v>162</v>
      </c>
      <c r="E18" s="125">
        <f>E16+E17</f>
        <v>8170.1369999999843</v>
      </c>
      <c r="F18" s="125">
        <f>F16+F17</f>
        <v>0</v>
      </c>
      <c r="G18" s="125">
        <f t="shared" ref="G18:K18" si="3">G16+G17</f>
        <v>1654.3400000000001</v>
      </c>
      <c r="H18" s="125">
        <f t="shared" si="3"/>
        <v>4600.53</v>
      </c>
      <c r="I18" s="125">
        <f>I16+I17</f>
        <v>405.56</v>
      </c>
      <c r="J18" s="125">
        <f>J16+J17</f>
        <v>2566.56</v>
      </c>
      <c r="K18" s="125">
        <f t="shared" si="3"/>
        <v>25455.870000000003</v>
      </c>
      <c r="L18" s="125">
        <f>E18+F18-I18</f>
        <v>7764.5769999999839</v>
      </c>
      <c r="M18" s="126"/>
      <c r="N18" s="126"/>
      <c r="O18" s="515"/>
      <c r="P18" s="84"/>
      <c r="Q18" s="131"/>
      <c r="R18" s="83"/>
      <c r="S18" s="83"/>
    </row>
    <row r="19" spans="2:20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20">
      <c r="B20" s="512">
        <v>7</v>
      </c>
      <c r="C20" s="477" t="s">
        <v>268</v>
      </c>
      <c r="D20" s="85" t="s">
        <v>269</v>
      </c>
      <c r="E20" s="74">
        <f>Clinker!EJ8</f>
        <v>24924.486083976779</v>
      </c>
      <c r="F20" s="74">
        <f>Clinker!EK8</f>
        <v>1505</v>
      </c>
      <c r="G20" s="74">
        <f>F20+'5'!G20</f>
        <v>9978</v>
      </c>
      <c r="H20" s="74">
        <f>F20+'5'!H20</f>
        <v>95504</v>
      </c>
      <c r="I20" s="74">
        <f>Clinker!EL8</f>
        <v>1714.5940009825999</v>
      </c>
      <c r="J20" s="74">
        <f>I20+'5'!J20</f>
        <v>11208.917002767503</v>
      </c>
      <c r="K20" s="74">
        <f>I20+'5'!K20</f>
        <v>74070.648016632549</v>
      </c>
      <c r="L20" s="74">
        <f>E20+F20-I20-I22</f>
        <v>24714.892082994178</v>
      </c>
      <c r="M20" s="75">
        <f>((I20+I21)/(J42+J48))*100</f>
        <v>75.267515407489029</v>
      </c>
      <c r="N20" s="525"/>
      <c r="O20" s="527"/>
      <c r="P20" s="535"/>
      <c r="Q20" s="536"/>
      <c r="R20" s="190"/>
      <c r="S20" s="190"/>
    </row>
    <row r="21" spans="2:20" ht="45">
      <c r="B21" s="512"/>
      <c r="C21" s="477"/>
      <c r="D21" s="85" t="s">
        <v>70</v>
      </c>
      <c r="E21" s="74">
        <f>Clinker!EO8</f>
        <v>5306.1090080001359</v>
      </c>
      <c r="F21" s="74">
        <f>Clinker!EP8</f>
        <v>0</v>
      </c>
      <c r="G21" s="74">
        <f>F21+'5'!G21</f>
        <v>0</v>
      </c>
      <c r="H21" s="74">
        <f>F21+'5'!H21</f>
        <v>13390.660000000003</v>
      </c>
      <c r="I21" s="74">
        <f>Clinker!EQ8</f>
        <v>0</v>
      </c>
      <c r="J21" s="74">
        <f>I21+'5'!J21</f>
        <v>0</v>
      </c>
      <c r="K21" s="74">
        <f>I21+'5'!K21</f>
        <v>16934.099999999999</v>
      </c>
      <c r="L21" s="74">
        <f>E21+F21-I21</f>
        <v>5306.1090080001359</v>
      </c>
      <c r="M21" s="75"/>
      <c r="N21" s="525"/>
      <c r="O21" s="527"/>
      <c r="P21" s="535"/>
      <c r="Q21" s="536"/>
      <c r="R21" s="20"/>
      <c r="S21" s="190"/>
      <c r="T21" s="176"/>
    </row>
    <row r="22" spans="2:20" ht="30">
      <c r="B22" s="512"/>
      <c r="C22" s="524"/>
      <c r="D22" s="86" t="s">
        <v>270</v>
      </c>
      <c r="E22" s="77"/>
      <c r="F22" s="77">
        <f>Clinker!EN8</f>
        <v>0</v>
      </c>
      <c r="G22" s="74">
        <f>F22+'5'!G22</f>
        <v>0</v>
      </c>
      <c r="H22" s="74">
        <f>F22+'5'!H22</f>
        <v>0</v>
      </c>
      <c r="I22" s="77">
        <f>Clinker!EN8</f>
        <v>0</v>
      </c>
      <c r="J22" s="74">
        <f>I22+'5'!J22</f>
        <v>0</v>
      </c>
      <c r="K22" s="74">
        <f>I22+'5'!K22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20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Cement!S8</f>
        <v>498.73888848600006</v>
      </c>
      <c r="J23" s="74">
        <f>I23+'5'!J23</f>
        <v>2792.5733327249968</v>
      </c>
      <c r="K23" s="74">
        <f>I23+'5'!K23</f>
        <v>23265.924767577675</v>
      </c>
      <c r="L23" s="74"/>
      <c r="M23" s="78">
        <f>(I23/(J42+J48))*100</f>
        <v>21.893717668393332</v>
      </c>
      <c r="N23" s="78"/>
      <c r="O23" s="527"/>
      <c r="P23" s="87"/>
      <c r="Q23" s="572"/>
      <c r="R23" s="20"/>
      <c r="S23" s="20"/>
    </row>
    <row r="24" spans="2:20">
      <c r="B24" s="89">
        <v>9</v>
      </c>
      <c r="C24" s="517" t="s">
        <v>271</v>
      </c>
      <c r="D24" s="517"/>
      <c r="E24" s="77">
        <f>Cement!C8</f>
        <v>3592.9768547983244</v>
      </c>
      <c r="F24" s="77">
        <f>Cement!D8</f>
        <v>0</v>
      </c>
      <c r="G24" s="74">
        <f>F24+'5'!G24</f>
        <v>31.2</v>
      </c>
      <c r="H24" s="74">
        <f>F24+'5'!H24</f>
        <v>2157.8199999999997</v>
      </c>
      <c r="I24" s="77">
        <f>Cement!F8</f>
        <v>120.56947303157894</v>
      </c>
      <c r="J24" s="74">
        <f>I24+'5'!J24</f>
        <v>767.12315555789485</v>
      </c>
      <c r="K24" s="74">
        <f>I24+'5'!K24</f>
        <v>6130.7926773830386</v>
      </c>
      <c r="L24" s="74">
        <f t="shared" ref="L24:L26" si="4">E24+F24-I24</f>
        <v>3472.4073817667454</v>
      </c>
      <c r="M24" s="78">
        <f>(I24/(J42+J48))*100</f>
        <v>5.2927775694283996</v>
      </c>
      <c r="N24" s="78"/>
      <c r="O24" s="527"/>
      <c r="P24" s="87"/>
      <c r="Q24" s="573"/>
      <c r="R24" s="20"/>
      <c r="S24" s="20"/>
    </row>
    <row r="25" spans="2:20" ht="15" customHeight="1">
      <c r="B25" s="512"/>
      <c r="C25" s="476" t="s">
        <v>272</v>
      </c>
      <c r="D25" s="76" t="s">
        <v>82</v>
      </c>
      <c r="E25" s="77">
        <f>Cement!H8</f>
        <v>0.23999999999796273</v>
      </c>
      <c r="F25" s="77">
        <f>Cement!I8</f>
        <v>0</v>
      </c>
      <c r="G25" s="74">
        <f>F25+'5'!G25</f>
        <v>0</v>
      </c>
      <c r="H25" s="74">
        <f>F25+'5'!H25</f>
        <v>0</v>
      </c>
      <c r="I25" s="77">
        <f>Cement!J8</f>
        <v>0</v>
      </c>
      <c r="J25" s="74">
        <f>I25+'5'!J25</f>
        <v>0</v>
      </c>
      <c r="K25" s="74">
        <f>I25+'5'!K25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20">
      <c r="B26" s="512"/>
      <c r="C26" s="524"/>
      <c r="D26" s="76" t="s">
        <v>273</v>
      </c>
      <c r="E26" s="77">
        <f>Cement!L8</f>
        <v>0</v>
      </c>
      <c r="F26" s="77">
        <f>Cement!M8</f>
        <v>0</v>
      </c>
      <c r="G26" s="74">
        <f>F26+'5'!G26</f>
        <v>0</v>
      </c>
      <c r="H26" s="74">
        <f>F26+'5'!H26</f>
        <v>0</v>
      </c>
      <c r="I26" s="77">
        <f>Cement!N8</f>
        <v>0</v>
      </c>
      <c r="J26" s="74">
        <f>I26+'5'!J26</f>
        <v>0</v>
      </c>
      <c r="K26" s="74">
        <f>I26+'5'!K26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20" ht="14.45" customHeight="1" thickBot="1">
      <c r="B27" s="90" t="s">
        <v>262</v>
      </c>
      <c r="C27" s="539" t="s">
        <v>274</v>
      </c>
      <c r="D27" s="539"/>
      <c r="E27" s="122">
        <f>E20+E21+E23+E24+E25+E26</f>
        <v>33823.81194677524</v>
      </c>
      <c r="F27" s="122">
        <f t="shared" ref="F27:L27" si="5">F20+F21+F23+F24+F25+F26</f>
        <v>1505</v>
      </c>
      <c r="G27" s="122">
        <f t="shared" si="5"/>
        <v>10009.200000000001</v>
      </c>
      <c r="H27" s="122">
        <f t="shared" si="5"/>
        <v>111052.48000000001</v>
      </c>
      <c r="I27" s="122">
        <f t="shared" si="5"/>
        <v>2333.9023625001792</v>
      </c>
      <c r="J27" s="122">
        <f t="shared" si="5"/>
        <v>14768.613491050393</v>
      </c>
      <c r="K27" s="122">
        <f t="shared" si="5"/>
        <v>120401.46546159325</v>
      </c>
      <c r="L27" s="122">
        <f t="shared" si="5"/>
        <v>33493.648472761059</v>
      </c>
      <c r="M27" s="540"/>
      <c r="N27" s="540"/>
      <c r="O27" s="528"/>
      <c r="P27" s="537"/>
      <c r="Q27" s="538"/>
      <c r="R27" s="83"/>
      <c r="S27" s="83"/>
    </row>
    <row r="28" spans="2:20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20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20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20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20">
      <c r="B32" s="91">
        <v>1</v>
      </c>
      <c r="C32" s="567" t="s">
        <v>281</v>
      </c>
      <c r="D32" s="568"/>
      <c r="E32" s="92">
        <v>250</v>
      </c>
      <c r="F32" s="75">
        <f>Production2!C8</f>
        <v>20.57</v>
      </c>
      <c r="G32" s="75">
        <f>F32+'5'!G32</f>
        <v>107.89000000000001</v>
      </c>
      <c r="H32" s="75">
        <f>F32+'5'!H32</f>
        <v>1077.02</v>
      </c>
      <c r="I32" s="74">
        <f>'Mines (2)'!C8+'Mines (2)'!H8+'Mines (2)'!V8+'Mines (2)'!Z8+'Mines (2)'!AD8</f>
        <v>19343.405818092171</v>
      </c>
      <c r="J32" s="74">
        <f>Production2!D8</f>
        <v>3318.08</v>
      </c>
      <c r="K32" s="74">
        <f>J32+'5'!K32</f>
        <v>19247.520000000004</v>
      </c>
      <c r="L32" s="74">
        <f>J32+'5'!L32</f>
        <v>176114.80000000002</v>
      </c>
      <c r="M32" s="74">
        <f>I9+I23</f>
        <v>2875.7388884860002</v>
      </c>
      <c r="N32" s="74">
        <f>M32+'5'!N32</f>
        <v>18929.573332724995</v>
      </c>
      <c r="O32" s="74">
        <f>M32+'5'!O32</f>
        <v>179433.9247675777</v>
      </c>
      <c r="P32" s="74">
        <f>I32+J32-M32</f>
        <v>19785.746929606172</v>
      </c>
      <c r="Q32" s="93">
        <f>J32/F32</f>
        <v>161.30675741370928</v>
      </c>
      <c r="R32" s="94"/>
      <c r="S32" s="94"/>
    </row>
    <row r="33" spans="2:19">
      <c r="B33" s="79">
        <v>2</v>
      </c>
      <c r="C33" s="501" t="s">
        <v>315</v>
      </c>
      <c r="D33" s="502"/>
      <c r="E33" s="95">
        <v>120</v>
      </c>
      <c r="F33" s="78">
        <f>Production2!G8</f>
        <v>18.62</v>
      </c>
      <c r="G33" s="75">
        <f>F33+'5'!G33</f>
        <v>111.28999999999999</v>
      </c>
      <c r="H33" s="75">
        <f>F33+'5'!H33</f>
        <v>1180.8299999999997</v>
      </c>
      <c r="I33" s="541">
        <f>Production2!H8</f>
        <v>1013.2800168375184</v>
      </c>
      <c r="J33" s="77">
        <f>Production2!N8</f>
        <v>2128</v>
      </c>
      <c r="K33" s="75">
        <f>J33+'5'!K33</f>
        <v>14019</v>
      </c>
      <c r="L33" s="74">
        <f>J33+'5'!L33</f>
        <v>140304.59</v>
      </c>
      <c r="M33" s="541">
        <f>Production2!K8</f>
        <v>2332.75</v>
      </c>
      <c r="N33" s="541">
        <f>M33+'5'!N33</f>
        <v>15465.9</v>
      </c>
      <c r="O33" s="541">
        <f>M33+'5'!O33</f>
        <v>148031.19999999998</v>
      </c>
      <c r="P33" s="541">
        <f>I33+J33+J34-M33</f>
        <v>922.4900168375184</v>
      </c>
      <c r="Q33" s="96">
        <f t="shared" ref="Q33:Q48" si="6">J33/F33</f>
        <v>114.28571428571428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Production2!P8</f>
        <v>16.25</v>
      </c>
      <c r="G34" s="75">
        <f>F34+'5'!G34</f>
        <v>114.88</v>
      </c>
      <c r="H34" s="75">
        <f>F34+'5'!H34</f>
        <v>730.55</v>
      </c>
      <c r="I34" s="473"/>
      <c r="J34" s="77">
        <f>Production2!Q8</f>
        <v>113.96</v>
      </c>
      <c r="K34" s="75">
        <f>J34+'5'!K34</f>
        <v>1101.7499999999998</v>
      </c>
      <c r="L34" s="74">
        <f>J34+'5'!L34</f>
        <v>6655.3700000000017</v>
      </c>
      <c r="M34" s="473"/>
      <c r="N34" s="473"/>
      <c r="O34" s="473"/>
      <c r="P34" s="473"/>
      <c r="Q34" s="96">
        <f>J34/F34</f>
        <v>7.0129230769230766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Production2!S8</f>
        <v>17.29</v>
      </c>
      <c r="G35" s="75">
        <f>F35+'5'!G35</f>
        <v>106.99000000000001</v>
      </c>
      <c r="H35" s="75">
        <f>F35+'5'!H35</f>
        <v>1060.32</v>
      </c>
      <c r="I35" s="77">
        <f>Production2!T8</f>
        <v>54.209999999999809</v>
      </c>
      <c r="J35" s="77">
        <f>Production2!U8</f>
        <v>239</v>
      </c>
      <c r="K35" s="74">
        <f>J35+'5'!K35</f>
        <v>1534.1</v>
      </c>
      <c r="L35" s="74">
        <f>J35+'5'!L35</f>
        <v>14779.699999999999</v>
      </c>
      <c r="M35" s="77">
        <f>Production2!V8</f>
        <v>240</v>
      </c>
      <c r="N35" s="74">
        <f>M35+'5'!N35</f>
        <v>1523</v>
      </c>
      <c r="O35" s="74">
        <f>M35+'5'!O35</f>
        <v>14742</v>
      </c>
      <c r="P35" s="74">
        <f t="shared" ref="P35" si="7">I35+J35-M35</f>
        <v>53.209999999999809</v>
      </c>
      <c r="Q35" s="96">
        <f t="shared" si="6"/>
        <v>13.823019086176982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Production2!Y8</f>
        <v>23.67</v>
      </c>
      <c r="G36" s="75">
        <f>F36+'5'!G36</f>
        <v>141.04000000000002</v>
      </c>
      <c r="H36" s="75">
        <f>F36+'5'!H36</f>
        <v>1455.85</v>
      </c>
      <c r="I36" s="77">
        <f>Clinker!EJ8</f>
        <v>24924.486083976779</v>
      </c>
      <c r="J36" s="77">
        <f>Clinker!EK8</f>
        <v>1505</v>
      </c>
      <c r="K36" s="74">
        <f>J36+'5'!K36</f>
        <v>9978</v>
      </c>
      <c r="L36" s="74">
        <f>J36+'5'!L36</f>
        <v>95504</v>
      </c>
      <c r="M36" s="77">
        <f>Clinker!EL8</f>
        <v>1714.5940009825999</v>
      </c>
      <c r="N36" s="74">
        <f>M36+'5'!N36</f>
        <v>11208.917002767503</v>
      </c>
      <c r="O36" s="74">
        <f>M36+'5'!O36</f>
        <v>74070.648016632549</v>
      </c>
      <c r="P36" s="74">
        <f>I36+J36-M36-I22</f>
        <v>24714.892082994178</v>
      </c>
      <c r="Q36" s="96">
        <f t="shared" si="6"/>
        <v>63.582594000844949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Production2!AE8</f>
        <v>3</v>
      </c>
      <c r="G37" s="75">
        <f>F37+'5'!G37</f>
        <v>3</v>
      </c>
      <c r="H37" s="75">
        <f>F37+'5'!H37</f>
        <v>42.7</v>
      </c>
      <c r="I37" s="77">
        <f>Production2!BJ8</f>
        <v>188.29999999999995</v>
      </c>
      <c r="J37" s="77">
        <f>Production2!AF8</f>
        <v>207</v>
      </c>
      <c r="K37" s="74">
        <f>J37+'5'!K37</f>
        <v>207</v>
      </c>
      <c r="L37" s="74">
        <f>J37+'5'!L37</f>
        <v>2841</v>
      </c>
      <c r="M37" s="77">
        <f>Production2!BL8</f>
        <v>216</v>
      </c>
      <c r="N37" s="74">
        <f>M37+'5'!N37</f>
        <v>606</v>
      </c>
      <c r="O37" s="74">
        <f>M37+'5'!O37</f>
        <v>5644</v>
      </c>
      <c r="P37" s="74">
        <f>I37+J37+J43-M37-F61</f>
        <v>179.29999999999995</v>
      </c>
      <c r="Q37" s="96">
        <f t="shared" si="6"/>
        <v>69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Production2!AB8</f>
        <v>16</v>
      </c>
      <c r="G38" s="75">
        <f>F38+'5'!G38</f>
        <v>104.93</v>
      </c>
      <c r="H38" s="75">
        <f>F38+'5'!H38</f>
        <v>603.4</v>
      </c>
      <c r="I38" s="77">
        <f>Production2!BF8</f>
        <v>2099.7279999999782</v>
      </c>
      <c r="J38" s="77">
        <f>Production2!AC8</f>
        <v>1129</v>
      </c>
      <c r="K38" s="74">
        <f>J38+'5'!K38</f>
        <v>6970</v>
      </c>
      <c r="L38" s="74">
        <f>J38+'5'!L38</f>
        <v>38300</v>
      </c>
      <c r="M38" s="77">
        <f>Production2!BH8</f>
        <v>2367.56</v>
      </c>
      <c r="N38" s="74">
        <f>M38+'5'!N38</f>
        <v>13537.56</v>
      </c>
      <c r="O38" s="74">
        <f>M38+'5'!O38</f>
        <v>94280.389999999985</v>
      </c>
      <c r="P38" s="74">
        <f>I38+J38+J44-M38-F59</f>
        <v>1459.1679999999783</v>
      </c>
      <c r="Q38" s="96">
        <f t="shared" si="6"/>
        <v>70.5625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Production2!AH8</f>
        <v>0</v>
      </c>
      <c r="G39" s="75">
        <f>F39+'5'!G39</f>
        <v>0</v>
      </c>
      <c r="H39" s="75">
        <f>F39+'5'!H39</f>
        <v>0</v>
      </c>
      <c r="I39" s="77">
        <f>Production2!BN8</f>
        <v>9.0000000000849845E-2</v>
      </c>
      <c r="J39" s="77">
        <f>Production2!AI8</f>
        <v>0</v>
      </c>
      <c r="K39" s="74">
        <f>J39+'5'!K39</f>
        <v>0</v>
      </c>
      <c r="L39" s="74">
        <f>J39+'5'!L39</f>
        <v>0</v>
      </c>
      <c r="M39" s="77">
        <f>Production2!BP8</f>
        <v>0</v>
      </c>
      <c r="N39" s="74">
        <f>M39+'5'!N39</f>
        <v>0</v>
      </c>
      <c r="O39" s="74">
        <f>M39+'5'!O39</f>
        <v>-0.15</v>
      </c>
      <c r="P39" s="74">
        <f>I39+J39+J45-M39-F60</f>
        <v>9.0000000000849845E-2</v>
      </c>
      <c r="Q39" s="96" t="e">
        <f>J39/F39</f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Production2!AK8</f>
        <v>0</v>
      </c>
      <c r="G40" s="75">
        <f>F40+'5'!G40</f>
        <v>0</v>
      </c>
      <c r="H40" s="75">
        <f>F40+'5'!H40</f>
        <v>5</v>
      </c>
      <c r="I40" s="195">
        <f>Production2!BR8</f>
        <v>92.700000000000045</v>
      </c>
      <c r="J40" s="195">
        <f>Production2!AL8</f>
        <v>0</v>
      </c>
      <c r="K40" s="74">
        <f>J40+'5'!K40</f>
        <v>0</v>
      </c>
      <c r="L40" s="74">
        <f>J40+'5'!L40</f>
        <v>300</v>
      </c>
      <c r="M40" s="195">
        <f>Production2!BT8</f>
        <v>0</v>
      </c>
      <c r="N40" s="74">
        <f>M40+'5'!N40</f>
        <v>543</v>
      </c>
      <c r="O40" s="74">
        <f>M40+'5'!O40</f>
        <v>3575.5</v>
      </c>
      <c r="P40" s="74">
        <f>I40+J40+J46-M40-F62</f>
        <v>92.700000000000045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Production2!AN8</f>
        <v>5</v>
      </c>
      <c r="G41" s="75">
        <f>F41+'5'!G41</f>
        <v>8</v>
      </c>
      <c r="H41" s="75">
        <f>F41+'5'!H41</f>
        <v>134.16999999999999</v>
      </c>
      <c r="I41" s="195">
        <f>Production2!BV8</f>
        <v>200.66000000000017</v>
      </c>
      <c r="J41" s="195">
        <f>Production2!AO8</f>
        <v>344</v>
      </c>
      <c r="K41" s="74">
        <f>J41+'5'!K41</f>
        <v>556</v>
      </c>
      <c r="L41" s="74">
        <f>J41+'5'!L41</f>
        <v>8734</v>
      </c>
      <c r="M41" s="77">
        <f>Production2!BX8</f>
        <v>265.57</v>
      </c>
      <c r="N41" s="74">
        <f>M41+'5'!N41</f>
        <v>1444.3099999999997</v>
      </c>
      <c r="O41" s="74">
        <f>M41+'5'!O41</f>
        <v>15439.619999999999</v>
      </c>
      <c r="P41" s="74">
        <f>I41+J41+J47-M41</f>
        <v>279.0900000000002</v>
      </c>
      <c r="Q41" s="96">
        <f t="shared" si="6"/>
        <v>68.8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8">G37+G38+G39+G40+G41</f>
        <v>115.93</v>
      </c>
      <c r="H42" s="132">
        <f t="shared" si="8"/>
        <v>785.27</v>
      </c>
      <c r="I42" s="122">
        <f>I37+I38+I39+I40+I41</f>
        <v>2581.4779999999796</v>
      </c>
      <c r="J42" s="122">
        <f>J37+J38+J39+J40+J41</f>
        <v>1680</v>
      </c>
      <c r="K42" s="122">
        <f>K37+K38+K39+K40+K41</f>
        <v>7733</v>
      </c>
      <c r="L42" s="122">
        <f>L37+L38+L39+L40+L41</f>
        <v>50175</v>
      </c>
      <c r="M42" s="122">
        <f t="shared" ref="M42:P42" si="9">M37+M38+M39+M40+M41</f>
        <v>2849.13</v>
      </c>
      <c r="N42" s="122">
        <f t="shared" si="9"/>
        <v>16130.869999999999</v>
      </c>
      <c r="O42" s="122">
        <f t="shared" si="9"/>
        <v>118939.35999999999</v>
      </c>
      <c r="P42" s="122">
        <f t="shared" si="9"/>
        <v>2010.3479999999793</v>
      </c>
      <c r="Q42" s="123">
        <f>J42/F42</f>
        <v>70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Production2!AT8</f>
        <v>0</v>
      </c>
      <c r="G43" s="75">
        <f>F43+'5'!G43</f>
        <v>0</v>
      </c>
      <c r="H43" s="75">
        <f>F43+'5'!H43</f>
        <v>45.429999999999993</v>
      </c>
      <c r="I43" s="471"/>
      <c r="J43" s="77">
        <f>Production2!AU8</f>
        <v>0</v>
      </c>
      <c r="K43" s="74">
        <f>J43+'5'!K43</f>
        <v>0</v>
      </c>
      <c r="L43" s="74">
        <f>J43+'5'!L43</f>
        <v>2750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Production2!AQ8</f>
        <v>9.7100000000000009</v>
      </c>
      <c r="G44" s="75">
        <f>F44+'5'!G44</f>
        <v>103.72999999999999</v>
      </c>
      <c r="H44" s="75">
        <f>F44+'5'!H44</f>
        <v>954.1400000000001</v>
      </c>
      <c r="I44" s="472"/>
      <c r="J44" s="77">
        <f>Production2!AR8</f>
        <v>598</v>
      </c>
      <c r="K44" s="74">
        <f>J44+'5'!K44</f>
        <v>6210</v>
      </c>
      <c r="L44" s="74">
        <f>J44+'5'!L44</f>
        <v>56171</v>
      </c>
      <c r="M44" s="545"/>
      <c r="N44" s="546"/>
      <c r="O44" s="546"/>
      <c r="P44" s="547"/>
      <c r="Q44" s="96">
        <f t="shared" si="6"/>
        <v>61.585993820803289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Production2!AW8</f>
        <v>0</v>
      </c>
      <c r="G45" s="75">
        <f>F45+'5'!G45</f>
        <v>0</v>
      </c>
      <c r="H45" s="75">
        <f>F45+'5'!H45</f>
        <v>0</v>
      </c>
      <c r="I45" s="472"/>
      <c r="J45" s="77">
        <f>Production2!AX8</f>
        <v>0</v>
      </c>
      <c r="K45" s="74">
        <f>J45+'5'!K45</f>
        <v>0</v>
      </c>
      <c r="L45" s="74">
        <f>J45+'5'!L45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Production2!AZ8</f>
        <v>0</v>
      </c>
      <c r="G46" s="75">
        <f>F46+'5'!G46</f>
        <v>9</v>
      </c>
      <c r="H46" s="75">
        <f>F46+'5'!H46</f>
        <v>56.88</v>
      </c>
      <c r="I46" s="473"/>
      <c r="J46" s="195">
        <f>Production2!BA8</f>
        <v>0</v>
      </c>
      <c r="K46" s="74">
        <f>J46+'5'!K46</f>
        <v>508</v>
      </c>
      <c r="L46" s="74">
        <f>J46+'5'!L46</f>
        <v>3155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Production2!BC8</f>
        <v>0</v>
      </c>
      <c r="G47" s="75">
        <f>F47+'5'!G47</f>
        <v>0</v>
      </c>
      <c r="H47" s="75">
        <f>F47+'5'!H47</f>
        <v>108.67</v>
      </c>
      <c r="I47" s="425"/>
      <c r="J47" s="195">
        <f>Production2!BD8</f>
        <v>0</v>
      </c>
      <c r="K47" s="74">
        <f>J47+'5'!K47</f>
        <v>0</v>
      </c>
      <c r="L47" s="74">
        <f>J47+'5'!L47</f>
        <v>6615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9.7100000000000009</v>
      </c>
      <c r="G48" s="132">
        <f t="shared" ref="G48" si="10">G43+G44+G45+G46+G47</f>
        <v>112.72999999999999</v>
      </c>
      <c r="H48" s="132">
        <f>H43+H44+H45+H46+H47</f>
        <v>1165.1200000000001</v>
      </c>
      <c r="I48" s="132">
        <f>I43+I44+I45+I46+I47</f>
        <v>0</v>
      </c>
      <c r="J48" s="132">
        <f>J43+J44+J45+J46+J47</f>
        <v>598</v>
      </c>
      <c r="K48" s="132">
        <f>K43+K44+K45+K46+K47</f>
        <v>6718</v>
      </c>
      <c r="L48" s="132">
        <f>L43+L44+L45+L46+L47</f>
        <v>68691</v>
      </c>
      <c r="M48" s="132"/>
      <c r="N48" s="132"/>
      <c r="O48" s="132"/>
      <c r="P48" s="132"/>
      <c r="Q48" s="123">
        <f t="shared" si="6"/>
        <v>61.585993820803289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0.45568521554634006</v>
      </c>
      <c r="F52" s="99">
        <f>F55/(J33+J34)</f>
        <v>24.662349016039535</v>
      </c>
      <c r="G52" s="99">
        <f>G55/J34</f>
        <v>0</v>
      </c>
      <c r="H52" s="99">
        <f>H55/J36</f>
        <v>35.764784053156149</v>
      </c>
      <c r="I52" s="99">
        <f>I55/J35</f>
        <v>53.569037656903767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15.946843853820598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0.71971013777651183</v>
      </c>
      <c r="F53" s="102">
        <f>F52*1.55</f>
        <v>38.226640974861283</v>
      </c>
      <c r="G53" s="102">
        <f>G52*1.55</f>
        <v>0</v>
      </c>
      <c r="H53" s="102">
        <f>H52</f>
        <v>35.764784053156149</v>
      </c>
      <c r="I53" s="102">
        <f>I52*(Q52/100)</f>
        <v>8.5425707891408003</v>
      </c>
      <c r="J53" s="102"/>
      <c r="K53" s="102"/>
      <c r="L53" s="102"/>
      <c r="M53" s="96"/>
      <c r="N53" s="103"/>
      <c r="O53" s="516" t="s">
        <v>298</v>
      </c>
      <c r="P53" s="516"/>
      <c r="Q53" s="104">
        <v>5370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0.54170793884019663</v>
      </c>
      <c r="F54" s="102">
        <f>F53*M20/100</f>
        <v>28.77224288551923</v>
      </c>
      <c r="G54" s="102">
        <f>G53*M20/100</f>
        <v>0</v>
      </c>
      <c r="H54" s="102">
        <f>H53*M20/100</f>
        <v>26.919264347664484</v>
      </c>
      <c r="I54" s="102">
        <f>I53*M20/100</f>
        <v>6.4297807849122091</v>
      </c>
      <c r="J54" s="99">
        <f>J55/(J42+J48)</f>
        <v>41.641352063213347</v>
      </c>
      <c r="K54" s="99">
        <f>K55/(J48+J42)</f>
        <v>0.87093942054433715</v>
      </c>
      <c r="L54" s="99">
        <f>L55/(M42)</f>
        <v>2.162765475776816</v>
      </c>
      <c r="M54" s="96">
        <f>M55/(J48+J42)</f>
        <v>2.055750658472344</v>
      </c>
      <c r="N54" s="306">
        <f>SUM(E54:M54)</f>
        <v>109.39380357494296</v>
      </c>
      <c r="O54" s="516" t="s">
        <v>300</v>
      </c>
      <c r="P54" s="516"/>
      <c r="Q54" s="104">
        <f>Q53*Q52/100</f>
        <v>856.34551495016615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unit'!B8</f>
        <v>1512</v>
      </c>
      <c r="F55" s="118">
        <f>'Daily unit'!C8</f>
        <v>55292</v>
      </c>
      <c r="G55" s="118">
        <v>0</v>
      </c>
      <c r="H55" s="118">
        <f>'Daily unit'!E8</f>
        <v>53826</v>
      </c>
      <c r="I55" s="118">
        <f>'Daily unit'!F8</f>
        <v>12803</v>
      </c>
      <c r="J55" s="118">
        <f>'Daily unit'!G8</f>
        <v>94859</v>
      </c>
      <c r="K55" s="118">
        <f>'Daily unit'!H8</f>
        <v>1984</v>
      </c>
      <c r="L55" s="118">
        <f>'Daily unit'!I8</f>
        <v>6162</v>
      </c>
      <c r="M55" s="119">
        <f>'Daily unit'!J8</f>
        <v>4683</v>
      </c>
      <c r="N55" s="317">
        <f>SUM(E55:M55)</f>
        <v>231121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 thickBot="1">
      <c r="B58" s="214" t="s">
        <v>250</v>
      </c>
      <c r="C58" s="688" t="s">
        <v>304</v>
      </c>
      <c r="D58" s="688"/>
      <c r="E58" s="688"/>
      <c r="F58" s="215" t="s">
        <v>305</v>
      </c>
      <c r="G58" s="215" t="s">
        <v>27</v>
      </c>
      <c r="H58" s="216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468">
        <v>1</v>
      </c>
      <c r="C59" s="465" t="s">
        <v>306</v>
      </c>
      <c r="D59" s="465"/>
      <c r="E59" s="217">
        <v>42.5</v>
      </c>
      <c r="F59" s="218">
        <f>'Internal use cement'!F8</f>
        <v>0</v>
      </c>
      <c r="G59" s="218">
        <f>F59+'5'!G59</f>
        <v>0</v>
      </c>
      <c r="H59" s="219">
        <f>F59+'5'!H59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469"/>
      <c r="C60" s="466"/>
      <c r="D60" s="466"/>
      <c r="E60" s="80" t="s">
        <v>211</v>
      </c>
      <c r="F60" s="53">
        <f>'Internal use cement'!Q8</f>
        <v>0</v>
      </c>
      <c r="G60" s="53">
        <f>F60+'5'!G60</f>
        <v>0</v>
      </c>
      <c r="H60" s="104">
        <f>F60+'5'!H60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469"/>
      <c r="C61" s="466"/>
      <c r="D61" s="466"/>
      <c r="E61" s="80">
        <v>32.5</v>
      </c>
      <c r="F61" s="53">
        <f>'Internal use cement'!AB8</f>
        <v>0</v>
      </c>
      <c r="G61" s="53">
        <f>F61+'5'!G61</f>
        <v>0</v>
      </c>
      <c r="H61" s="104">
        <f>F61+'5'!H61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470"/>
      <c r="C62" s="467"/>
      <c r="D62" s="467"/>
      <c r="E62" s="213" t="s">
        <v>187</v>
      </c>
      <c r="F62" s="113">
        <f>'Internal use cement'!AJ8</f>
        <v>0</v>
      </c>
      <c r="G62" s="113">
        <f>F62+'5'!G62</f>
        <v>0</v>
      </c>
      <c r="H62" s="114">
        <f>F62+'5'!H62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5"/>
      <c r="S65" s="115"/>
    </row>
    <row r="66" spans="2:19">
      <c r="R66" s="116"/>
      <c r="S66" s="116"/>
    </row>
    <row r="67" spans="2:19">
      <c r="R67" s="94"/>
      <c r="S67" s="94"/>
    </row>
    <row r="68" spans="2:19">
      <c r="R68" s="94"/>
      <c r="S68" s="94"/>
    </row>
    <row r="69" spans="2:19">
      <c r="R69" s="94"/>
      <c r="S69" s="94"/>
    </row>
    <row r="70" spans="2:19">
      <c r="R70" s="109"/>
      <c r="S70" s="109"/>
    </row>
    <row r="71" spans="2:19">
      <c r="R71" s="94"/>
      <c r="S71" s="94"/>
    </row>
    <row r="72" spans="2:19">
      <c r="R72" s="117"/>
      <c r="S72" s="117"/>
    </row>
    <row r="73" spans="2:19">
      <c r="R73" s="117"/>
      <c r="S73" s="117"/>
    </row>
    <row r="74" spans="2:19">
      <c r="R74" s="117"/>
      <c r="S74" s="117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2:19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</sheetData>
  <mergeCells count="84">
    <mergeCell ref="C54:D54"/>
    <mergeCell ref="O54:P54"/>
    <mergeCell ref="C24:D24"/>
    <mergeCell ref="B25:B26"/>
    <mergeCell ref="M25:N26"/>
    <mergeCell ref="F30:H30"/>
    <mergeCell ref="P33:P34"/>
    <mergeCell ref="J30:L30"/>
    <mergeCell ref="M30:O30"/>
    <mergeCell ref="I57:Q62"/>
    <mergeCell ref="B37:B42"/>
    <mergeCell ref="C37:C42"/>
    <mergeCell ref="B28:Q28"/>
    <mergeCell ref="B29:Q29"/>
    <mergeCell ref="B30:B31"/>
    <mergeCell ref="C30:D31"/>
    <mergeCell ref="B57:H57"/>
    <mergeCell ref="C58:E58"/>
    <mergeCell ref="B43:B48"/>
    <mergeCell ref="C43:C48"/>
    <mergeCell ref="I43:I46"/>
    <mergeCell ref="O50:Q50"/>
    <mergeCell ref="M43:P47"/>
    <mergeCell ref="P30:P31"/>
    <mergeCell ref="B56:Q56"/>
    <mergeCell ref="B2:Q2"/>
    <mergeCell ref="B3:Q3"/>
    <mergeCell ref="C32:D32"/>
    <mergeCell ref="C33:D33"/>
    <mergeCell ref="C35:D35"/>
    <mergeCell ref="C19:Q19"/>
    <mergeCell ref="B20:B22"/>
    <mergeCell ref="C20:C22"/>
    <mergeCell ref="N20:N22"/>
    <mergeCell ref="O20:O27"/>
    <mergeCell ref="P20:Q22"/>
    <mergeCell ref="Q23:Q24"/>
    <mergeCell ref="I33:I34"/>
    <mergeCell ref="M33:M34"/>
    <mergeCell ref="N33:N34"/>
    <mergeCell ref="O33:O34"/>
    <mergeCell ref="Q6:Q7"/>
    <mergeCell ref="C55:D55"/>
    <mergeCell ref="C36:D36"/>
    <mergeCell ref="C53:D53"/>
    <mergeCell ref="B50:N50"/>
    <mergeCell ref="C27:D27"/>
    <mergeCell ref="C25:C26"/>
    <mergeCell ref="C23:D23"/>
    <mergeCell ref="O53:P53"/>
    <mergeCell ref="C51:D51"/>
    <mergeCell ref="O51:P51"/>
    <mergeCell ref="C52:D52"/>
    <mergeCell ref="O52:P52"/>
    <mergeCell ref="C34:D34"/>
    <mergeCell ref="P6:P7"/>
    <mergeCell ref="B49:Q49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59:D62"/>
    <mergeCell ref="B59:B62"/>
    <mergeCell ref="C16:C18"/>
    <mergeCell ref="C8:Q8"/>
    <mergeCell ref="C11:D11"/>
    <mergeCell ref="C12:D12"/>
    <mergeCell ref="C15:D15"/>
    <mergeCell ref="P15:Q15"/>
    <mergeCell ref="O9:O18"/>
    <mergeCell ref="C10:D10"/>
    <mergeCell ref="C9:D9"/>
    <mergeCell ref="M27:N27"/>
    <mergeCell ref="B16:B18"/>
    <mergeCell ref="Q30:Q31"/>
    <mergeCell ref="P25:Q27"/>
    <mergeCell ref="I30:I31"/>
  </mergeCells>
  <pageMargins left="0.2" right="0.2" top="0.75" bottom="0.75" header="0.3" footer="0.3"/>
  <pageSetup paperSize="9" scale="5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B2:U158"/>
  <sheetViews>
    <sheetView zoomScale="90" zoomScaleNormal="90" workbookViewId="0">
      <pane xSplit="4" ySplit="1" topLeftCell="E56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9" width="9.140625" style="68"/>
    <col min="20" max="20" width="10.42578125" style="68" bestFit="1" customWidth="1"/>
    <col min="21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318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 t="s">
        <v>309</v>
      </c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73" t="s">
        <v>263</v>
      </c>
      <c r="D9" s="73" t="s">
        <v>74</v>
      </c>
      <c r="E9" s="74">
        <f>'6'!L9</f>
        <v>19785.746929606172</v>
      </c>
      <c r="F9" s="74">
        <f>Production2!D9</f>
        <v>2312.04</v>
      </c>
      <c r="G9" s="74">
        <f>F9+'6'!G9</f>
        <v>21559.560000000005</v>
      </c>
      <c r="H9" s="74">
        <f>F9+'6'!H9</f>
        <v>178426.84000000003</v>
      </c>
      <c r="I9" s="74">
        <f>Production2!E9</f>
        <v>2410</v>
      </c>
      <c r="J9" s="74">
        <f>I9+'6'!J9</f>
        <v>18547</v>
      </c>
      <c r="K9" s="74">
        <f>I9+'6'!K9</f>
        <v>158578</v>
      </c>
      <c r="L9" s="74">
        <f>E9+F9-I9-I23</f>
        <v>19390.898040717282</v>
      </c>
      <c r="M9" s="75">
        <f>I9</f>
        <v>2410</v>
      </c>
      <c r="N9" s="75">
        <f>(I9/I15)*100</f>
        <v>93.993759750390012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(2)'!L9</f>
        <v>2867.6600000000003</v>
      </c>
      <c r="F10" s="77">
        <f>'Mines (2)'!M9</f>
        <v>0</v>
      </c>
      <c r="G10" s="74">
        <f>F10+'6'!G10</f>
        <v>222.22000000000003</v>
      </c>
      <c r="H10" s="74">
        <f>F10+'6'!H10</f>
        <v>5491.6200000000008</v>
      </c>
      <c r="I10" s="77">
        <f>'Mines (2)'!N9</f>
        <v>77</v>
      </c>
      <c r="J10" s="74">
        <f>I10+'6'!J10</f>
        <v>343</v>
      </c>
      <c r="K10" s="74">
        <f>I10+'6'!K10</f>
        <v>2825</v>
      </c>
      <c r="L10" s="77">
        <f t="shared" ref="L10:L15" si="0">E10+F10-I10</f>
        <v>2790.6600000000003</v>
      </c>
      <c r="M10" s="75">
        <f t="shared" ref="M10:M12" si="1">I10</f>
        <v>77</v>
      </c>
      <c r="N10" s="75">
        <f>(I10/I15)*100</f>
        <v>3.0031201248049921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Clinker!C9</f>
        <v>2262.92</v>
      </c>
      <c r="F11" s="77">
        <f>Clinker!D9</f>
        <v>0</v>
      </c>
      <c r="G11" s="74">
        <f>F11+'6'!G11</f>
        <v>0</v>
      </c>
      <c r="H11" s="74">
        <f>F11+'6'!H11</f>
        <v>417.28000000000003</v>
      </c>
      <c r="I11" s="77">
        <f>Clinker!E9</f>
        <v>77</v>
      </c>
      <c r="J11" s="74">
        <f>I11+'6'!J11</f>
        <v>462</v>
      </c>
      <c r="K11" s="74">
        <f>I11+'6'!K11</f>
        <v>3597</v>
      </c>
      <c r="L11" s="77">
        <f t="shared" si="0"/>
        <v>2185.92</v>
      </c>
      <c r="M11" s="75">
        <f t="shared" si="1"/>
        <v>77</v>
      </c>
      <c r="N11" s="75">
        <f>(I11/I15)*100</f>
        <v>3.0031201248049921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(2)'!Q9</f>
        <v>3.999999999996362E-2</v>
      </c>
      <c r="F12" s="77">
        <f>'Mines (2)'!R9</f>
        <v>0</v>
      </c>
      <c r="G12" s="74">
        <f>F12+'6'!G12</f>
        <v>0</v>
      </c>
      <c r="H12" s="74">
        <f>F12+'6'!H12</f>
        <v>137.76</v>
      </c>
      <c r="I12" s="77">
        <f>'Mines (2)'!S9</f>
        <v>0</v>
      </c>
      <c r="J12" s="74">
        <f>I12+'6'!J12</f>
        <v>0</v>
      </c>
      <c r="K12" s="74">
        <f>I12+'6'!K12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24916.366929606171</v>
      </c>
      <c r="F15" s="127">
        <f t="shared" si="2"/>
        <v>2312.04</v>
      </c>
      <c r="G15" s="127">
        <f t="shared" si="2"/>
        <v>21781.780000000006</v>
      </c>
      <c r="H15" s="127">
        <f t="shared" si="2"/>
        <v>184473.50000000003</v>
      </c>
      <c r="I15" s="127">
        <f t="shared" si="2"/>
        <v>2564</v>
      </c>
      <c r="J15" s="127">
        <f t="shared" si="2"/>
        <v>19352</v>
      </c>
      <c r="K15" s="127">
        <f t="shared" si="2"/>
        <v>165738</v>
      </c>
      <c r="L15" s="127">
        <f t="shared" si="0"/>
        <v>24664.406929606172</v>
      </c>
      <c r="M15" s="128">
        <f>SUM(M9:M12)</f>
        <v>2564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Clinker!EB9</f>
        <v>3608.3569999999909</v>
      </c>
      <c r="F16" s="77">
        <f>Clinker!EC9</f>
        <v>0</v>
      </c>
      <c r="G16" s="77">
        <f>F16+'6'!G16</f>
        <v>684.84</v>
      </c>
      <c r="H16" s="77">
        <f>F16+'6'!H16</f>
        <v>1490.0800000000002</v>
      </c>
      <c r="I16" s="77">
        <f>Clinker!ED9</f>
        <v>250</v>
      </c>
      <c r="J16" s="77">
        <f>I16+'6'!J16</f>
        <v>1954.56</v>
      </c>
      <c r="K16" s="77">
        <f>I16+'6'!K16</f>
        <v>16671.870000000003</v>
      </c>
      <c r="L16" s="77">
        <f>E16+F16-I16-Clinker!N9-Clinker!Z9-Clinker!AS9-Clinker!AX9-Clinker!BC9-Clinker!BW9-Clinker!BH9-Clinker!BM9-Clinker!BR9-Clinker!CV9</f>
        <v>3358.3569999999909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20">
      <c r="B17" s="512"/>
      <c r="C17" s="517"/>
      <c r="D17" s="80" t="s">
        <v>62</v>
      </c>
      <c r="E17" s="77">
        <f>Clinker!EF9</f>
        <v>4156.2199999999939</v>
      </c>
      <c r="F17" s="77">
        <f>Clinker!EG9</f>
        <v>0</v>
      </c>
      <c r="G17" s="77">
        <f>F17+'6'!G17</f>
        <v>969.5</v>
      </c>
      <c r="H17" s="77">
        <f>F17+'6'!H17</f>
        <v>3110.45</v>
      </c>
      <c r="I17" s="77">
        <f>Clinker!EH9</f>
        <v>138</v>
      </c>
      <c r="J17" s="77">
        <f>I17+'6'!J17</f>
        <v>1000</v>
      </c>
      <c r="K17" s="77">
        <f>I17+'6'!K17</f>
        <v>9172</v>
      </c>
      <c r="L17" s="77">
        <f>E17+F17-Clinker!AE9-Clinker!AJ9-Clinker!CL9-Clinker!CQ9-Clinker!CG9</f>
        <v>4018.2199999999939</v>
      </c>
      <c r="M17" s="81"/>
      <c r="N17" s="81"/>
      <c r="O17" s="515"/>
      <c r="P17" s="53"/>
      <c r="Q17" s="82"/>
      <c r="R17" s="83"/>
      <c r="S17" s="83"/>
    </row>
    <row r="18" spans="2:20">
      <c r="B18" s="512"/>
      <c r="C18" s="476"/>
      <c r="D18" s="124" t="s">
        <v>162</v>
      </c>
      <c r="E18" s="125">
        <f>E16+E17</f>
        <v>7764.5769999999848</v>
      </c>
      <c r="F18" s="125">
        <f>F16+F17</f>
        <v>0</v>
      </c>
      <c r="G18" s="125">
        <f t="shared" ref="G18:K18" si="3">G16+G17</f>
        <v>1654.3400000000001</v>
      </c>
      <c r="H18" s="125">
        <f t="shared" si="3"/>
        <v>4600.53</v>
      </c>
      <c r="I18" s="125">
        <f>I16+I17</f>
        <v>388</v>
      </c>
      <c r="J18" s="125">
        <f>J16+J17</f>
        <v>2954.56</v>
      </c>
      <c r="K18" s="125">
        <f t="shared" si="3"/>
        <v>25843.870000000003</v>
      </c>
      <c r="L18" s="125">
        <f>E18+F18-I18</f>
        <v>7376.5769999999848</v>
      </c>
      <c r="M18" s="126"/>
      <c r="N18" s="126"/>
      <c r="O18" s="515"/>
      <c r="P18" s="84"/>
      <c r="Q18" s="131"/>
      <c r="R18" s="83"/>
      <c r="S18" s="83"/>
    </row>
    <row r="19" spans="2:20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20">
      <c r="B20" s="512">
        <v>7</v>
      </c>
      <c r="C20" s="477" t="s">
        <v>268</v>
      </c>
      <c r="D20" s="85" t="s">
        <v>269</v>
      </c>
      <c r="E20" s="74">
        <f>Clinker!EJ9</f>
        <v>24714.892082994178</v>
      </c>
      <c r="F20" s="74">
        <f>Clinker!EK9</f>
        <v>1480</v>
      </c>
      <c r="G20" s="74">
        <f>F20+'6'!G20</f>
        <v>11458</v>
      </c>
      <c r="H20" s="74">
        <f>F20+'6'!H20</f>
        <v>96984</v>
      </c>
      <c r="I20" s="74">
        <f>Clinker!EL9</f>
        <v>1090.8039989680001</v>
      </c>
      <c r="J20" s="74">
        <f>I20+'6'!J20</f>
        <v>12299.721001735503</v>
      </c>
      <c r="K20" s="74">
        <f>I20+'6'!K20</f>
        <v>75161.452015600546</v>
      </c>
      <c r="L20" s="74">
        <f>E20+F20-I20-I22</f>
        <v>25104.088084026178</v>
      </c>
      <c r="M20" s="75">
        <f>((I20+I21)/(J42+J48))*100</f>
        <v>76.279999927832179</v>
      </c>
      <c r="N20" s="525"/>
      <c r="O20" s="527"/>
      <c r="P20" s="535"/>
      <c r="Q20" s="536"/>
      <c r="R20" s="190"/>
      <c r="S20" s="190"/>
    </row>
    <row r="21" spans="2:20" ht="45">
      <c r="B21" s="512"/>
      <c r="C21" s="477"/>
      <c r="D21" s="85" t="s">
        <v>70</v>
      </c>
      <c r="E21" s="74">
        <f>Clinker!EO9</f>
        <v>5306.1090080001359</v>
      </c>
      <c r="F21" s="74">
        <f>Clinker!EP9</f>
        <v>0</v>
      </c>
      <c r="G21" s="74">
        <f>F21+'6'!G21</f>
        <v>0</v>
      </c>
      <c r="H21" s="74">
        <f>F21+'6'!H21</f>
        <v>13390.660000000003</v>
      </c>
      <c r="I21" s="74">
        <f>Clinker!EQ9</f>
        <v>0</v>
      </c>
      <c r="J21" s="74">
        <f>I21+'6'!J21</f>
        <v>0</v>
      </c>
      <c r="K21" s="74">
        <f>I21+'6'!K21</f>
        <v>16934.099999999999</v>
      </c>
      <c r="L21" s="74">
        <f>E21+F21-I21</f>
        <v>5306.1090080001359</v>
      </c>
      <c r="M21" s="75"/>
      <c r="N21" s="525"/>
      <c r="O21" s="527"/>
      <c r="P21" s="535"/>
      <c r="Q21" s="536"/>
      <c r="R21" s="20"/>
      <c r="S21" s="20"/>
      <c r="T21" s="176"/>
    </row>
    <row r="22" spans="2:20" ht="30">
      <c r="B22" s="512"/>
      <c r="C22" s="524"/>
      <c r="D22" s="86" t="s">
        <v>270</v>
      </c>
      <c r="E22" s="77"/>
      <c r="F22" s="77">
        <f>Clinker!EN9</f>
        <v>0</v>
      </c>
      <c r="G22" s="74">
        <f>F22+'6'!G22</f>
        <v>0</v>
      </c>
      <c r="H22" s="74">
        <f>F22+'6'!H22</f>
        <v>0</v>
      </c>
      <c r="I22" s="77">
        <f>Clinker!EN9</f>
        <v>0</v>
      </c>
      <c r="J22" s="74">
        <f>I22+'6'!J22</f>
        <v>0</v>
      </c>
      <c r="K22" s="74">
        <f>I22+'6'!K22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20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Cement!S9</f>
        <v>296.8888888888888</v>
      </c>
      <c r="J23" s="74">
        <f>I23+'6'!J23</f>
        <v>3089.4622216138855</v>
      </c>
      <c r="K23" s="74">
        <f>I23+'6'!K23</f>
        <v>23562.813656466566</v>
      </c>
      <c r="L23" s="74"/>
      <c r="M23" s="78">
        <f>(I23/(J42+J48))*100</f>
        <v>20.761460761460757</v>
      </c>
      <c r="N23" s="78"/>
      <c r="O23" s="527"/>
      <c r="P23" s="87">
        <v>10</v>
      </c>
      <c r="Q23" s="572"/>
      <c r="R23" s="20"/>
      <c r="S23" s="20"/>
    </row>
    <row r="24" spans="2:20">
      <c r="B24" s="89">
        <v>9</v>
      </c>
      <c r="C24" s="517" t="s">
        <v>271</v>
      </c>
      <c r="D24" s="517"/>
      <c r="E24" s="77">
        <f>Cement!C9</f>
        <v>3472.4073817667454</v>
      </c>
      <c r="F24" s="77">
        <f>Cement!D9</f>
        <v>0</v>
      </c>
      <c r="G24" s="74">
        <f>F24+'6'!G24</f>
        <v>31.2</v>
      </c>
      <c r="H24" s="74">
        <f>F24+'6'!H24</f>
        <v>2157.8199999999997</v>
      </c>
      <c r="I24" s="77">
        <f>Cement!F9</f>
        <v>75.785264244210396</v>
      </c>
      <c r="J24" s="74">
        <f>I24+'6'!J24</f>
        <v>842.9084198021053</v>
      </c>
      <c r="K24" s="74">
        <f>I24+'6'!K24</f>
        <v>6206.5779416272489</v>
      </c>
      <c r="L24" s="74">
        <f>E24+F24-I24</f>
        <v>3396.6221175225351</v>
      </c>
      <c r="M24" s="78">
        <f>(I24/(J42+J48))*100</f>
        <v>5.2996688282664612</v>
      </c>
      <c r="N24" s="78"/>
      <c r="O24" s="527"/>
      <c r="P24" s="87">
        <v>5</v>
      </c>
      <c r="Q24" s="573"/>
      <c r="R24" s="20"/>
      <c r="S24" s="20"/>
    </row>
    <row r="25" spans="2:20">
      <c r="B25" s="512"/>
      <c r="C25" s="476" t="s">
        <v>272</v>
      </c>
      <c r="D25" s="76" t="s">
        <v>82</v>
      </c>
      <c r="E25" s="77"/>
      <c r="F25" s="77">
        <f>Cement!I9</f>
        <v>0</v>
      </c>
      <c r="G25" s="74">
        <f>F25+'6'!G25</f>
        <v>0</v>
      </c>
      <c r="H25" s="74">
        <f>F25+'6'!H25</f>
        <v>0</v>
      </c>
      <c r="I25" s="77">
        <f>Cement!J9</f>
        <v>0</v>
      </c>
      <c r="J25" s="74">
        <f>I25+'6'!J25</f>
        <v>0</v>
      </c>
      <c r="K25" s="74">
        <f>I25+'6'!K25</f>
        <v>0</v>
      </c>
      <c r="L25" s="74"/>
      <c r="M25" s="532"/>
      <c r="N25" s="532"/>
      <c r="O25" s="527"/>
      <c r="P25" s="533"/>
      <c r="Q25" s="534"/>
      <c r="R25" s="83"/>
      <c r="S25" s="83"/>
    </row>
    <row r="26" spans="2:20">
      <c r="B26" s="512"/>
      <c r="C26" s="524"/>
      <c r="D26" s="76" t="s">
        <v>273</v>
      </c>
      <c r="E26" s="77"/>
      <c r="F26" s="77">
        <f>Cement!M9</f>
        <v>0</v>
      </c>
      <c r="G26" s="74">
        <f>F26+'6'!G26</f>
        <v>0</v>
      </c>
      <c r="H26" s="74">
        <f>F26+'6'!H26</f>
        <v>0</v>
      </c>
      <c r="I26" s="77">
        <f>Cement!N9</f>
        <v>0</v>
      </c>
      <c r="J26" s="74">
        <f>I26+'6'!J26</f>
        <v>0</v>
      </c>
      <c r="K26" s="74">
        <f>I26+'6'!K26</f>
        <v>0</v>
      </c>
      <c r="L26" s="74"/>
      <c r="M26" s="532"/>
      <c r="N26" s="532"/>
      <c r="O26" s="527"/>
      <c r="P26" s="535"/>
      <c r="Q26" s="536"/>
      <c r="R26" s="83"/>
      <c r="S26" s="83"/>
    </row>
    <row r="27" spans="2:20" ht="14.45" customHeight="1" thickBot="1">
      <c r="B27" s="90" t="s">
        <v>262</v>
      </c>
      <c r="C27" s="539" t="s">
        <v>274</v>
      </c>
      <c r="D27" s="539"/>
      <c r="E27" s="122">
        <f>E20+E21++E23+E24+E25+E26</f>
        <v>33493.408472761061</v>
      </c>
      <c r="F27" s="122">
        <f t="shared" ref="F27:L27" si="4">F20+F21++F23+F24+F25+F26</f>
        <v>1480</v>
      </c>
      <c r="G27" s="122">
        <f t="shared" si="4"/>
        <v>11489.2</v>
      </c>
      <c r="H27" s="122">
        <f t="shared" si="4"/>
        <v>112532.48000000001</v>
      </c>
      <c r="I27" s="122">
        <f>I20+I21+I23+I24</f>
        <v>1463.4781521010991</v>
      </c>
      <c r="J27" s="122">
        <f t="shared" ref="J27:K27" si="5">J20+J21+J23+J24</f>
        <v>16232.091643151492</v>
      </c>
      <c r="K27" s="122">
        <f t="shared" si="5"/>
        <v>121864.94361369437</v>
      </c>
      <c r="L27" s="122">
        <f t="shared" si="4"/>
        <v>33806.819209548848</v>
      </c>
      <c r="M27" s="540"/>
      <c r="N27" s="540"/>
      <c r="O27" s="528"/>
      <c r="P27" s="537"/>
      <c r="Q27" s="538"/>
      <c r="R27" s="83"/>
      <c r="S27" s="83"/>
    </row>
    <row r="28" spans="2:20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20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20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20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20">
      <c r="B32" s="91">
        <v>1</v>
      </c>
      <c r="C32" s="567" t="s">
        <v>281</v>
      </c>
      <c r="D32" s="568"/>
      <c r="E32" s="92">
        <v>250</v>
      </c>
      <c r="F32" s="75">
        <f>Production2!C9</f>
        <v>18.399999999999999</v>
      </c>
      <c r="G32" s="75">
        <f>F32+'6'!G32</f>
        <v>126.29000000000002</v>
      </c>
      <c r="H32" s="75">
        <f>F32+'6'!H32</f>
        <v>1095.42</v>
      </c>
      <c r="I32" s="74">
        <f>'Mines (2)'!C9+'Mines (2)'!H9+'Mines (2)'!V9+'Mines (2)'!Z9+'Mines (2)'!AD9</f>
        <v>19785.746929606168</v>
      </c>
      <c r="J32" s="74">
        <f>Production2!D9</f>
        <v>2312.04</v>
      </c>
      <c r="K32" s="74">
        <f>J32+'6'!K32</f>
        <v>21559.560000000005</v>
      </c>
      <c r="L32" s="74">
        <f>J32+'6'!L32</f>
        <v>178426.84000000003</v>
      </c>
      <c r="M32" s="74">
        <f>I9+I23</f>
        <v>2706.8888888888887</v>
      </c>
      <c r="N32" s="74">
        <f>M32+'6'!N32</f>
        <v>21636.462221613881</v>
      </c>
      <c r="O32" s="74">
        <f>M32+'6'!O32</f>
        <v>182140.81365646658</v>
      </c>
      <c r="P32" s="74">
        <f>I32+J32-M32</f>
        <v>19390.898040717278</v>
      </c>
      <c r="Q32" s="93">
        <f>J32/F32</f>
        <v>125.65434782608696</v>
      </c>
      <c r="R32" s="94"/>
      <c r="S32" s="94"/>
    </row>
    <row r="33" spans="2:20">
      <c r="B33" s="79">
        <v>2</v>
      </c>
      <c r="C33" s="501" t="s">
        <v>282</v>
      </c>
      <c r="D33" s="502"/>
      <c r="E33" s="95">
        <v>120</v>
      </c>
      <c r="F33" s="78">
        <f>Production2!G9</f>
        <v>19.93</v>
      </c>
      <c r="G33" s="75">
        <f>F33+'6'!G33</f>
        <v>131.22</v>
      </c>
      <c r="H33" s="75">
        <f>F33+'6'!H33</f>
        <v>1200.7599999999998</v>
      </c>
      <c r="I33" s="541">
        <f>Production2!H9</f>
        <v>922.4900168375184</v>
      </c>
      <c r="J33" s="78">
        <f>Production2!N9</f>
        <v>2180</v>
      </c>
      <c r="K33" s="74">
        <f>J33+'6'!K33</f>
        <v>16199</v>
      </c>
      <c r="L33" s="74">
        <f>J33+'6'!L33</f>
        <v>142484.59</v>
      </c>
      <c r="M33" s="541">
        <f>Production2!K9</f>
        <v>2294</v>
      </c>
      <c r="N33" s="541">
        <f>M33+'6'!N33</f>
        <v>17759.900000000001</v>
      </c>
      <c r="O33" s="541">
        <f>M33+'6'!O33</f>
        <v>150325.19999999998</v>
      </c>
      <c r="P33" s="541">
        <f>I33+J33+J34-M33</f>
        <v>938.40001683751825</v>
      </c>
      <c r="Q33" s="96">
        <f t="shared" ref="Q33:Q48" si="6">J33/F33</f>
        <v>109.38283993978926</v>
      </c>
      <c r="R33" s="94"/>
      <c r="S33" s="94"/>
    </row>
    <row r="34" spans="2:20">
      <c r="B34" s="91">
        <v>3</v>
      </c>
      <c r="C34" s="501" t="s">
        <v>283</v>
      </c>
      <c r="D34" s="502"/>
      <c r="E34" s="95">
        <v>20</v>
      </c>
      <c r="F34" s="78">
        <f>Production2!P9</f>
        <v>14.4</v>
      </c>
      <c r="G34" s="75">
        <f>F34+'6'!G34</f>
        <v>129.28</v>
      </c>
      <c r="H34" s="75">
        <f>F34+'6'!H34</f>
        <v>744.94999999999993</v>
      </c>
      <c r="I34" s="473"/>
      <c r="J34" s="77">
        <f>Production2!Q9</f>
        <v>129.91</v>
      </c>
      <c r="K34" s="74">
        <f>J34+'6'!K34</f>
        <v>1231.6599999999999</v>
      </c>
      <c r="L34" s="74">
        <f>J34+'6'!L34</f>
        <v>6785.2800000000016</v>
      </c>
      <c r="M34" s="473"/>
      <c r="N34" s="473"/>
      <c r="O34" s="473"/>
      <c r="P34" s="473"/>
      <c r="Q34" s="96">
        <f>J34/F34</f>
        <v>9.0215277777777771</v>
      </c>
      <c r="R34" s="94"/>
      <c r="S34" s="94"/>
    </row>
    <row r="35" spans="2:20">
      <c r="B35" s="79">
        <v>4</v>
      </c>
      <c r="C35" s="501" t="s">
        <v>157</v>
      </c>
      <c r="D35" s="502"/>
      <c r="E35" s="95">
        <v>10</v>
      </c>
      <c r="F35" s="78">
        <f>Production2!S9</f>
        <v>16.45</v>
      </c>
      <c r="G35" s="75">
        <f>F35+'6'!G35</f>
        <v>123.44000000000001</v>
      </c>
      <c r="H35" s="75">
        <f>F35+'6'!H35</f>
        <v>1076.77</v>
      </c>
      <c r="I35" s="77">
        <f>Production2!T9</f>
        <v>53.209999999999809</v>
      </c>
      <c r="J35" s="77">
        <f>Production2!U9</f>
        <v>225</v>
      </c>
      <c r="K35" s="74">
        <f>J35+'6'!K35</f>
        <v>1759.1</v>
      </c>
      <c r="L35" s="74">
        <f>J35+'6'!L35</f>
        <v>15004.699999999999</v>
      </c>
      <c r="M35" s="77">
        <f>Production2!V9</f>
        <v>225</v>
      </c>
      <c r="N35" s="74">
        <f>M35+'6'!N35</f>
        <v>1748</v>
      </c>
      <c r="O35" s="74">
        <f>M35+'6'!O35</f>
        <v>14967</v>
      </c>
      <c r="P35" s="74">
        <f t="shared" ref="P35" si="7">I35+J35-M35</f>
        <v>53.209999999999809</v>
      </c>
      <c r="Q35" s="96">
        <f t="shared" si="6"/>
        <v>13.677811550151976</v>
      </c>
      <c r="R35" s="94"/>
      <c r="S35" s="94"/>
    </row>
    <row r="36" spans="2:20">
      <c r="B36" s="91">
        <v>5</v>
      </c>
      <c r="C36" s="501" t="s">
        <v>63</v>
      </c>
      <c r="D36" s="502"/>
      <c r="E36" s="95">
        <v>50</v>
      </c>
      <c r="F36" s="78">
        <f>Production2!Y9</f>
        <v>24</v>
      </c>
      <c r="G36" s="75">
        <f>F36+'6'!G36</f>
        <v>165.04000000000002</v>
      </c>
      <c r="H36" s="75">
        <f>F36+'6'!H36</f>
        <v>1479.85</v>
      </c>
      <c r="I36" s="77">
        <f>Clinker!EJ9</f>
        <v>24714.892082994178</v>
      </c>
      <c r="J36" s="77">
        <f>Clinker!EK9</f>
        <v>1480</v>
      </c>
      <c r="K36" s="74">
        <f>J36+'6'!K36</f>
        <v>11458</v>
      </c>
      <c r="L36" s="74">
        <f>J36+'6'!L36</f>
        <v>96984</v>
      </c>
      <c r="M36" s="77">
        <f>Clinker!EL9</f>
        <v>1090.8039989680001</v>
      </c>
      <c r="N36" s="74">
        <f>M36+'6'!N36</f>
        <v>12299.721001735503</v>
      </c>
      <c r="O36" s="74">
        <f>M36+'6'!O36</f>
        <v>75161.452015600546</v>
      </c>
      <c r="P36" s="74">
        <f>I36+J36-M36-I22</f>
        <v>25104.088084026178</v>
      </c>
      <c r="Q36" s="96">
        <f t="shared" si="6"/>
        <v>61.666666666666664</v>
      </c>
      <c r="R36" s="94"/>
      <c r="S36" s="94"/>
    </row>
    <row r="37" spans="2:20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Production2!AE9</f>
        <v>0</v>
      </c>
      <c r="G37" s="75">
        <f>F37+'6'!G37</f>
        <v>3</v>
      </c>
      <c r="H37" s="75">
        <f>F37+'6'!H37</f>
        <v>42.7</v>
      </c>
      <c r="I37" s="77">
        <f>Production2!BJ9</f>
        <v>179.29999999999995</v>
      </c>
      <c r="J37" s="77">
        <f>Production2!AF9</f>
        <v>0</v>
      </c>
      <c r="K37" s="74">
        <f>J37+'6'!K37</f>
        <v>207</v>
      </c>
      <c r="L37" s="74">
        <f>J37+'6'!L37</f>
        <v>2841</v>
      </c>
      <c r="M37" s="77">
        <f>Production2!BL9</f>
        <v>0</v>
      </c>
      <c r="N37" s="74">
        <f>M37+'6'!N37</f>
        <v>606</v>
      </c>
      <c r="O37" s="74">
        <f>M37+'6'!O37</f>
        <v>5644</v>
      </c>
      <c r="P37" s="74">
        <f>I37+J37+J43-M37-F61</f>
        <v>179.29999999999995</v>
      </c>
      <c r="Q37" s="96" t="e">
        <f t="shared" si="6"/>
        <v>#DIV/0!</v>
      </c>
      <c r="R37" s="94"/>
      <c r="S37" s="94"/>
    </row>
    <row r="38" spans="2:20">
      <c r="B38" s="564"/>
      <c r="C38" s="477"/>
      <c r="D38" s="80" t="s">
        <v>286</v>
      </c>
      <c r="E38" s="97">
        <v>78</v>
      </c>
      <c r="F38" s="78">
        <f>Production2!AB9</f>
        <v>18.899999999999999</v>
      </c>
      <c r="G38" s="75">
        <f>F38+'6'!G38</f>
        <v>123.83000000000001</v>
      </c>
      <c r="H38" s="75">
        <f>F38+'6'!H38</f>
        <v>622.29999999999995</v>
      </c>
      <c r="I38" s="77">
        <f>Production2!BF9</f>
        <v>1459.1679999999783</v>
      </c>
      <c r="J38" s="77">
        <f>Production2!AC9</f>
        <v>1290</v>
      </c>
      <c r="K38" s="74">
        <f>J38+'6'!K38</f>
        <v>8260</v>
      </c>
      <c r="L38" s="74">
        <f>J38+'6'!L38</f>
        <v>39590</v>
      </c>
      <c r="M38" s="77">
        <f>Production2!BH9</f>
        <v>2327</v>
      </c>
      <c r="N38" s="74">
        <f>M38+'6'!N38</f>
        <v>15864.56</v>
      </c>
      <c r="O38" s="74">
        <f>M38+'6'!O38</f>
        <v>96607.389999999985</v>
      </c>
      <c r="P38" s="74">
        <f>I38+J38+J44-M38-F59</f>
        <v>422.16799999997829</v>
      </c>
      <c r="Q38" s="96">
        <f t="shared" si="6"/>
        <v>68.253968253968253</v>
      </c>
      <c r="R38" s="94"/>
      <c r="S38" s="94"/>
    </row>
    <row r="39" spans="2:20">
      <c r="B39" s="564"/>
      <c r="C39" s="477"/>
      <c r="D39" s="80" t="s">
        <v>287</v>
      </c>
      <c r="E39" s="97">
        <v>78</v>
      </c>
      <c r="F39" s="78">
        <f>Production2!AH9</f>
        <v>0</v>
      </c>
      <c r="G39" s="75">
        <f>F39+'6'!G39</f>
        <v>0</v>
      </c>
      <c r="H39" s="75">
        <f>F39+'6'!H39</f>
        <v>0</v>
      </c>
      <c r="I39" s="77">
        <f>Production2!BN9</f>
        <v>9.0000000000849845E-2</v>
      </c>
      <c r="J39" s="77">
        <f>Production2!AI9</f>
        <v>0</v>
      </c>
      <c r="K39" s="74">
        <f>J39+'6'!K39</f>
        <v>0</v>
      </c>
      <c r="L39" s="74">
        <f>J39+'6'!L39</f>
        <v>0</v>
      </c>
      <c r="M39" s="77">
        <f>Production2!BP9</f>
        <v>0</v>
      </c>
      <c r="N39" s="74">
        <f>M39+'6'!N39</f>
        <v>0</v>
      </c>
      <c r="O39" s="74">
        <f>M39+'6'!O39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20">
      <c r="B40" s="564"/>
      <c r="C40" s="477"/>
      <c r="D40" s="194" t="s">
        <v>187</v>
      </c>
      <c r="E40" s="97">
        <v>65</v>
      </c>
      <c r="F40" s="84">
        <f>Production2!AK9</f>
        <v>0</v>
      </c>
      <c r="G40" s="75">
        <f>F40+'6'!G40</f>
        <v>0</v>
      </c>
      <c r="H40" s="75">
        <f>F40+'6'!H40</f>
        <v>5</v>
      </c>
      <c r="I40" s="195">
        <f>Production2!BR9</f>
        <v>92.700000000000045</v>
      </c>
      <c r="J40" s="195">
        <f>Production2!AL9</f>
        <v>0</v>
      </c>
      <c r="K40" s="74">
        <f>J40+'6'!K40</f>
        <v>0</v>
      </c>
      <c r="L40" s="74">
        <f>J40+'6'!L40</f>
        <v>300</v>
      </c>
      <c r="M40" s="195">
        <f>Production2!BT9</f>
        <v>0</v>
      </c>
      <c r="N40" s="74">
        <f>M40+'6'!N40</f>
        <v>543</v>
      </c>
      <c r="O40" s="74">
        <f>M40+'6'!O40</f>
        <v>3575.5</v>
      </c>
      <c r="P40" s="74">
        <f>I40+J40+J46-M40-F62</f>
        <v>92.700000000000045</v>
      </c>
      <c r="Q40" s="96" t="e">
        <f t="shared" si="6"/>
        <v>#DIV/0!</v>
      </c>
      <c r="R40" s="94"/>
      <c r="S40" s="94"/>
    </row>
    <row r="41" spans="2:20">
      <c r="B41" s="564"/>
      <c r="C41" s="477"/>
      <c r="D41" s="80" t="s">
        <v>288</v>
      </c>
      <c r="E41" s="97"/>
      <c r="F41" s="84">
        <f>Production2!AN9</f>
        <v>2</v>
      </c>
      <c r="G41" s="75">
        <f>F41+'6'!G41</f>
        <v>10</v>
      </c>
      <c r="H41" s="75">
        <f>F41+'6'!H41</f>
        <v>136.16999999999999</v>
      </c>
      <c r="I41" s="195">
        <f>Production2!BV9</f>
        <v>279.0900000000002</v>
      </c>
      <c r="J41" s="195">
        <f>Production2!AO9</f>
        <v>140</v>
      </c>
      <c r="K41" s="74">
        <f>J41+'6'!K41</f>
        <v>696</v>
      </c>
      <c r="L41" s="74">
        <f>J41+'6'!L41</f>
        <v>8874</v>
      </c>
      <c r="M41" s="77">
        <f>Production2!BX9</f>
        <v>314.89999999999998</v>
      </c>
      <c r="N41" s="74">
        <f>M41+'6'!N41</f>
        <v>1759.2099999999996</v>
      </c>
      <c r="O41" s="74">
        <f>M41+'6'!O41</f>
        <v>15754.519999999999</v>
      </c>
      <c r="P41" s="74">
        <f>I41+J41+J47-M41</f>
        <v>104.19000000000023</v>
      </c>
      <c r="Q41" s="96">
        <f t="shared" si="6"/>
        <v>70</v>
      </c>
      <c r="R41" s="94"/>
      <c r="S41" s="94"/>
    </row>
    <row r="42" spans="2:20" ht="15.75" thickBot="1">
      <c r="B42" s="565"/>
      <c r="C42" s="478"/>
      <c r="D42" s="120" t="s">
        <v>162</v>
      </c>
      <c r="E42" s="121">
        <v>70</v>
      </c>
      <c r="F42" s="132">
        <f>F37+F38+F39+F40+F41</f>
        <v>20.9</v>
      </c>
      <c r="G42" s="132">
        <f t="shared" ref="G42:H42" si="8">G37+G38+G39+G40+G41</f>
        <v>136.83000000000001</v>
      </c>
      <c r="H42" s="132">
        <f t="shared" si="8"/>
        <v>806.17</v>
      </c>
      <c r="I42" s="122">
        <f>I37+I38+I39+I40+I41</f>
        <v>2010.3479999999793</v>
      </c>
      <c r="J42" s="122">
        <f>J37+J38+J39+J40+J41</f>
        <v>1430</v>
      </c>
      <c r="K42" s="122">
        <f t="shared" ref="K42:P42" si="9">K37+K38+K39+K40+K41</f>
        <v>9163</v>
      </c>
      <c r="L42" s="122">
        <f t="shared" si="9"/>
        <v>51605</v>
      </c>
      <c r="M42" s="122">
        <f t="shared" si="9"/>
        <v>2641.9</v>
      </c>
      <c r="N42" s="122">
        <f t="shared" si="9"/>
        <v>18772.769999999997</v>
      </c>
      <c r="O42" s="122">
        <f t="shared" si="9"/>
        <v>121581.26</v>
      </c>
      <c r="P42" s="122">
        <f t="shared" si="9"/>
        <v>798.4479999999794</v>
      </c>
      <c r="Q42" s="123">
        <f t="shared" si="6"/>
        <v>68.421052631578945</v>
      </c>
      <c r="R42" s="94"/>
      <c r="S42" s="94"/>
    </row>
    <row r="43" spans="2:20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Production2!AT9</f>
        <v>0</v>
      </c>
      <c r="G43" s="75">
        <f>F43+'6'!G43</f>
        <v>0</v>
      </c>
      <c r="H43" s="75">
        <f>F43+'6'!H43</f>
        <v>45.429999999999993</v>
      </c>
      <c r="I43" s="471"/>
      <c r="J43" s="77">
        <f>Production2!AU9</f>
        <v>0</v>
      </c>
      <c r="K43" s="74">
        <f>J43+'6'!K43</f>
        <v>0</v>
      </c>
      <c r="L43" s="74">
        <f>J43+'6'!L43</f>
        <v>2750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20">
      <c r="B44" s="564"/>
      <c r="C44" s="477"/>
      <c r="D44" s="80" t="s">
        <v>286</v>
      </c>
      <c r="E44" s="97">
        <v>70</v>
      </c>
      <c r="F44" s="78">
        <f>Production2!AQ9</f>
        <v>0</v>
      </c>
      <c r="G44" s="75">
        <f>F44+'6'!G44</f>
        <v>103.72999999999999</v>
      </c>
      <c r="H44" s="75">
        <f>F44+'6'!H44</f>
        <v>954.1400000000001</v>
      </c>
      <c r="I44" s="472"/>
      <c r="J44" s="77">
        <f>Production2!AR9</f>
        <v>0</v>
      </c>
      <c r="K44" s="74">
        <f>J44+'6'!K44</f>
        <v>6210</v>
      </c>
      <c r="L44" s="74">
        <f>J44+'6'!L44</f>
        <v>56171</v>
      </c>
      <c r="M44" s="545"/>
      <c r="N44" s="546"/>
      <c r="O44" s="546"/>
      <c r="P44" s="547"/>
      <c r="Q44" s="96" t="e">
        <f t="shared" si="6"/>
        <v>#DIV/0!</v>
      </c>
      <c r="R44" s="94"/>
      <c r="S44" s="94"/>
      <c r="T44" s="177"/>
    </row>
    <row r="45" spans="2:20">
      <c r="B45" s="564"/>
      <c r="C45" s="477"/>
      <c r="D45" s="80" t="s">
        <v>287</v>
      </c>
      <c r="E45" s="97">
        <v>70</v>
      </c>
      <c r="F45" s="78">
        <f>Production2!AW9</f>
        <v>0</v>
      </c>
      <c r="G45" s="75">
        <f>F45+'6'!G45</f>
        <v>0</v>
      </c>
      <c r="H45" s="75">
        <f>F45+'6'!H45</f>
        <v>0</v>
      </c>
      <c r="I45" s="472"/>
      <c r="J45" s="77">
        <f>Production2!AX9</f>
        <v>0</v>
      </c>
      <c r="K45" s="74">
        <f>J45+'6'!K45</f>
        <v>0</v>
      </c>
      <c r="L45" s="74">
        <f>J45+'6'!L45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20">
      <c r="B46" s="564"/>
      <c r="C46" s="477"/>
      <c r="D46" s="194" t="s">
        <v>187</v>
      </c>
      <c r="E46" s="97">
        <v>60</v>
      </c>
      <c r="F46" s="84">
        <f>Production2!AZ9</f>
        <v>0</v>
      </c>
      <c r="G46" s="75">
        <f>F46+'6'!G46</f>
        <v>9</v>
      </c>
      <c r="H46" s="75">
        <f>F46+'6'!H46</f>
        <v>56.88</v>
      </c>
      <c r="I46" s="473"/>
      <c r="J46" s="195">
        <f>Production2!BA9</f>
        <v>0</v>
      </c>
      <c r="K46" s="74">
        <f>J46+'6'!K46</f>
        <v>508</v>
      </c>
      <c r="L46" s="74">
        <f>J46+'6'!L46</f>
        <v>3155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20">
      <c r="B47" s="564"/>
      <c r="C47" s="477"/>
      <c r="D47" s="80" t="s">
        <v>288</v>
      </c>
      <c r="E47" s="97"/>
      <c r="F47" s="84">
        <f>Production2!BC9</f>
        <v>0</v>
      </c>
      <c r="G47" s="75">
        <f>F47+'5'!G47</f>
        <v>0</v>
      </c>
      <c r="H47" s="75">
        <f>F47+'5'!H47</f>
        <v>108.67</v>
      </c>
      <c r="I47" s="425"/>
      <c r="J47" s="195">
        <f>Production2!BD9</f>
        <v>0</v>
      </c>
      <c r="K47" s="74">
        <f>J47+'6'!K47</f>
        <v>0</v>
      </c>
      <c r="L47" s="74">
        <f>J47+'6'!L47</f>
        <v>6615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20" ht="15.75" thickBot="1">
      <c r="B48" s="565"/>
      <c r="C48" s="478"/>
      <c r="D48" s="120" t="s">
        <v>162</v>
      </c>
      <c r="E48" s="121">
        <v>70</v>
      </c>
      <c r="F48" s="132">
        <f>F43+F44+F45+F46+F47</f>
        <v>0</v>
      </c>
      <c r="G48" s="132">
        <f t="shared" ref="G48:H48" si="10">G43+G44+G45+G46+G47</f>
        <v>112.72999999999999</v>
      </c>
      <c r="H48" s="132">
        <f t="shared" si="10"/>
        <v>1165.1200000000001</v>
      </c>
      <c r="I48" s="132">
        <f t="shared" ref="I48" si="11">I43+I44+I45+I46</f>
        <v>0</v>
      </c>
      <c r="J48" s="132">
        <f>J43+J44+J45+J46+J47</f>
        <v>0</v>
      </c>
      <c r="K48" s="132">
        <f>K43+K44+K45+K46+K47</f>
        <v>6718</v>
      </c>
      <c r="L48" s="132">
        <f>L43+L44+L45+L46+L47</f>
        <v>68691</v>
      </c>
      <c r="M48" s="132"/>
      <c r="N48" s="132"/>
      <c r="O48" s="132"/>
      <c r="P48" s="132"/>
      <c r="Q48" s="123" t="e">
        <f t="shared" si="6"/>
        <v>#DIV/0!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0.55362363972941642</v>
      </c>
      <c r="F52" s="99">
        <f>F55/(J33+J34)</f>
        <v>24.236442112463259</v>
      </c>
      <c r="G52" s="99">
        <v>0</v>
      </c>
      <c r="H52" s="99">
        <f>H55/J36</f>
        <v>36.472297297297295</v>
      </c>
      <c r="I52" s="99">
        <f>I55/J35</f>
        <v>57.231111111111112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15.202702702702704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0.90150876469452268</v>
      </c>
      <c r="F53" s="102">
        <f>F52*1.55</f>
        <v>37.566485274318055</v>
      </c>
      <c r="G53" s="102">
        <f>G52*1.55</f>
        <v>0</v>
      </c>
      <c r="H53" s="102">
        <f>H52</f>
        <v>36.472297297297295</v>
      </c>
      <c r="I53" s="102">
        <f>I52*(Q52/100)</f>
        <v>8.7006756756756758</v>
      </c>
      <c r="J53" s="102"/>
      <c r="K53" s="102"/>
      <c r="L53" s="102"/>
      <c r="M53" s="96"/>
      <c r="N53" s="306">
        <f>SUM(E53:I53)</f>
        <v>83.640967011985566</v>
      </c>
      <c r="O53" s="516" t="s">
        <v>298</v>
      </c>
      <c r="P53" s="516"/>
      <c r="Q53" s="104">
        <v>5470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0.6876708850583827</v>
      </c>
      <c r="F54" s="102">
        <f>F53*M20/100</f>
        <v>28.655714940138896</v>
      </c>
      <c r="G54" s="102">
        <f>G53*M20/100</f>
        <v>0</v>
      </c>
      <c r="H54" s="102">
        <f>H53*M20/100</f>
        <v>27.821068352057114</v>
      </c>
      <c r="I54" s="102">
        <f>I53*M20/100</f>
        <v>6.6368753991263176</v>
      </c>
      <c r="J54" s="99">
        <f>J55/(J42+J48)</f>
        <v>42.159440559440561</v>
      </c>
      <c r="K54" s="99">
        <f>K55/(J48+J42)</f>
        <v>1.1412587412587412</v>
      </c>
      <c r="L54" s="99">
        <f>L55/(M42)</f>
        <v>2.3089443203754874</v>
      </c>
      <c r="M54" s="96">
        <f>M55/(J48+J42)</f>
        <v>2.9524475524475524</v>
      </c>
      <c r="N54" s="306">
        <f>SUM(E54:M54)</f>
        <v>112.36342074990304</v>
      </c>
      <c r="O54" s="516" t="s">
        <v>300</v>
      </c>
      <c r="P54" s="516"/>
      <c r="Q54" s="104">
        <f>Q53*Q52/100</f>
        <v>831.58783783783792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unit'!B9</f>
        <v>1280</v>
      </c>
      <c r="F55" s="118">
        <f>'Daily unit'!C9</f>
        <v>55984</v>
      </c>
      <c r="G55" s="118">
        <v>0</v>
      </c>
      <c r="H55" s="118">
        <f>'Daily unit'!E9</f>
        <v>53979</v>
      </c>
      <c r="I55" s="118">
        <f>'Daily unit'!F9</f>
        <v>12877</v>
      </c>
      <c r="J55" s="118">
        <f>'Daily unit'!G9</f>
        <v>60288</v>
      </c>
      <c r="K55" s="118">
        <f>'Daily unit'!H9</f>
        <v>1632</v>
      </c>
      <c r="L55" s="118">
        <f>'Daily unit'!I9</f>
        <v>6100</v>
      </c>
      <c r="M55" s="119">
        <f>'Daily unit'!J9</f>
        <v>4222</v>
      </c>
      <c r="N55" s="317">
        <f>SUM(E55:M55)</f>
        <v>196362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29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83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90">
        <v>1</v>
      </c>
      <c r="C59" s="691" t="s">
        <v>306</v>
      </c>
      <c r="D59" s="691"/>
      <c r="E59" s="80">
        <v>42.5</v>
      </c>
      <c r="F59" s="53">
        <f>'Internal use cement'!F9</f>
        <v>0</v>
      </c>
      <c r="G59" s="53">
        <f>F59+'6'!G59</f>
        <v>0</v>
      </c>
      <c r="H59" s="182">
        <f>F59+'6'!H59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75"/>
      <c r="C60" s="676"/>
      <c r="D60" s="676"/>
      <c r="E60" s="80" t="s">
        <v>211</v>
      </c>
      <c r="F60" s="53">
        <f>'Internal use cement'!Q9</f>
        <v>0</v>
      </c>
      <c r="G60" s="53">
        <f>F60+'6'!G60</f>
        <v>0</v>
      </c>
      <c r="H60" s="182">
        <f>F60+'6'!H60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75"/>
      <c r="C61" s="676"/>
      <c r="D61" s="676"/>
      <c r="E61" s="80">
        <v>32.5</v>
      </c>
      <c r="F61" s="53">
        <f>'Internal use cement'!AB9</f>
        <v>0</v>
      </c>
      <c r="G61" s="53">
        <f>F61+'6'!G61</f>
        <v>0</v>
      </c>
      <c r="H61" s="182">
        <f>F61+'6'!H61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479"/>
      <c r="C62" s="480"/>
      <c r="D62" s="480"/>
      <c r="E62" s="112" t="s">
        <v>187</v>
      </c>
      <c r="F62" s="113">
        <f>'Internal use cement'!AJ9</f>
        <v>0</v>
      </c>
      <c r="G62" s="113">
        <f>F62+'6'!G62</f>
        <v>0</v>
      </c>
      <c r="H62" s="198">
        <f>F62+'6'!H62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3">
    <mergeCell ref="P33:P34"/>
    <mergeCell ref="B50:N50"/>
    <mergeCell ref="O50:Q50"/>
    <mergeCell ref="C34:D34"/>
    <mergeCell ref="I33:I34"/>
    <mergeCell ref="M33:M34"/>
    <mergeCell ref="N33:N34"/>
    <mergeCell ref="O33:O34"/>
    <mergeCell ref="B43:B48"/>
    <mergeCell ref="C43:C48"/>
    <mergeCell ref="I43:I46"/>
    <mergeCell ref="C36:D36"/>
    <mergeCell ref="B37:B42"/>
    <mergeCell ref="C37:C42"/>
    <mergeCell ref="M43:P47"/>
    <mergeCell ref="B2:Q2"/>
    <mergeCell ref="B3:Q3"/>
    <mergeCell ref="C32:D32"/>
    <mergeCell ref="C33:D33"/>
    <mergeCell ref="C35:D35"/>
    <mergeCell ref="B28:Q28"/>
    <mergeCell ref="B29:Q29"/>
    <mergeCell ref="B30:B31"/>
    <mergeCell ref="C30:D31"/>
    <mergeCell ref="J30:L30"/>
    <mergeCell ref="M30:O30"/>
    <mergeCell ref="P30:P31"/>
    <mergeCell ref="Q30:Q31"/>
    <mergeCell ref="C19:Q19"/>
    <mergeCell ref="B20:B22"/>
    <mergeCell ref="C20:C22"/>
    <mergeCell ref="B57:H57"/>
    <mergeCell ref="C58:E58"/>
    <mergeCell ref="C59:D62"/>
    <mergeCell ref="B59:B62"/>
    <mergeCell ref="I57:Q62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B25:B26"/>
    <mergeCell ref="M25:N26"/>
    <mergeCell ref="P25:Q27"/>
    <mergeCell ref="C27:D27"/>
    <mergeCell ref="O20:O27"/>
    <mergeCell ref="P20:Q22"/>
    <mergeCell ref="Q23:Q24"/>
    <mergeCell ref="C24:D24"/>
    <mergeCell ref="F30:H30"/>
    <mergeCell ref="I30:I31"/>
    <mergeCell ref="M27:N27"/>
    <mergeCell ref="C8:Q8"/>
    <mergeCell ref="C11:D11"/>
    <mergeCell ref="C12:D12"/>
    <mergeCell ref="C15:D15"/>
    <mergeCell ref="P15:Q15"/>
    <mergeCell ref="C23:D23"/>
    <mergeCell ref="O9:O18"/>
    <mergeCell ref="C10:D10"/>
    <mergeCell ref="N20:N22"/>
    <mergeCell ref="C25:C26"/>
    <mergeCell ref="P6:P7"/>
    <mergeCell ref="Q6:Q7"/>
    <mergeCell ref="B16:B18"/>
    <mergeCell ref="C16:C1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</mergeCells>
  <pageMargins left="0" right="0" top="0.75" bottom="0.75" header="0.3" footer="0.3"/>
  <pageSetup paperSize="9" scale="4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pageSetUpPr fitToPage="1"/>
  </sheetPr>
  <dimension ref="B2:U158"/>
  <sheetViews>
    <sheetView zoomScale="90" zoomScaleNormal="90" workbookViewId="0">
      <pane xSplit="4" ySplit="1" topLeftCell="E47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18.42578125" style="68" bestFit="1" customWidth="1"/>
    <col min="19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319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474" t="s">
        <v>263</v>
      </c>
      <c r="D9" s="475"/>
      <c r="E9" s="74">
        <f>'7'!L9</f>
        <v>19390.898040717282</v>
      </c>
      <c r="F9" s="74">
        <f>Production2!D10</f>
        <v>2961.7200000000003</v>
      </c>
      <c r="G9" s="74">
        <f>F9+'7'!G9</f>
        <v>24521.280000000006</v>
      </c>
      <c r="H9" s="74">
        <f>F9+'7'!H9</f>
        <v>181388.56000000003</v>
      </c>
      <c r="I9" s="74">
        <f>Production2!E10</f>
        <v>2283</v>
      </c>
      <c r="J9" s="74">
        <f>I9+'7'!J9</f>
        <v>20830</v>
      </c>
      <c r="K9" s="74">
        <f>I9+'7'!K9</f>
        <v>160861</v>
      </c>
      <c r="L9" s="74">
        <f>E9+F9-I9-I23</f>
        <v>19761.441929606171</v>
      </c>
      <c r="M9" s="75">
        <f>I9</f>
        <v>2283</v>
      </c>
      <c r="N9" s="75">
        <f>(I9/I15)*100</f>
        <v>96.288485870940534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(2)'!L10</f>
        <v>2790.6600000000003</v>
      </c>
      <c r="F10" s="77">
        <f>'Mines (2)'!M10</f>
        <v>43.14</v>
      </c>
      <c r="G10" s="74">
        <f>F10+'7'!G10</f>
        <v>265.36</v>
      </c>
      <c r="H10" s="74">
        <f>F10+'7'!H10</f>
        <v>5534.7600000000011</v>
      </c>
      <c r="I10" s="77">
        <f>'Mines (2)'!N10</f>
        <v>24</v>
      </c>
      <c r="J10" s="74">
        <f>I10+'7'!J10</f>
        <v>367</v>
      </c>
      <c r="K10" s="74">
        <f>I10+'7'!K10</f>
        <v>2849</v>
      </c>
      <c r="L10" s="77">
        <f t="shared" ref="L10:L18" si="0">E10+F10-I10</f>
        <v>2809.8</v>
      </c>
      <c r="M10" s="75">
        <f t="shared" ref="M10:M12" si="1">I10</f>
        <v>24</v>
      </c>
      <c r="N10" s="75">
        <f>(I10/I15)*100</f>
        <v>1.0122311261071277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Clinker!C10</f>
        <v>2185.92</v>
      </c>
      <c r="F11" s="77">
        <f>Clinker!D10</f>
        <v>0</v>
      </c>
      <c r="G11" s="74">
        <f>F11+'7'!G11</f>
        <v>0</v>
      </c>
      <c r="H11" s="74">
        <f>F11+'7'!H11</f>
        <v>417.28000000000003</v>
      </c>
      <c r="I11" s="77">
        <f>Clinker!E10</f>
        <v>64</v>
      </c>
      <c r="J11" s="74">
        <f>I11+'7'!J11</f>
        <v>526</v>
      </c>
      <c r="K11" s="74">
        <f>I11+'7'!K11</f>
        <v>3661</v>
      </c>
      <c r="L11" s="77">
        <f t="shared" si="0"/>
        <v>2121.92</v>
      </c>
      <c r="M11" s="75">
        <f t="shared" si="1"/>
        <v>64</v>
      </c>
      <c r="N11" s="75">
        <f>(I11/I15)*100</f>
        <v>2.6992830029523409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(2)'!Q10</f>
        <v>3.999999999996362E-2</v>
      </c>
      <c r="F12" s="77">
        <f>'Mines (2)'!R10</f>
        <v>0</v>
      </c>
      <c r="G12" s="74">
        <f>F12+'7'!G12</f>
        <v>0</v>
      </c>
      <c r="H12" s="74">
        <f>F12+'7'!H12</f>
        <v>137.76</v>
      </c>
      <c r="I12" s="77">
        <f>'Mines (2)'!S10</f>
        <v>0</v>
      </c>
      <c r="J12" s="74">
        <f>I12+'7'!J12</f>
        <v>0</v>
      </c>
      <c r="K12" s="74">
        <f>I12+'7'!K12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24367.518040717281</v>
      </c>
      <c r="F15" s="127">
        <f t="shared" si="2"/>
        <v>3004.86</v>
      </c>
      <c r="G15" s="127">
        <f t="shared" si="2"/>
        <v>24786.640000000007</v>
      </c>
      <c r="H15" s="127">
        <f t="shared" si="2"/>
        <v>187478.36000000004</v>
      </c>
      <c r="I15" s="127">
        <f t="shared" si="2"/>
        <v>2371</v>
      </c>
      <c r="J15" s="127">
        <f t="shared" si="2"/>
        <v>21723</v>
      </c>
      <c r="K15" s="127">
        <f t="shared" si="2"/>
        <v>168109</v>
      </c>
      <c r="L15" s="127">
        <f t="shared" si="0"/>
        <v>25001.378040717282</v>
      </c>
      <c r="M15" s="128">
        <f>SUM(M9:M12)</f>
        <v>2371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Clinker!EB10</f>
        <v>3358.3569999999909</v>
      </c>
      <c r="F16" s="77">
        <f>Clinker!EC10</f>
        <v>0</v>
      </c>
      <c r="G16" s="77">
        <f>F16+'7'!G16</f>
        <v>684.84</v>
      </c>
      <c r="H16" s="77">
        <f>F16+'7'!H16</f>
        <v>1490.0800000000002</v>
      </c>
      <c r="I16" s="77">
        <f>Clinker!ED10</f>
        <v>233.33</v>
      </c>
      <c r="J16" s="77">
        <f>I16+'7'!J16</f>
        <v>2187.89</v>
      </c>
      <c r="K16" s="77">
        <f>I16+'7'!K16</f>
        <v>16905.200000000004</v>
      </c>
      <c r="L16" s="77">
        <f>E16+F16-I16-Clinker!N10-Clinker!Z10-Clinker!AS10-Clinker!AX10-Clinker!BC10-Clinker!BW10-Clinker!BH10-Clinker!BM10-Clinker!BR10-Clinker!CV10</f>
        <v>3125.0269999999909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Clinker!EF10</f>
        <v>4018.2199999999939</v>
      </c>
      <c r="F17" s="77">
        <f>Clinker!EG10</f>
        <v>0</v>
      </c>
      <c r="G17" s="77">
        <f>F17+'7'!G17</f>
        <v>969.5</v>
      </c>
      <c r="H17" s="77">
        <f>F17+'7'!H17</f>
        <v>3110.45</v>
      </c>
      <c r="I17" s="77">
        <f>Clinker!EH10</f>
        <v>137</v>
      </c>
      <c r="J17" s="77">
        <f>I17+'7'!J17</f>
        <v>1137</v>
      </c>
      <c r="K17" s="77">
        <f>I17+'7'!K17</f>
        <v>9309</v>
      </c>
      <c r="L17" s="77">
        <f>E17+F17-Clinker!AE10-Clinker!AJ10-Clinker!CL10-Clinker!CQ10-Clinker!CG10</f>
        <v>3881.2199999999939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7376.5769999999848</v>
      </c>
      <c r="F18" s="125">
        <f>F16+F17</f>
        <v>0</v>
      </c>
      <c r="G18" s="125">
        <f t="shared" ref="G18:K18" si="3">G16+G17</f>
        <v>1654.3400000000001</v>
      </c>
      <c r="H18" s="125">
        <f t="shared" si="3"/>
        <v>4600.53</v>
      </c>
      <c r="I18" s="125">
        <f>I16+I17</f>
        <v>370.33000000000004</v>
      </c>
      <c r="J18" s="125">
        <f>J16+J17</f>
        <v>3324.89</v>
      </c>
      <c r="K18" s="125">
        <f t="shared" si="3"/>
        <v>26214.200000000004</v>
      </c>
      <c r="L18" s="125">
        <f t="shared" si="0"/>
        <v>7006.2469999999848</v>
      </c>
      <c r="M18" s="126"/>
      <c r="N18" s="126"/>
      <c r="O18" s="515"/>
      <c r="P18" s="84"/>
      <c r="Q18" s="131"/>
      <c r="R18" s="244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422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Clinker!EJ10</f>
        <v>25104.088084026178</v>
      </c>
      <c r="F20" s="74">
        <f>Clinker!EK10</f>
        <v>1390</v>
      </c>
      <c r="G20" s="74">
        <f>F20+'7'!G20</f>
        <v>12848</v>
      </c>
      <c r="H20" s="74">
        <f>F20+'7'!H20</f>
        <v>98374</v>
      </c>
      <c r="I20" s="74">
        <f>Clinker!EL10</f>
        <v>1204.14149999503</v>
      </c>
      <c r="J20" s="74">
        <f>I20+'7'!J20</f>
        <v>13503.862501730533</v>
      </c>
      <c r="K20" s="74">
        <f>I20+'7'!K20</f>
        <v>76365.593515595581</v>
      </c>
      <c r="L20" s="99">
        <f>E20+F20-I20-I22</f>
        <v>25289.94658403115</v>
      </c>
      <c r="M20" s="641">
        <f>((I20+I21)/(J42+J48))*100</f>
        <v>77.188557691989104</v>
      </c>
      <c r="N20" s="525"/>
      <c r="O20" s="527"/>
      <c r="P20" s="535"/>
      <c r="Q20" s="536"/>
      <c r="R20" s="190"/>
      <c r="S20" s="20"/>
    </row>
    <row r="21" spans="2:19" ht="45">
      <c r="B21" s="512"/>
      <c r="C21" s="477"/>
      <c r="D21" s="85" t="s">
        <v>70</v>
      </c>
      <c r="E21" s="74">
        <f>Clinker!EO10</f>
        <v>5306.1090080001359</v>
      </c>
      <c r="F21" s="74">
        <f>Clinker!EP10</f>
        <v>0</v>
      </c>
      <c r="G21" s="74">
        <f>F21+'7'!G21</f>
        <v>0</v>
      </c>
      <c r="H21" s="74">
        <f>F21+'7'!H21</f>
        <v>13390.660000000003</v>
      </c>
      <c r="I21" s="74">
        <f>Clinker!EQ10</f>
        <v>0</v>
      </c>
      <c r="J21" s="74">
        <f>I21+'7'!J21</f>
        <v>0</v>
      </c>
      <c r="K21" s="74">
        <f>I21+'7'!K21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190"/>
      <c r="S21" s="20"/>
    </row>
    <row r="22" spans="2:19" ht="30">
      <c r="B22" s="512"/>
      <c r="C22" s="524"/>
      <c r="D22" s="86" t="s">
        <v>270</v>
      </c>
      <c r="E22" s="77"/>
      <c r="F22" s="77">
        <f>Clinker!EN10</f>
        <v>0</v>
      </c>
      <c r="G22" s="74">
        <f>F22+'7'!G22</f>
        <v>0</v>
      </c>
      <c r="H22" s="74">
        <f>F22+'7'!H22</f>
        <v>0</v>
      </c>
      <c r="I22" s="77">
        <f>Clinker!EN10</f>
        <v>0</v>
      </c>
      <c r="J22" s="74">
        <f>I22+'7'!J22</f>
        <v>0</v>
      </c>
      <c r="K22" s="74">
        <f>I22+'7'!K22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8">
        <f>Cement!S10</f>
        <v>308.17611111111097</v>
      </c>
      <c r="J23" s="74">
        <f>I23+'7'!J23</f>
        <v>3397.6383327249964</v>
      </c>
      <c r="K23" s="74">
        <f>I23+'7'!K23</f>
        <v>23870.989767577677</v>
      </c>
      <c r="L23" s="74"/>
      <c r="M23" s="78">
        <f>(I23/(J42+J48))*100</f>
        <v>19.75487891737891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Cement!C10</f>
        <v>3396.6221175225351</v>
      </c>
      <c r="F24" s="77">
        <f>Cement!D10</f>
        <v>0</v>
      </c>
      <c r="G24" s="74">
        <f>F24+'7'!G24</f>
        <v>31.2</v>
      </c>
      <c r="H24" s="74">
        <f>F24+'7'!H24</f>
        <v>2157.8199999999997</v>
      </c>
      <c r="I24" s="78">
        <f>Cement!F10</f>
        <v>82.631578952600009</v>
      </c>
      <c r="J24" s="74">
        <f>I24+'7'!J24</f>
        <v>925.53999875470527</v>
      </c>
      <c r="K24" s="74">
        <f>I24+'7'!K24</f>
        <v>6289.2095205798487</v>
      </c>
      <c r="L24" s="74">
        <f>E24+F24-I24</f>
        <v>3313.9905385699349</v>
      </c>
      <c r="M24" s="78">
        <f>(I24/(J42+J48))*100</f>
        <v>5.2968960867051287</v>
      </c>
      <c r="N24" s="78"/>
      <c r="O24" s="527"/>
      <c r="P24" s="87">
        <v>5</v>
      </c>
      <c r="Q24" s="573"/>
      <c r="R24" s="20"/>
      <c r="S24" s="20"/>
    </row>
    <row r="25" spans="2:19" ht="15" customHeight="1">
      <c r="B25" s="512"/>
      <c r="C25" s="476" t="s">
        <v>272</v>
      </c>
      <c r="D25" s="76" t="s">
        <v>82</v>
      </c>
      <c r="E25" s="77"/>
      <c r="F25" s="77">
        <f>Cement!I10</f>
        <v>0</v>
      </c>
      <c r="G25" s="74">
        <f>F25+'7'!G25</f>
        <v>0</v>
      </c>
      <c r="H25" s="74">
        <f>F25+'7'!H25</f>
        <v>0</v>
      </c>
      <c r="I25" s="77">
        <f>Cement!J10</f>
        <v>0</v>
      </c>
      <c r="J25" s="74">
        <f>I25+'7'!J25</f>
        <v>0</v>
      </c>
      <c r="K25" s="74">
        <f>I25+'7'!K25</f>
        <v>0</v>
      </c>
      <c r="L25" s="74"/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/>
      <c r="F26" s="77">
        <f>Cement!M10</f>
        <v>0</v>
      </c>
      <c r="G26" s="74">
        <f>F26+'7'!G26</f>
        <v>0</v>
      </c>
      <c r="H26" s="74">
        <f>F26+'7'!H26</f>
        <v>0</v>
      </c>
      <c r="I26" s="77">
        <f>Cement!N10</f>
        <v>0</v>
      </c>
      <c r="J26" s="74">
        <f>I26+'7'!J26</f>
        <v>0</v>
      </c>
      <c r="K26" s="74">
        <f>I26+'7'!K26</f>
        <v>0</v>
      </c>
      <c r="L26" s="74"/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33806.819209548848</v>
      </c>
      <c r="F27" s="122">
        <f t="shared" ref="F27:L27" si="4">F20+F21+F23+F24+F25+F26</f>
        <v>1390</v>
      </c>
      <c r="G27" s="122">
        <f t="shared" si="4"/>
        <v>12879.2</v>
      </c>
      <c r="H27" s="122">
        <f t="shared" si="4"/>
        <v>113922.48000000001</v>
      </c>
      <c r="I27" s="132">
        <f>I20+I21+I23+I24+I25+I26</f>
        <v>1594.9491900587409</v>
      </c>
      <c r="J27" s="122">
        <f t="shared" si="4"/>
        <v>17827.040833210234</v>
      </c>
      <c r="K27" s="122">
        <f t="shared" si="4"/>
        <v>123459.8928037531</v>
      </c>
      <c r="L27" s="122">
        <f t="shared" si="4"/>
        <v>33910.046130601215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Production2!C10</f>
        <v>19.899999999999999</v>
      </c>
      <c r="G32" s="75">
        <f>F32+'7'!G32</f>
        <v>146.19000000000003</v>
      </c>
      <c r="H32" s="75">
        <f>F32+'7'!H32</f>
        <v>1115.3200000000002</v>
      </c>
      <c r="I32" s="74">
        <f>'Mines (2)'!C10+'Mines (2)'!H10+'Mines (2)'!V10+'Mines (2)'!Z10+'Mines (2)'!AD10</f>
        <v>19390.898040717282</v>
      </c>
      <c r="J32" s="74">
        <f>Production2!D10</f>
        <v>2961.7200000000003</v>
      </c>
      <c r="K32" s="74">
        <f>J32+'7'!K32</f>
        <v>24521.280000000006</v>
      </c>
      <c r="L32" s="74">
        <f>J32+'7'!L32</f>
        <v>181388.56000000003</v>
      </c>
      <c r="M32" s="74">
        <f>I9+I23</f>
        <v>2591.1761111111109</v>
      </c>
      <c r="N32" s="74">
        <f>M32+'7'!N32</f>
        <v>24227.638332724993</v>
      </c>
      <c r="O32" s="74">
        <f>M32+'7'!O32</f>
        <v>184731.98976757767</v>
      </c>
      <c r="P32" s="74">
        <f>I32+J32-M32</f>
        <v>19761.441929606171</v>
      </c>
      <c r="Q32" s="93">
        <f>J32/F32</f>
        <v>148.83015075376886</v>
      </c>
      <c r="R32" s="94"/>
      <c r="S32" s="94"/>
    </row>
    <row r="33" spans="2:19">
      <c r="B33" s="79">
        <v>2</v>
      </c>
      <c r="C33" s="501" t="s">
        <v>282</v>
      </c>
      <c r="D33" s="502"/>
      <c r="E33" s="95">
        <v>120</v>
      </c>
      <c r="F33" s="78">
        <f>Production2!G10</f>
        <v>17.899999999999999</v>
      </c>
      <c r="G33" s="75">
        <f>F33+'7'!G33</f>
        <v>149.12</v>
      </c>
      <c r="H33" s="75">
        <f>F33+'7'!H33</f>
        <v>1218.6599999999999</v>
      </c>
      <c r="I33" s="541">
        <f>Production2!H10</f>
        <v>938.40001683751825</v>
      </c>
      <c r="J33" s="78">
        <f>Production2!N10</f>
        <v>1986</v>
      </c>
      <c r="K33" s="74">
        <f>J33+'7'!K33</f>
        <v>18185</v>
      </c>
      <c r="L33" s="74">
        <f>J33+'7'!L33</f>
        <v>144470.59</v>
      </c>
      <c r="M33" s="541">
        <f>Production2!K10</f>
        <v>2154.5</v>
      </c>
      <c r="N33" s="541">
        <f>M33+'7'!N33</f>
        <v>19914.400000000001</v>
      </c>
      <c r="O33" s="541">
        <f>M33+'7'!O33</f>
        <v>152479.69999999998</v>
      </c>
      <c r="P33" s="541">
        <f>I33+J33+J34-M33</f>
        <v>919.72001683751841</v>
      </c>
      <c r="Q33" s="96">
        <f t="shared" ref="Q33:Q48" si="5">J33/F33</f>
        <v>110.94972067039107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Production2!P10</f>
        <v>16.739999999999998</v>
      </c>
      <c r="G34" s="75">
        <f>F34+'7'!G34</f>
        <v>146.02000000000001</v>
      </c>
      <c r="H34" s="75">
        <f>F34+'7'!H34</f>
        <v>761.68999999999994</v>
      </c>
      <c r="I34" s="473"/>
      <c r="J34" s="78">
        <f>Production2!Q10</f>
        <v>149.82</v>
      </c>
      <c r="K34" s="74">
        <f>J34+'7'!K34</f>
        <v>1381.4799999999998</v>
      </c>
      <c r="L34" s="74">
        <f>J34+'7'!L34</f>
        <v>6935.1000000000013</v>
      </c>
      <c r="M34" s="473"/>
      <c r="N34" s="473"/>
      <c r="O34" s="473"/>
      <c r="P34" s="473"/>
      <c r="Q34" s="96">
        <f>J34/F34</f>
        <v>8.9498207885304666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Production2!S10</f>
        <v>15.5</v>
      </c>
      <c r="G35" s="75">
        <f>F35+'7'!G35</f>
        <v>138.94</v>
      </c>
      <c r="H35" s="75">
        <f>F35+'7'!H35</f>
        <v>1092.27</v>
      </c>
      <c r="I35" s="77">
        <f>Production2!T10</f>
        <v>53.209999999999809</v>
      </c>
      <c r="J35" s="77">
        <f>Production2!U10</f>
        <v>210</v>
      </c>
      <c r="K35" s="74">
        <f>J35+'7'!K35</f>
        <v>1969.1</v>
      </c>
      <c r="L35" s="74">
        <f>J35+'7'!L35</f>
        <v>15214.699999999999</v>
      </c>
      <c r="M35" s="77">
        <f>Production2!V10</f>
        <v>212</v>
      </c>
      <c r="N35" s="74">
        <f>M35+'7'!N35</f>
        <v>1960</v>
      </c>
      <c r="O35" s="74">
        <f>M35+'7'!O35</f>
        <v>15179</v>
      </c>
      <c r="P35" s="74">
        <f t="shared" ref="P35" si="6">I35+J35-M35</f>
        <v>51.209999999999809</v>
      </c>
      <c r="Q35" s="96">
        <f t="shared" si="5"/>
        <v>13.548387096774194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Production2!Y10</f>
        <v>24</v>
      </c>
      <c r="G36" s="75">
        <f>F36+'7'!G36</f>
        <v>189.04000000000002</v>
      </c>
      <c r="H36" s="75">
        <f>F36+'7'!H36</f>
        <v>1503.85</v>
      </c>
      <c r="I36" s="77">
        <f>Clinker!EJ10</f>
        <v>25104.088084026178</v>
      </c>
      <c r="J36" s="77">
        <f>Clinker!EK10</f>
        <v>1390</v>
      </c>
      <c r="K36" s="74">
        <f>J36+'7'!K36</f>
        <v>12848</v>
      </c>
      <c r="L36" s="74">
        <f>J36+'7'!L36</f>
        <v>98374</v>
      </c>
      <c r="M36" s="77">
        <f>Clinker!EL10</f>
        <v>1204.14149999503</v>
      </c>
      <c r="N36" s="74">
        <f>M36+'7'!N36</f>
        <v>13503.862501730533</v>
      </c>
      <c r="O36" s="74">
        <f>M36+'7'!O36</f>
        <v>76365.593515595581</v>
      </c>
      <c r="P36" s="74">
        <f>I36+J36-M36-I22</f>
        <v>25289.94658403115</v>
      </c>
      <c r="Q36" s="96">
        <f t="shared" si="5"/>
        <v>57.916666666666664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Production2!AE10</f>
        <v>0</v>
      </c>
      <c r="G37" s="75">
        <f>F37+'7'!G37</f>
        <v>3</v>
      </c>
      <c r="H37" s="75">
        <f>F37+'7'!H37</f>
        <v>42.7</v>
      </c>
      <c r="I37" s="77">
        <f>Production2!BJ10</f>
        <v>179.29999999999995</v>
      </c>
      <c r="J37" s="77">
        <f>Production2!AF10</f>
        <v>0</v>
      </c>
      <c r="K37" s="74">
        <f>J37+'7'!K37</f>
        <v>207</v>
      </c>
      <c r="L37" s="74">
        <f>J37+'7'!L37</f>
        <v>2841</v>
      </c>
      <c r="M37" s="77">
        <f>Production2!BL10</f>
        <v>120</v>
      </c>
      <c r="N37" s="74">
        <f>M37+'7'!N37</f>
        <v>726</v>
      </c>
      <c r="O37" s="74">
        <f>M37+'7'!O37</f>
        <v>5764</v>
      </c>
      <c r="P37" s="74">
        <f>I37+J37+J43-M37-F61</f>
        <v>59.299999999999955</v>
      </c>
      <c r="Q37" s="96" t="e">
        <f t="shared" si="5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Production2!AB10</f>
        <v>20.02</v>
      </c>
      <c r="G38" s="75">
        <f>F38+'7'!G38</f>
        <v>143.85000000000002</v>
      </c>
      <c r="H38" s="75">
        <f>F38+'7'!H38</f>
        <v>642.31999999999994</v>
      </c>
      <c r="I38" s="77">
        <f>Production2!BF10</f>
        <v>422.16799999997829</v>
      </c>
      <c r="J38" s="77">
        <f>Production2!AC10</f>
        <v>1349</v>
      </c>
      <c r="K38" s="74">
        <f>J38+'7'!K38</f>
        <v>9609</v>
      </c>
      <c r="L38" s="74">
        <f>J38+'7'!L38</f>
        <v>40939</v>
      </c>
      <c r="M38" s="77">
        <f>Production2!BH10</f>
        <v>1570</v>
      </c>
      <c r="N38" s="74">
        <f>M38+'7'!N38</f>
        <v>17434.559999999998</v>
      </c>
      <c r="O38" s="74">
        <f>M38+'7'!O38</f>
        <v>98177.389999999985</v>
      </c>
      <c r="P38" s="74">
        <f>I38+J38+J44-M38-F59</f>
        <v>201.16799999997829</v>
      </c>
      <c r="Q38" s="96">
        <f t="shared" si="5"/>
        <v>67.382617382617383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Production2!AH10</f>
        <v>0</v>
      </c>
      <c r="G39" s="75">
        <f>F39+'7'!G39</f>
        <v>0</v>
      </c>
      <c r="H39" s="75">
        <f>F39+'7'!H39</f>
        <v>0</v>
      </c>
      <c r="I39" s="77">
        <f>Production2!BN10</f>
        <v>9.0000000000849845E-2</v>
      </c>
      <c r="J39" s="77">
        <f>Production2!AI10</f>
        <v>0</v>
      </c>
      <c r="K39" s="74">
        <f>J39+'7'!K39</f>
        <v>0</v>
      </c>
      <c r="L39" s="74">
        <f>J39+'7'!L39</f>
        <v>0</v>
      </c>
      <c r="M39" s="77">
        <f>Production2!BP10</f>
        <v>0</v>
      </c>
      <c r="N39" s="74">
        <f>M39+'7'!N39</f>
        <v>0</v>
      </c>
      <c r="O39" s="74">
        <f>M39+'7'!O39</f>
        <v>-0.15</v>
      </c>
      <c r="P39" s="74">
        <f>I39+J39+J45-M39-F60</f>
        <v>9.0000000000849845E-2</v>
      </c>
      <c r="Q39" s="96" t="e">
        <f t="shared" si="5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Production2!AK10</f>
        <v>0</v>
      </c>
      <c r="G40" s="75">
        <f>F40+'7'!G40</f>
        <v>0</v>
      </c>
      <c r="H40" s="75">
        <f>F40+'7'!H40</f>
        <v>5</v>
      </c>
      <c r="I40" s="195">
        <f>Production2!BR10</f>
        <v>92.700000000000045</v>
      </c>
      <c r="J40" s="195">
        <f>Production2!AL10</f>
        <v>0</v>
      </c>
      <c r="K40" s="74">
        <f>J40+'7'!K40</f>
        <v>0</v>
      </c>
      <c r="L40" s="74">
        <f>J40+'7'!L40</f>
        <v>300</v>
      </c>
      <c r="M40" s="195">
        <f>Production2!BT10</f>
        <v>62</v>
      </c>
      <c r="N40" s="74">
        <f>M40+'7'!N40</f>
        <v>605</v>
      </c>
      <c r="O40" s="74">
        <f>M40+'7'!O40</f>
        <v>3637.5</v>
      </c>
      <c r="P40" s="74">
        <f>I40+J40+J46-M40-F62</f>
        <v>30.700000000000045</v>
      </c>
      <c r="Q40" s="96" t="e">
        <f t="shared" si="5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Production2!AN10</f>
        <v>3</v>
      </c>
      <c r="G41" s="75">
        <f>F41+'7'!G41</f>
        <v>13</v>
      </c>
      <c r="H41" s="75">
        <f>F41+'7'!H41</f>
        <v>139.16999999999999</v>
      </c>
      <c r="I41" s="195">
        <f>Production2!BV10</f>
        <v>104.19000000000023</v>
      </c>
      <c r="J41" s="195">
        <f>Production2!AO10</f>
        <v>211</v>
      </c>
      <c r="K41" s="74">
        <f>J41+'7'!K41</f>
        <v>907</v>
      </c>
      <c r="L41" s="74">
        <f>J41+'7'!L41</f>
        <v>9085</v>
      </c>
      <c r="M41" s="77">
        <f>Production2!BX10</f>
        <v>243.76</v>
      </c>
      <c r="N41" s="74">
        <f>M41+'7'!N41</f>
        <v>2002.9699999999996</v>
      </c>
      <c r="O41" s="74">
        <f>M41+'7'!O41</f>
        <v>15998.279999999999</v>
      </c>
      <c r="P41" s="74">
        <f>I41+J41+J47-M41</f>
        <v>71.430000000000234</v>
      </c>
      <c r="Q41" s="96">
        <f t="shared" si="5"/>
        <v>70.333333333333329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23.02</v>
      </c>
      <c r="G42" s="132">
        <f t="shared" ref="G42:H42" si="7">G37+G38+G39+G40+G41</f>
        <v>159.85000000000002</v>
      </c>
      <c r="H42" s="132">
        <f t="shared" si="7"/>
        <v>829.18999999999994</v>
      </c>
      <c r="I42" s="122">
        <f>I37+I38+I39+I40+I41</f>
        <v>798.4479999999794</v>
      </c>
      <c r="J42" s="122">
        <f t="shared" ref="J42:P42" si="8">J37+J38+J39+J40+J41</f>
        <v>1560</v>
      </c>
      <c r="K42" s="122">
        <f t="shared" si="8"/>
        <v>10723</v>
      </c>
      <c r="L42" s="122">
        <f t="shared" si="8"/>
        <v>53165</v>
      </c>
      <c r="M42" s="122">
        <f>M37+M38+M39+M40+M41</f>
        <v>1995.76</v>
      </c>
      <c r="N42" s="122">
        <f t="shared" si="8"/>
        <v>20768.53</v>
      </c>
      <c r="O42" s="122">
        <f t="shared" si="8"/>
        <v>123577.01999999999</v>
      </c>
      <c r="P42" s="122">
        <f t="shared" si="8"/>
        <v>362.68799999997935</v>
      </c>
      <c r="Q42" s="123">
        <f t="shared" si="5"/>
        <v>67.767158992180711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Production2!AT10</f>
        <v>0</v>
      </c>
      <c r="G43" s="75">
        <f>F43+'7'!G43</f>
        <v>0</v>
      </c>
      <c r="H43" s="75">
        <f>F43+'7'!H43</f>
        <v>45.429999999999993</v>
      </c>
      <c r="I43" s="471"/>
      <c r="J43" s="77">
        <f>Production2!AU10</f>
        <v>0</v>
      </c>
      <c r="K43" s="74">
        <f>J43+'7'!K43</f>
        <v>0</v>
      </c>
      <c r="L43" s="74">
        <f>J43+'7'!L43</f>
        <v>2750</v>
      </c>
      <c r="M43" s="542"/>
      <c r="N43" s="543"/>
      <c r="O43" s="543"/>
      <c r="P43" s="544"/>
      <c r="Q43" s="96" t="e">
        <f t="shared" si="5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Production2!AQ10</f>
        <v>0</v>
      </c>
      <c r="G44" s="75">
        <f>F44+'7'!G44</f>
        <v>103.72999999999999</v>
      </c>
      <c r="H44" s="75">
        <f>F44+'7'!H44</f>
        <v>954.1400000000001</v>
      </c>
      <c r="I44" s="472"/>
      <c r="J44" s="77">
        <f>Production2!AR10</f>
        <v>0</v>
      </c>
      <c r="K44" s="74">
        <f>J44+'7'!K44</f>
        <v>6210</v>
      </c>
      <c r="L44" s="74">
        <f>J44+'7'!L44</f>
        <v>56171</v>
      </c>
      <c r="M44" s="545"/>
      <c r="N44" s="546"/>
      <c r="O44" s="546"/>
      <c r="P44" s="547"/>
      <c r="Q44" s="96" t="e">
        <f>J44/F44</f>
        <v>#DIV/0!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Production2!AW10</f>
        <v>0</v>
      </c>
      <c r="G45" s="75">
        <f>F45+'7'!G45</f>
        <v>0</v>
      </c>
      <c r="H45" s="75">
        <f>F45+'7'!H45</f>
        <v>0</v>
      </c>
      <c r="I45" s="472"/>
      <c r="J45" s="77">
        <f>Production2!AX10</f>
        <v>0</v>
      </c>
      <c r="K45" s="74">
        <f>J45+'7'!K45</f>
        <v>0</v>
      </c>
      <c r="L45" s="74">
        <f>J45+'7'!L45</f>
        <v>0</v>
      </c>
      <c r="M45" s="545"/>
      <c r="N45" s="546"/>
      <c r="O45" s="546"/>
      <c r="P45" s="547"/>
      <c r="Q45" s="96" t="e">
        <f t="shared" si="5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Production2!AZ10</f>
        <v>0</v>
      </c>
      <c r="G46" s="75">
        <f>F46+'7'!G46</f>
        <v>9</v>
      </c>
      <c r="H46" s="75">
        <f>F46+'7'!H46</f>
        <v>56.88</v>
      </c>
      <c r="I46" s="473"/>
      <c r="J46" s="195">
        <f>Production2!BA10</f>
        <v>0</v>
      </c>
      <c r="K46" s="74">
        <f>J46+'7'!K46</f>
        <v>508</v>
      </c>
      <c r="L46" s="74">
        <f>J46+'7'!L46</f>
        <v>3155</v>
      </c>
      <c r="M46" s="545"/>
      <c r="N46" s="546"/>
      <c r="O46" s="546"/>
      <c r="P46" s="547"/>
      <c r="Q46" s="96" t="e">
        <f t="shared" si="5"/>
        <v>#DIV/0!</v>
      </c>
      <c r="R46" s="94"/>
      <c r="S46" s="94"/>
    </row>
    <row r="47" spans="2:19">
      <c r="B47" s="564"/>
      <c r="C47" s="477"/>
      <c r="D47" s="80" t="s">
        <v>288</v>
      </c>
      <c r="E47" s="97"/>
      <c r="F47" s="84">
        <f>Production2!BC10</f>
        <v>0</v>
      </c>
      <c r="G47" s="75">
        <f>F47+'7'!G47</f>
        <v>0</v>
      </c>
      <c r="H47" s="75">
        <f>F47+'7'!H47</f>
        <v>108.67</v>
      </c>
      <c r="I47" s="425"/>
      <c r="J47" s="195">
        <f>Production2!BD10</f>
        <v>0</v>
      </c>
      <c r="K47" s="74">
        <f>J47+'7'!K47</f>
        <v>0</v>
      </c>
      <c r="L47" s="74">
        <f>J47+'7'!L47</f>
        <v>6615</v>
      </c>
      <c r="M47" s="548"/>
      <c r="N47" s="549"/>
      <c r="O47" s="549"/>
      <c r="P47" s="550"/>
      <c r="Q47" s="96" t="e">
        <f t="shared" si="5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0</v>
      </c>
      <c r="G48" s="132">
        <f t="shared" ref="G48:H48" si="9">G43+G44+G45+G46+G47</f>
        <v>112.72999999999999</v>
      </c>
      <c r="H48" s="132">
        <f t="shared" si="9"/>
        <v>1165.1200000000001</v>
      </c>
      <c r="I48" s="122">
        <f t="shared" ref="I48" si="10">I43+I44+I45+I46</f>
        <v>0</v>
      </c>
      <c r="J48" s="122">
        <f>J43+J44+J45+J46+J47</f>
        <v>0</v>
      </c>
      <c r="K48" s="122">
        <f t="shared" ref="K48:L48" si="11">K43+K44+K45+K46+K47</f>
        <v>6718</v>
      </c>
      <c r="L48" s="122">
        <f t="shared" si="11"/>
        <v>68691</v>
      </c>
      <c r="M48" s="122"/>
      <c r="N48" s="122"/>
      <c r="O48" s="122"/>
      <c r="P48" s="122"/>
      <c r="Q48" s="123" t="e">
        <f t="shared" si="5"/>
        <v>#DIV/0!</v>
      </c>
      <c r="R48" s="94"/>
      <c r="S48" s="94"/>
    </row>
    <row r="49" spans="2:19" ht="15.75" thickBot="1">
      <c r="B49" s="692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4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0.53786313358453863</v>
      </c>
      <c r="F52" s="99">
        <f>F55/(J33+J34)</f>
        <v>27.060801003829908</v>
      </c>
      <c r="G52" s="99">
        <f>G55/J34</f>
        <v>0</v>
      </c>
      <c r="H52" s="99">
        <f>H55/J36</f>
        <v>37.595683453237413</v>
      </c>
      <c r="I52" s="99">
        <f>I55/J35</f>
        <v>55.695238095238096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15.251798561151078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0.88341117552050485</v>
      </c>
      <c r="F53" s="102">
        <f>F52*1.55</f>
        <v>41.944241555936358</v>
      </c>
      <c r="G53" s="102">
        <f>G52*1.55</f>
        <v>0</v>
      </c>
      <c r="H53" s="102">
        <f>H52</f>
        <v>37.595683453237413</v>
      </c>
      <c r="I53" s="102">
        <f>I52*(Q52/100)</f>
        <v>8.4945255224391918</v>
      </c>
      <c r="J53" s="102"/>
      <c r="K53" s="102"/>
      <c r="L53" s="102"/>
      <c r="M53" s="96"/>
      <c r="N53" s="306">
        <f>SUM(E53:I53)</f>
        <v>88.917861707133468</v>
      </c>
      <c r="O53" s="516" t="s">
        <v>298</v>
      </c>
      <c r="P53" s="516"/>
      <c r="Q53" s="104">
        <v>5648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0.68189234487412409</v>
      </c>
      <c r="F54" s="102">
        <f>F53*M20/100</f>
        <v>32.376155091871205</v>
      </c>
      <c r="G54" s="102">
        <f>G53*M20/100</f>
        <v>0</v>
      </c>
      <c r="H54" s="102">
        <f>H53*M20/100</f>
        <v>29.019565811999758</v>
      </c>
      <c r="I54" s="102">
        <f>I53*M20/100</f>
        <v>6.5568017335487134</v>
      </c>
      <c r="J54" s="99">
        <f>J55/(J42+J48)</f>
        <v>43.17115384615385</v>
      </c>
      <c r="K54" s="99">
        <f>K55/(J48+J42)</f>
        <v>1.082051282051282</v>
      </c>
      <c r="L54" s="99">
        <f>L55/(M42)</f>
        <v>2.7929209925041087</v>
      </c>
      <c r="M54" s="96">
        <f>M55/(J48+J42)</f>
        <v>2.9166666666666665</v>
      </c>
      <c r="N54" s="306">
        <f>SUM(E54:M54)</f>
        <v>118.59720776966969</v>
      </c>
      <c r="O54" s="516" t="s">
        <v>300</v>
      </c>
      <c r="P54" s="516"/>
      <c r="Q54" s="104">
        <f>Q53*Q52/100</f>
        <v>861.42158273381301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unit'!B10</f>
        <v>1593</v>
      </c>
      <c r="F55" s="118">
        <f>'Daily unit'!C10</f>
        <v>57797</v>
      </c>
      <c r="G55" s="118">
        <f>'Daily unit'!D10</f>
        <v>0</v>
      </c>
      <c r="H55" s="118">
        <f>'Daily unit'!E10</f>
        <v>52258</v>
      </c>
      <c r="I55" s="118">
        <f>'Daily unit'!F10</f>
        <v>11696</v>
      </c>
      <c r="J55" s="118">
        <f>'Daily unit'!G10</f>
        <v>67347</v>
      </c>
      <c r="K55" s="118">
        <f>'Daily unit'!H10</f>
        <v>1688</v>
      </c>
      <c r="L55" s="118">
        <f>'Daily unit'!I10</f>
        <v>5574</v>
      </c>
      <c r="M55" s="119">
        <f>'Daily unit'!J10</f>
        <v>4550</v>
      </c>
      <c r="N55" s="317">
        <f>SUM(E55:M55)</f>
        <v>202503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29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83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81">
        <v>1</v>
      </c>
      <c r="C59" s="650" t="s">
        <v>306</v>
      </c>
      <c r="D59" s="651"/>
      <c r="E59" s="80">
        <v>42.5</v>
      </c>
      <c r="F59" s="53">
        <f>'Internal use cement'!F10</f>
        <v>0</v>
      </c>
      <c r="G59" s="53">
        <f>F59+'7'!G59</f>
        <v>0</v>
      </c>
      <c r="H59" s="182">
        <f>F59+'7'!H59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82"/>
      <c r="C60" s="652"/>
      <c r="D60" s="653"/>
      <c r="E60" s="80" t="s">
        <v>211</v>
      </c>
      <c r="F60" s="53">
        <f>'Internal use cement'!Q10</f>
        <v>0</v>
      </c>
      <c r="G60" s="53">
        <f>F60+'7'!G60</f>
        <v>0</v>
      </c>
      <c r="H60" s="182">
        <f>F60+'7'!H60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82"/>
      <c r="C61" s="652"/>
      <c r="D61" s="653"/>
      <c r="E61" s="80">
        <v>32.5</v>
      </c>
      <c r="F61" s="53">
        <f>'Internal use cement'!AB10</f>
        <v>0</v>
      </c>
      <c r="G61" s="53">
        <f>F61+'7'!G61</f>
        <v>0</v>
      </c>
      <c r="H61" s="221">
        <f>F61+'7'!H61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83"/>
      <c r="C62" s="654"/>
      <c r="D62" s="655"/>
      <c r="E62" s="112" t="s">
        <v>187</v>
      </c>
      <c r="F62" s="113">
        <f>'Internal use cement'!AJ10</f>
        <v>0</v>
      </c>
      <c r="G62" s="220">
        <f>F62+'7'!G62</f>
        <v>0</v>
      </c>
      <c r="H62" s="198">
        <f>F62+'7'!H62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5">
    <mergeCell ref="M33:M34"/>
    <mergeCell ref="N33:N34"/>
    <mergeCell ref="O33:O34"/>
    <mergeCell ref="P33:P34"/>
    <mergeCell ref="B50:N50"/>
    <mergeCell ref="O50:Q50"/>
    <mergeCell ref="B37:B42"/>
    <mergeCell ref="C37:C42"/>
    <mergeCell ref="I43:I46"/>
    <mergeCell ref="C34:D34"/>
    <mergeCell ref="I33:I34"/>
    <mergeCell ref="B43:B48"/>
    <mergeCell ref="C43:C48"/>
    <mergeCell ref="M43:P47"/>
    <mergeCell ref="B16:B18"/>
    <mergeCell ref="C16:C18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8:Q8"/>
    <mergeCell ref="C11:D11"/>
    <mergeCell ref="C12:D12"/>
    <mergeCell ref="P6:P7"/>
    <mergeCell ref="Q6:Q7"/>
    <mergeCell ref="C15:D15"/>
    <mergeCell ref="P15:Q15"/>
    <mergeCell ref="O9:O18"/>
    <mergeCell ref="C10:D10"/>
    <mergeCell ref="C9:D9"/>
    <mergeCell ref="M20:M21"/>
    <mergeCell ref="B25:B26"/>
    <mergeCell ref="M25:N26"/>
    <mergeCell ref="P25:Q27"/>
    <mergeCell ref="C27:D27"/>
    <mergeCell ref="M27:N27"/>
    <mergeCell ref="C23:D23"/>
    <mergeCell ref="B20:B22"/>
    <mergeCell ref="M30:O30"/>
    <mergeCell ref="P30:P31"/>
    <mergeCell ref="Q30:Q31"/>
    <mergeCell ref="Q23:Q24"/>
    <mergeCell ref="C24:D24"/>
    <mergeCell ref="C25:C26"/>
    <mergeCell ref="I57:Q62"/>
    <mergeCell ref="C58:E58"/>
    <mergeCell ref="B56:Q56"/>
    <mergeCell ref="B49:Q49"/>
    <mergeCell ref="C51:D51"/>
    <mergeCell ref="C54:D54"/>
    <mergeCell ref="O54:P54"/>
    <mergeCell ref="C55:D55"/>
    <mergeCell ref="O51:P51"/>
    <mergeCell ref="C52:D52"/>
    <mergeCell ref="O52:P52"/>
    <mergeCell ref="C53:D53"/>
    <mergeCell ref="C59:D62"/>
    <mergeCell ref="O53:P53"/>
    <mergeCell ref="B59:B62"/>
    <mergeCell ref="B57:H57"/>
    <mergeCell ref="C32:D32"/>
    <mergeCell ref="C33:D33"/>
    <mergeCell ref="C35:D35"/>
    <mergeCell ref="C36:D36"/>
    <mergeCell ref="C19:Q19"/>
    <mergeCell ref="C20:C22"/>
    <mergeCell ref="N20:N22"/>
    <mergeCell ref="O20:O27"/>
    <mergeCell ref="P20:Q22"/>
    <mergeCell ref="B28:Q28"/>
    <mergeCell ref="B29:Q29"/>
    <mergeCell ref="B30:B31"/>
    <mergeCell ref="C30:D31"/>
    <mergeCell ref="F30:H30"/>
    <mergeCell ref="I30:I31"/>
    <mergeCell ref="J30:L30"/>
  </mergeCells>
  <pageMargins left="0" right="0" top="0.75" bottom="0.75" header="0.3" footer="0.3"/>
  <pageSetup paperSize="9" scale="4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B2:U158"/>
  <sheetViews>
    <sheetView zoomScale="90" zoomScaleNormal="90" workbookViewId="0">
      <pane xSplit="4" ySplit="1" topLeftCell="E56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320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 t="s">
        <v>321</v>
      </c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73" t="s">
        <v>263</v>
      </c>
      <c r="D9" s="73" t="s">
        <v>74</v>
      </c>
      <c r="E9" s="74">
        <f>'8'!L9</f>
        <v>19761.441929606171</v>
      </c>
      <c r="F9" s="74">
        <f>Production2!D11</f>
        <v>3166.5</v>
      </c>
      <c r="G9" s="74">
        <f>F9+'8'!G9</f>
        <v>27687.780000000006</v>
      </c>
      <c r="H9" s="74">
        <f>F9+'8'!H9</f>
        <v>184555.06000000003</v>
      </c>
      <c r="I9" s="74">
        <f>Production2!E11</f>
        <v>2350</v>
      </c>
      <c r="J9" s="74">
        <f>I9+'8'!J9</f>
        <v>23180</v>
      </c>
      <c r="K9" s="74">
        <f>I9+'8'!K9</f>
        <v>163211</v>
      </c>
      <c r="L9" s="74">
        <f>E9+F9-I9-I23</f>
        <v>20282.797485161729</v>
      </c>
      <c r="M9" s="75">
        <f>I9</f>
        <v>2350</v>
      </c>
      <c r="N9" s="75">
        <f>(I9/I15)*100</f>
        <v>95.528455284552848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(2)'!L11</f>
        <v>2809.8</v>
      </c>
      <c r="F10" s="77">
        <f>'Mines (2)'!M11</f>
        <v>0</v>
      </c>
      <c r="G10" s="74">
        <f>F10+'8'!G10</f>
        <v>265.36</v>
      </c>
      <c r="H10" s="74">
        <f>F10+'8'!H10</f>
        <v>5534.7600000000011</v>
      </c>
      <c r="I10" s="77">
        <f>'Mines (2)'!N11</f>
        <v>37</v>
      </c>
      <c r="J10" s="74">
        <f>I10+'8'!J10</f>
        <v>404</v>
      </c>
      <c r="K10" s="74">
        <f>I10+'8'!K10</f>
        <v>2886</v>
      </c>
      <c r="L10" s="77">
        <f t="shared" ref="L10:L18" si="0">E10+F10-I10</f>
        <v>2772.8</v>
      </c>
      <c r="M10" s="75">
        <f t="shared" ref="M10:M12" si="1">I10</f>
        <v>37</v>
      </c>
      <c r="N10" s="75">
        <f>(I10/I15)*100</f>
        <v>1.5040650406504066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Clinker!C11</f>
        <v>2121.92</v>
      </c>
      <c r="F11" s="77">
        <f>Clinker!D11</f>
        <v>0</v>
      </c>
      <c r="G11" s="74">
        <f>F11+'8'!G11</f>
        <v>0</v>
      </c>
      <c r="H11" s="74">
        <f>F11+'8'!H11</f>
        <v>417.28000000000003</v>
      </c>
      <c r="I11" s="77">
        <f>Clinker!E11</f>
        <v>73</v>
      </c>
      <c r="J11" s="74">
        <f>I11+'8'!J11</f>
        <v>599</v>
      </c>
      <c r="K11" s="74">
        <f>I11+'8'!K11</f>
        <v>3734</v>
      </c>
      <c r="L11" s="77">
        <f t="shared" si="0"/>
        <v>2048.92</v>
      </c>
      <c r="M11" s="75">
        <f t="shared" si="1"/>
        <v>73</v>
      </c>
      <c r="N11" s="75">
        <f>(I11/I15)*100</f>
        <v>2.9674796747967478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(2)'!Q11</f>
        <v>3.999999999996362E-2</v>
      </c>
      <c r="F12" s="77">
        <f>'Mines (2)'!R11</f>
        <v>0</v>
      </c>
      <c r="G12" s="74">
        <f>F12+'8'!G12</f>
        <v>0</v>
      </c>
      <c r="H12" s="74">
        <f>F12+'8'!H12</f>
        <v>137.76</v>
      </c>
      <c r="I12" s="77">
        <f>'Mines (2)'!S11</f>
        <v>0</v>
      </c>
      <c r="J12" s="74">
        <f>I12+'8'!J12</f>
        <v>0</v>
      </c>
      <c r="K12" s="74">
        <f>I12+'8'!K12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24693.20192960617</v>
      </c>
      <c r="F15" s="127">
        <f t="shared" si="2"/>
        <v>3166.5</v>
      </c>
      <c r="G15" s="127">
        <f t="shared" si="2"/>
        <v>27953.140000000007</v>
      </c>
      <c r="H15" s="127">
        <f t="shared" si="2"/>
        <v>190644.86000000004</v>
      </c>
      <c r="I15" s="127">
        <f t="shared" si="2"/>
        <v>2460</v>
      </c>
      <c r="J15" s="127">
        <f t="shared" si="2"/>
        <v>24183</v>
      </c>
      <c r="K15" s="127">
        <f t="shared" si="2"/>
        <v>170569</v>
      </c>
      <c r="L15" s="127">
        <f t="shared" si="0"/>
        <v>25399.70192960617</v>
      </c>
      <c r="M15" s="128">
        <f>SUM(M9:M12)</f>
        <v>2460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Clinker!EB11</f>
        <v>3125.0269999999905</v>
      </c>
      <c r="F16" s="77">
        <f>Clinker!EC11</f>
        <v>942.44</v>
      </c>
      <c r="G16" s="77">
        <f>F16+'8'!G16</f>
        <v>1627.2800000000002</v>
      </c>
      <c r="H16" s="77">
        <f>F16+'8'!H16</f>
        <v>2432.5200000000004</v>
      </c>
      <c r="I16" s="77">
        <f>Clinker!ED11</f>
        <v>250</v>
      </c>
      <c r="J16" s="77">
        <f>I16+'8'!J16</f>
        <v>2437.89</v>
      </c>
      <c r="K16" s="77">
        <f>I16+'8'!K16</f>
        <v>17155.200000000004</v>
      </c>
      <c r="L16" s="77">
        <f>E16+F16-I16-Clinker!N11-Clinker!Z11-Clinker!AS11-Clinker!AX11-Clinker!BC11-Clinker!BH11-Clinker!BW11-Clinker!BR11</f>
        <v>3817.4669999999905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Clinker!EF11</f>
        <v>3881.2199999999939</v>
      </c>
      <c r="F17" s="77">
        <f>Clinker!EG11</f>
        <v>344.15</v>
      </c>
      <c r="G17" s="77">
        <f>F17+'8'!G17</f>
        <v>1313.65</v>
      </c>
      <c r="H17" s="77">
        <f>F17+'8'!H17</f>
        <v>3454.6</v>
      </c>
      <c r="I17" s="77">
        <f>Clinker!EH11</f>
        <v>130</v>
      </c>
      <c r="J17" s="77">
        <f>I17+'8'!J17</f>
        <v>1267</v>
      </c>
      <c r="K17" s="77">
        <f>I17+'8'!K17</f>
        <v>9439</v>
      </c>
      <c r="L17" s="77">
        <f>E17+F17-Clinker!AE11-Clinker!AJ11-Clinker!CL11-Clinker!CQ11-Clinker!CG11</f>
        <v>4095.3699999999935</v>
      </c>
      <c r="M17" s="81"/>
      <c r="N17" s="81"/>
      <c r="O17" s="515"/>
      <c r="P17" s="53"/>
      <c r="Q17" s="82"/>
      <c r="R17" s="234"/>
      <c r="S17" s="83"/>
    </row>
    <row r="18" spans="2:19">
      <c r="B18" s="512"/>
      <c r="C18" s="476"/>
      <c r="D18" s="124" t="s">
        <v>162</v>
      </c>
      <c r="E18" s="125">
        <f>E16+E17</f>
        <v>7006.2469999999848</v>
      </c>
      <c r="F18" s="125">
        <f>F16+F17</f>
        <v>1286.5900000000001</v>
      </c>
      <c r="G18" s="125">
        <f t="shared" ref="G18:K18" si="3">G16+G17</f>
        <v>2940.9300000000003</v>
      </c>
      <c r="H18" s="125">
        <f t="shared" si="3"/>
        <v>5887.1200000000008</v>
      </c>
      <c r="I18" s="125">
        <f>I16+I17</f>
        <v>380</v>
      </c>
      <c r="J18" s="125">
        <f>J16+J17</f>
        <v>3704.89</v>
      </c>
      <c r="K18" s="125">
        <f t="shared" si="3"/>
        <v>26594.200000000004</v>
      </c>
      <c r="L18" s="125">
        <f t="shared" si="0"/>
        <v>7912.836999999985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Clinker!EJ11</f>
        <v>25289.94658403115</v>
      </c>
      <c r="F20" s="74">
        <f>Clinker!EK11</f>
        <v>1430</v>
      </c>
      <c r="G20" s="74">
        <f>F20+'8'!G20</f>
        <v>14278</v>
      </c>
      <c r="H20" s="74">
        <f>F20+'8'!H20</f>
        <v>99804</v>
      </c>
      <c r="I20" s="74">
        <f>Clinker!EL11</f>
        <v>1365.6830000450011</v>
      </c>
      <c r="J20" s="74">
        <f>I20+'8'!J20</f>
        <v>14869.545501775534</v>
      </c>
      <c r="K20" s="74">
        <f>I20+'8'!K20</f>
        <v>77731.27651564058</v>
      </c>
      <c r="L20" s="74">
        <f>E20+F20-I20-I22</f>
        <v>25354.263583986147</v>
      </c>
      <c r="M20" s="641">
        <f>((I20+I21)/(J42+J48))*100</f>
        <v>79.538905069598201</v>
      </c>
      <c r="N20" s="525"/>
      <c r="O20" s="527"/>
      <c r="P20" s="535"/>
      <c r="Q20" s="536"/>
      <c r="R20" s="20"/>
      <c r="S20" s="190"/>
    </row>
    <row r="21" spans="2:19" ht="45">
      <c r="B21" s="512"/>
      <c r="C21" s="477"/>
      <c r="D21" s="85" t="s">
        <v>70</v>
      </c>
      <c r="E21" s="74">
        <f>Clinker!EO11</f>
        <v>5306.1090080001359</v>
      </c>
      <c r="F21" s="74">
        <f>Clinker!EP11</f>
        <v>0</v>
      </c>
      <c r="G21" s="74">
        <f>F21+'8'!G21</f>
        <v>0</v>
      </c>
      <c r="H21" s="74">
        <f>F21+'8'!H21</f>
        <v>13390.660000000003</v>
      </c>
      <c r="I21" s="74">
        <f>Clinker!EQ11</f>
        <v>0</v>
      </c>
      <c r="J21" s="74">
        <f>I21+'8'!J21</f>
        <v>0</v>
      </c>
      <c r="K21" s="74">
        <f>I21+'8'!K21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f>Clinker!EN11</f>
        <v>0</v>
      </c>
      <c r="G22" s="74">
        <f>F22+'8'!G22</f>
        <v>0</v>
      </c>
      <c r="H22" s="74">
        <f>F22+'8'!H22</f>
        <v>0</v>
      </c>
      <c r="I22" s="77">
        <f>Clinker!EN11</f>
        <v>0</v>
      </c>
      <c r="J22" s="74">
        <f>I22+'8'!J22</f>
        <v>0</v>
      </c>
      <c r="K22" s="74">
        <f>I22+'8'!K22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Cement!S11</f>
        <v>295.14444444444331</v>
      </c>
      <c r="J23" s="74">
        <f>I23+'8'!J23</f>
        <v>3692.7827771694397</v>
      </c>
      <c r="K23" s="74">
        <f>I23+'8'!K23</f>
        <v>24166.13421202212</v>
      </c>
      <c r="L23" s="74"/>
      <c r="M23" s="78">
        <f>(I23/(J42+J48))*100</f>
        <v>17.189542483660063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Cement!C11</f>
        <v>3313.9905385699349</v>
      </c>
      <c r="F24" s="77">
        <f>Cement!D11</f>
        <v>62.16</v>
      </c>
      <c r="G24" s="74">
        <f>F24+'8'!G24</f>
        <v>93.36</v>
      </c>
      <c r="H24" s="74">
        <f>F24+'8'!H24</f>
        <v>2219.9799999999996</v>
      </c>
      <c r="I24" s="77">
        <f>Cement!F11</f>
        <v>90.196842057894727</v>
      </c>
      <c r="J24" s="74">
        <f>I24+'8'!J24</f>
        <v>1015.7368408126</v>
      </c>
      <c r="K24" s="74">
        <f>I24+'8'!K24</f>
        <v>6379.4063626377438</v>
      </c>
      <c r="L24" s="74">
        <f>E24+F24-I24</f>
        <v>3285.9536965120401</v>
      </c>
      <c r="M24" s="78">
        <f>(I24/(J42+J48))*100</f>
        <v>5.253164942218679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/>
      <c r="F25" s="77">
        <f>Cement!I11</f>
        <v>0</v>
      </c>
      <c r="G25" s="74">
        <f>F25+'8'!G25</f>
        <v>0</v>
      </c>
      <c r="H25" s="74">
        <f>F25+'8'!H25</f>
        <v>0</v>
      </c>
      <c r="I25" s="77">
        <f>Cement!J11</f>
        <v>0</v>
      </c>
      <c r="J25" s="74">
        <f>I25+'8'!J25</f>
        <v>0</v>
      </c>
      <c r="K25" s="74">
        <f>I25+'8'!K25</f>
        <v>0</v>
      </c>
      <c r="L25" s="74"/>
      <c r="M25" s="532"/>
      <c r="N25" s="532"/>
      <c r="O25" s="527"/>
      <c r="P25" s="533"/>
      <c r="Q25" s="534"/>
      <c r="R25" s="83"/>
      <c r="S25" s="240"/>
    </row>
    <row r="26" spans="2:19">
      <c r="B26" s="512"/>
      <c r="C26" s="524"/>
      <c r="D26" s="76" t="s">
        <v>273</v>
      </c>
      <c r="E26" s="77"/>
      <c r="F26" s="77">
        <f>Cement!M11</f>
        <v>0</v>
      </c>
      <c r="G26" s="74">
        <f>F26+'8'!G26</f>
        <v>0</v>
      </c>
      <c r="H26" s="74">
        <f>F26+'8'!H26</f>
        <v>0</v>
      </c>
      <c r="I26" s="77">
        <f>Cement!N11</f>
        <v>0</v>
      </c>
      <c r="J26" s="74">
        <f>I26+'8'!J26</f>
        <v>0</v>
      </c>
      <c r="K26" s="74">
        <f>I26+'8'!K26</f>
        <v>0</v>
      </c>
      <c r="L26" s="74"/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33910.046130601215</v>
      </c>
      <c r="F27" s="122">
        <f t="shared" ref="F27:K27" si="4">F20+F21+F23+F24+F25+F26</f>
        <v>1492.16</v>
      </c>
      <c r="G27" s="122">
        <f t="shared" si="4"/>
        <v>14371.36</v>
      </c>
      <c r="H27" s="122">
        <f t="shared" si="4"/>
        <v>115414.64</v>
      </c>
      <c r="I27" s="122">
        <f t="shared" si="4"/>
        <v>1751.024286547339</v>
      </c>
      <c r="J27" s="122">
        <f t="shared" si="4"/>
        <v>19578.065119757572</v>
      </c>
      <c r="K27" s="122">
        <f t="shared" si="4"/>
        <v>125210.91709030046</v>
      </c>
      <c r="L27" s="122">
        <f>L20+L21+L23+L24+L25+L26</f>
        <v>33946.326288498327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Production2!C11</f>
        <v>19.5</v>
      </c>
      <c r="G32" s="75">
        <f>F32+'8'!G32</f>
        <v>165.69000000000003</v>
      </c>
      <c r="H32" s="75">
        <f>F32+'8'!H32</f>
        <v>1134.8200000000002</v>
      </c>
      <c r="I32" s="74">
        <f>'Mines (2)'!C11+'Mines (2)'!H11+'Mines (2)'!V11+'Mines (2)'!Z11+'Mines (2)'!AD11</f>
        <v>19761.441929606168</v>
      </c>
      <c r="J32" s="74">
        <f>Production2!D11</f>
        <v>3166.5</v>
      </c>
      <c r="K32" s="74">
        <f>J32+'8'!K32</f>
        <v>27687.780000000006</v>
      </c>
      <c r="L32" s="74">
        <f>J32+'8'!L32</f>
        <v>184555.06000000003</v>
      </c>
      <c r="M32" s="74">
        <f>I9+I23</f>
        <v>2645.1444444444433</v>
      </c>
      <c r="N32" s="74">
        <f>M32+'8'!N32</f>
        <v>26872.782777169436</v>
      </c>
      <c r="O32" s="74">
        <f>M32+'8'!O32</f>
        <v>187377.13421202212</v>
      </c>
      <c r="P32" s="74">
        <f>I32+J32-M32</f>
        <v>20282.797485161725</v>
      </c>
      <c r="Q32" s="93">
        <f>J32/F32</f>
        <v>162.38461538461539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Production2!G11</f>
        <v>17.899999999999999</v>
      </c>
      <c r="G33" s="75">
        <f>F33+'8'!G33</f>
        <v>167.02</v>
      </c>
      <c r="H33" s="75">
        <f>F33+'8'!H33</f>
        <v>1236.56</v>
      </c>
      <c r="I33" s="541">
        <f>Production2!H11</f>
        <v>919.72001683751841</v>
      </c>
      <c r="J33" s="78">
        <f>Production2!N11</f>
        <v>2021</v>
      </c>
      <c r="K33" s="74">
        <f>J33+'8'!K33</f>
        <v>20206</v>
      </c>
      <c r="L33" s="74">
        <f>J33+'8'!L33</f>
        <v>146491.59</v>
      </c>
      <c r="M33" s="541">
        <f>Production2!K11</f>
        <v>2216.5</v>
      </c>
      <c r="N33" s="541">
        <f>M33+'8'!N33</f>
        <v>22130.9</v>
      </c>
      <c r="O33" s="541">
        <f>M33+'8'!O33</f>
        <v>154696.19999999998</v>
      </c>
      <c r="P33" s="541">
        <f>I33+J33+J34-M33</f>
        <v>919.41001683751847</v>
      </c>
      <c r="Q33" s="96">
        <f t="shared" ref="Q33:Q48" si="5">J33/F33</f>
        <v>112.90502793296091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Production2!P11</f>
        <v>22.83</v>
      </c>
      <c r="G34" s="75">
        <f>F34+'8'!G34</f>
        <v>168.85000000000002</v>
      </c>
      <c r="H34" s="75">
        <f>F34+'8'!H34</f>
        <v>784.52</v>
      </c>
      <c r="I34" s="473"/>
      <c r="J34" s="78">
        <f>Production2!Q11</f>
        <v>195.19</v>
      </c>
      <c r="K34" s="74">
        <f>J34+'8'!K34</f>
        <v>1576.6699999999998</v>
      </c>
      <c r="L34" s="74">
        <f>J34+'8'!L34</f>
        <v>7130.2900000000009</v>
      </c>
      <c r="M34" s="473"/>
      <c r="N34" s="473"/>
      <c r="O34" s="473"/>
      <c r="P34" s="473"/>
      <c r="Q34" s="96">
        <f>J34/F34</f>
        <v>8.5497152869031989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Production2!S11</f>
        <v>17</v>
      </c>
      <c r="G35" s="75">
        <f>F35+'8'!G35</f>
        <v>155.94</v>
      </c>
      <c r="H35" s="75">
        <f>F35+'8'!H35</f>
        <v>1109.27</v>
      </c>
      <c r="I35" s="77">
        <f>Production2!T11</f>
        <v>51.209999999999809</v>
      </c>
      <c r="J35" s="77">
        <f>Production2!U11</f>
        <v>225</v>
      </c>
      <c r="K35" s="74">
        <f>J35+'8'!K35</f>
        <v>2194.1</v>
      </c>
      <c r="L35" s="74">
        <f>J35+'8'!L35</f>
        <v>15439.699999999999</v>
      </c>
      <c r="M35" s="77">
        <f>Production2!V11</f>
        <v>225</v>
      </c>
      <c r="N35" s="74">
        <f>M35+'8'!N35</f>
        <v>2185</v>
      </c>
      <c r="O35" s="74">
        <f>M35+'8'!O35</f>
        <v>15404</v>
      </c>
      <c r="P35" s="74">
        <f t="shared" ref="P35" si="6">I35+J35-M35</f>
        <v>51.209999999999809</v>
      </c>
      <c r="Q35" s="96">
        <f t="shared" si="5"/>
        <v>13.235294117647058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Production2!Y11</f>
        <v>24</v>
      </c>
      <c r="G36" s="75">
        <f>F36+'8'!G36</f>
        <v>213.04000000000002</v>
      </c>
      <c r="H36" s="75">
        <f>F36+'8'!H36</f>
        <v>1527.85</v>
      </c>
      <c r="I36" s="77">
        <f>Clinker!EJ11</f>
        <v>25289.94658403115</v>
      </c>
      <c r="J36" s="77">
        <f>Clinker!EK11</f>
        <v>1430</v>
      </c>
      <c r="K36" s="74">
        <f>J36+'8'!K36</f>
        <v>14278</v>
      </c>
      <c r="L36" s="74">
        <f>J36+'8'!L36</f>
        <v>99804</v>
      </c>
      <c r="M36" s="77">
        <f>Clinker!EL11</f>
        <v>1365.6830000450011</v>
      </c>
      <c r="N36" s="74">
        <f>M36+'8'!N36</f>
        <v>14869.545501775534</v>
      </c>
      <c r="O36" s="74">
        <f>M36+'8'!O36</f>
        <v>77731.27651564058</v>
      </c>
      <c r="P36" s="74">
        <f>I36+J36-M36-I22</f>
        <v>25354.263583986147</v>
      </c>
      <c r="Q36" s="96">
        <f t="shared" si="5"/>
        <v>59.583333333333336</v>
      </c>
      <c r="R36" s="94"/>
      <c r="S36" s="94"/>
    </row>
    <row r="37" spans="2:19">
      <c r="B37" s="569">
        <v>5</v>
      </c>
      <c r="C37" s="476" t="s">
        <v>158</v>
      </c>
      <c r="D37" s="80" t="s">
        <v>285</v>
      </c>
      <c r="E37" s="97">
        <v>90</v>
      </c>
      <c r="F37" s="78">
        <f>Production2!AE11</f>
        <v>2</v>
      </c>
      <c r="G37" s="75">
        <f>F37+'8'!G37</f>
        <v>5</v>
      </c>
      <c r="H37" s="75">
        <f>F37+'8'!H37</f>
        <v>44.7</v>
      </c>
      <c r="I37" s="77">
        <f>Production2!BJ11</f>
        <v>59.299999999999955</v>
      </c>
      <c r="J37" s="77">
        <f>Production2!AF11</f>
        <v>142</v>
      </c>
      <c r="K37" s="74">
        <f>J37+'8'!K37</f>
        <v>349</v>
      </c>
      <c r="L37" s="74">
        <f>J37+'8'!L37</f>
        <v>2983</v>
      </c>
      <c r="M37" s="77">
        <f>Production2!BL11</f>
        <v>177</v>
      </c>
      <c r="N37" s="74">
        <f>M37+'8'!N37</f>
        <v>903</v>
      </c>
      <c r="O37" s="74">
        <f>M37+'8'!O37</f>
        <v>5941</v>
      </c>
      <c r="P37" s="74">
        <f>I37+J37+J43-M37-F61</f>
        <v>24.299999999999955</v>
      </c>
      <c r="Q37" s="96">
        <f t="shared" si="5"/>
        <v>71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Production2!AB11</f>
        <v>20</v>
      </c>
      <c r="G38" s="75">
        <f>F38+'8'!G38</f>
        <v>163.85000000000002</v>
      </c>
      <c r="H38" s="75">
        <f>F38+'8'!H38</f>
        <v>662.31999999999994</v>
      </c>
      <c r="I38" s="77">
        <f>Production2!BF11</f>
        <v>201.16799999997829</v>
      </c>
      <c r="J38" s="77">
        <f>Production2!AC11</f>
        <v>1354</v>
      </c>
      <c r="K38" s="74">
        <f>J38+'8'!K38</f>
        <v>10963</v>
      </c>
      <c r="L38" s="74">
        <f>J38+'8'!L38</f>
        <v>42293</v>
      </c>
      <c r="M38" s="77">
        <f>Production2!BH11</f>
        <v>1508.94</v>
      </c>
      <c r="N38" s="74">
        <f>M38+'8'!N38</f>
        <v>18943.499999999996</v>
      </c>
      <c r="O38" s="74">
        <f>M38+'8'!O38</f>
        <v>99686.329999999987</v>
      </c>
      <c r="P38" s="74">
        <f>I38+J38+J44-M38-F59</f>
        <v>46.227999999978238</v>
      </c>
      <c r="Q38" s="96">
        <f t="shared" si="5"/>
        <v>67.7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Production2!AH11</f>
        <v>0</v>
      </c>
      <c r="G39" s="75">
        <f>F39+'8'!G39</f>
        <v>0</v>
      </c>
      <c r="H39" s="75">
        <f>F39+'8'!H39</f>
        <v>0</v>
      </c>
      <c r="I39" s="77">
        <f>Production2!BN11</f>
        <v>9.0000000000849845E-2</v>
      </c>
      <c r="J39" s="77">
        <f>Production2!AI11</f>
        <v>0</v>
      </c>
      <c r="K39" s="74">
        <f>J39+'8'!K39</f>
        <v>0</v>
      </c>
      <c r="L39" s="74">
        <f>J39+'8'!L39</f>
        <v>0</v>
      </c>
      <c r="M39" s="77">
        <f>Production2!BP11</f>
        <v>0</v>
      </c>
      <c r="N39" s="74">
        <f>M39+'8'!N39</f>
        <v>0</v>
      </c>
      <c r="O39" s="74">
        <f>M39+'8'!O39</f>
        <v>-0.15</v>
      </c>
      <c r="P39" s="74">
        <f>I39+J39+J45-M39-F60</f>
        <v>9.0000000000849845E-2</v>
      </c>
      <c r="Q39" s="96" t="e">
        <f t="shared" si="5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Production2!AK11</f>
        <v>1</v>
      </c>
      <c r="G40" s="75">
        <f>F40+'8'!G40</f>
        <v>1</v>
      </c>
      <c r="H40" s="75">
        <f>F40+'8'!H40</f>
        <v>6</v>
      </c>
      <c r="I40" s="195">
        <f>Production2!BR11</f>
        <v>30.700000000000045</v>
      </c>
      <c r="J40" s="195">
        <f>Production2!AL11</f>
        <v>65</v>
      </c>
      <c r="K40" s="74">
        <f>J40+'8'!K40</f>
        <v>65</v>
      </c>
      <c r="L40" s="74">
        <f>J40+'8'!L40</f>
        <v>365</v>
      </c>
      <c r="M40" s="195">
        <f>Production2!BT11</f>
        <v>60</v>
      </c>
      <c r="N40" s="74">
        <f>M40+'8'!N40</f>
        <v>665</v>
      </c>
      <c r="O40" s="74">
        <f>M40+'8'!O40</f>
        <v>3697.5</v>
      </c>
      <c r="P40" s="74">
        <f>I40+J40+J46-M40-F62</f>
        <v>120.70000000000005</v>
      </c>
      <c r="Q40" s="96">
        <f t="shared" si="5"/>
        <v>65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Production2!AN11</f>
        <v>1</v>
      </c>
      <c r="G41" s="75">
        <f>F41+'8'!G41</f>
        <v>14</v>
      </c>
      <c r="H41" s="75">
        <f>F41+'8'!H41</f>
        <v>140.16999999999999</v>
      </c>
      <c r="I41" s="195">
        <f>Production2!BV11</f>
        <v>71.430000000000234</v>
      </c>
      <c r="J41" s="195">
        <f>Production2!AO11</f>
        <v>71</v>
      </c>
      <c r="K41" s="74">
        <f>J41+'8'!K41</f>
        <v>978</v>
      </c>
      <c r="L41" s="74">
        <f>J41+'8'!L41</f>
        <v>9156</v>
      </c>
      <c r="M41" s="77">
        <f>Production2!BX11</f>
        <v>89.96</v>
      </c>
      <c r="N41" s="74">
        <f>M41+'8'!N41</f>
        <v>2092.9299999999994</v>
      </c>
      <c r="O41" s="74">
        <f>M41+'8'!O41</f>
        <v>16088.239999999998</v>
      </c>
      <c r="P41" s="74">
        <f>I41+J41+J47-M41</f>
        <v>52.47000000000024</v>
      </c>
      <c r="Q41" s="96">
        <f t="shared" si="5"/>
        <v>71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7">G37+G38+G39+G40+G41</f>
        <v>183.85000000000002</v>
      </c>
      <c r="H42" s="132">
        <f t="shared" si="7"/>
        <v>853.18999999999994</v>
      </c>
      <c r="I42" s="122">
        <f>I37+I38+I39+I40+I41</f>
        <v>362.68799999997935</v>
      </c>
      <c r="J42" s="122">
        <f t="shared" ref="J42:P42" si="8">J37+J38+J39+J40+J41</f>
        <v>1632</v>
      </c>
      <c r="K42" s="122">
        <f t="shared" si="8"/>
        <v>12355</v>
      </c>
      <c r="L42" s="122">
        <f t="shared" si="8"/>
        <v>54797</v>
      </c>
      <c r="M42" s="122">
        <f t="shared" si="8"/>
        <v>1835.9</v>
      </c>
      <c r="N42" s="122">
        <f t="shared" si="8"/>
        <v>22604.429999999997</v>
      </c>
      <c r="O42" s="122">
        <f t="shared" si="8"/>
        <v>125412.91999999998</v>
      </c>
      <c r="P42" s="122">
        <f t="shared" si="8"/>
        <v>243.78799999997932</v>
      </c>
      <c r="Q42" s="123">
        <f t="shared" si="5"/>
        <v>68</v>
      </c>
      <c r="R42" s="94"/>
      <c r="S42" s="94"/>
    </row>
    <row r="43" spans="2:19">
      <c r="B43" s="569">
        <v>5</v>
      </c>
      <c r="C43" s="476" t="s">
        <v>289</v>
      </c>
      <c r="D43" s="80" t="s">
        <v>285</v>
      </c>
      <c r="E43" s="97">
        <v>75</v>
      </c>
      <c r="F43" s="78">
        <f>Production2!AT11</f>
        <v>0</v>
      </c>
      <c r="G43" s="75">
        <f>F43+'8'!G43</f>
        <v>0</v>
      </c>
      <c r="H43" s="75">
        <f>F43+'8'!H43</f>
        <v>45.429999999999993</v>
      </c>
      <c r="I43" s="471"/>
      <c r="J43" s="77">
        <f>Production2!AU11</f>
        <v>0</v>
      </c>
      <c r="K43" s="74">
        <f>J43+'8'!K43</f>
        <v>0</v>
      </c>
      <c r="L43" s="74">
        <f>J43+'8'!L43</f>
        <v>2750</v>
      </c>
      <c r="M43" s="542"/>
      <c r="N43" s="543"/>
      <c r="O43" s="543"/>
      <c r="P43" s="544"/>
      <c r="Q43" s="96" t="e">
        <f t="shared" si="5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Production2!AQ11</f>
        <v>0</v>
      </c>
      <c r="G44" s="75">
        <f>F44+'8'!G44</f>
        <v>103.72999999999999</v>
      </c>
      <c r="H44" s="75">
        <f>F44+'8'!H44</f>
        <v>954.1400000000001</v>
      </c>
      <c r="I44" s="472"/>
      <c r="J44" s="77">
        <f>Production2!AR11</f>
        <v>0</v>
      </c>
      <c r="K44" s="74">
        <f>J44+'8'!K44</f>
        <v>6210</v>
      </c>
      <c r="L44" s="74">
        <f>J44+'8'!L44</f>
        <v>56171</v>
      </c>
      <c r="M44" s="545"/>
      <c r="N44" s="546"/>
      <c r="O44" s="546"/>
      <c r="P44" s="547"/>
      <c r="Q44" s="96" t="e">
        <f t="shared" si="5"/>
        <v>#DIV/0!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Production2!AW11</f>
        <v>0</v>
      </c>
      <c r="G45" s="75">
        <f>F45+'8'!G45</f>
        <v>0</v>
      </c>
      <c r="H45" s="75">
        <f>F45+'8'!H45</f>
        <v>0</v>
      </c>
      <c r="I45" s="472"/>
      <c r="J45" s="77">
        <f>Production2!AX11</f>
        <v>0</v>
      </c>
      <c r="K45" s="74">
        <f>J45+'8'!K45</f>
        <v>0</v>
      </c>
      <c r="L45" s="74">
        <f>J45+'8'!L45</f>
        <v>0</v>
      </c>
      <c r="M45" s="545"/>
      <c r="N45" s="546"/>
      <c r="O45" s="546"/>
      <c r="P45" s="547"/>
      <c r="Q45" s="96" t="e">
        <f t="shared" si="5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Production2!AZ11</f>
        <v>1.47</v>
      </c>
      <c r="G46" s="75">
        <f>F46+'8'!G46</f>
        <v>10.47</v>
      </c>
      <c r="H46" s="75">
        <f>F46+'8'!H46</f>
        <v>58.35</v>
      </c>
      <c r="I46" s="473"/>
      <c r="J46" s="195">
        <f>Production2!BA11</f>
        <v>85</v>
      </c>
      <c r="K46" s="74">
        <f>J46+'8'!K46</f>
        <v>593</v>
      </c>
      <c r="L46" s="74">
        <f>J46+'8'!L46</f>
        <v>3240</v>
      </c>
      <c r="M46" s="545"/>
      <c r="N46" s="546"/>
      <c r="O46" s="546"/>
      <c r="P46" s="547"/>
      <c r="Q46" s="96">
        <f t="shared" si="5"/>
        <v>57.823129251700678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Production2!BC11</f>
        <v>0</v>
      </c>
      <c r="G47" s="75">
        <f>F47+'8'!G47</f>
        <v>0</v>
      </c>
      <c r="H47" s="75">
        <f>F47+'8'!H47</f>
        <v>108.67</v>
      </c>
      <c r="I47" s="425"/>
      <c r="J47" s="195">
        <f>Production2!BD11</f>
        <v>0</v>
      </c>
      <c r="K47" s="74">
        <f>J47+'8'!K47</f>
        <v>0</v>
      </c>
      <c r="L47" s="74">
        <f>J47+'8'!L47</f>
        <v>6615</v>
      </c>
      <c r="M47" s="548"/>
      <c r="N47" s="549"/>
      <c r="O47" s="549"/>
      <c r="P47" s="550"/>
      <c r="Q47" s="96" t="e">
        <f t="shared" si="5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1.47</v>
      </c>
      <c r="G48" s="132">
        <f t="shared" ref="G48:H48" si="9">G43+G44+G45+G46+G47</f>
        <v>114.19999999999999</v>
      </c>
      <c r="H48" s="132">
        <f t="shared" si="9"/>
        <v>1166.5900000000001</v>
      </c>
      <c r="I48" s="132"/>
      <c r="J48" s="122">
        <f>J43+J44+J45+J46+J47</f>
        <v>85</v>
      </c>
      <c r="K48" s="122">
        <f t="shared" ref="K48:L48" si="10">K43+K44+K45+K46+K47</f>
        <v>6803</v>
      </c>
      <c r="L48" s="122">
        <f t="shared" si="10"/>
        <v>68776</v>
      </c>
      <c r="M48" s="122"/>
      <c r="N48" s="122"/>
      <c r="O48" s="122"/>
      <c r="P48" s="122"/>
      <c r="Q48" s="123">
        <f t="shared" si="5"/>
        <v>57.823129251700678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0.43991789041528501</v>
      </c>
      <c r="F52" s="99">
        <f>F55/(J33+J34)</f>
        <v>27.346933250307959</v>
      </c>
      <c r="G52" s="99">
        <v>0</v>
      </c>
      <c r="H52" s="99">
        <f>H55/J36</f>
        <v>35.636363636363633</v>
      </c>
      <c r="I52" s="99">
        <f>I55/J35</f>
        <v>54.653333333333336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15.734265734265735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0.72294198774539842</v>
      </c>
      <c r="F53" s="102">
        <f>F52*1.55</f>
        <v>42.387746537977335</v>
      </c>
      <c r="G53" s="102">
        <f>G52*1.55</f>
        <v>0</v>
      </c>
      <c r="H53" s="102">
        <f>H52</f>
        <v>35.636363636363633</v>
      </c>
      <c r="I53" s="102">
        <f>I52*(Q52/100)</f>
        <v>8.5993006993007004</v>
      </c>
      <c r="J53" s="102"/>
      <c r="K53" s="102"/>
      <c r="L53" s="102"/>
      <c r="M53" s="96"/>
      <c r="N53" s="306">
        <f>SUM(E53:I53)</f>
        <v>87.346352861387061</v>
      </c>
      <c r="O53" s="516" t="s">
        <v>298</v>
      </c>
      <c r="P53" s="516"/>
      <c r="Q53" s="104">
        <v>5563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0.57502014134107871</v>
      </c>
      <c r="F54" s="102">
        <f>F53*M20/100</f>
        <v>33.714749479983688</v>
      </c>
      <c r="G54" s="102">
        <f>G53*M20/100</f>
        <v>0</v>
      </c>
      <c r="H54" s="102">
        <f>H53*M20/100</f>
        <v>28.344773442984081</v>
      </c>
      <c r="I54" s="102">
        <f>I53*M20/100</f>
        <v>6.8397896198660781</v>
      </c>
      <c r="J54" s="99">
        <f>J55/(J42+J48)</f>
        <v>41.299359347699479</v>
      </c>
      <c r="K54" s="99">
        <f>K55/(J48+J42)</f>
        <v>1.0570762958648805</v>
      </c>
      <c r="L54" s="99">
        <f>L55/(M42)</f>
        <v>2.8067977558690558</v>
      </c>
      <c r="M54" s="96">
        <f>M55/(J48+J42)</f>
        <v>2.5072801397786839</v>
      </c>
      <c r="N54" s="306">
        <f>SUM(E54:M54)</f>
        <v>117.14484622338702</v>
      </c>
      <c r="O54" s="516" t="s">
        <v>300</v>
      </c>
      <c r="P54" s="516"/>
      <c r="Q54" s="104">
        <f>Q53*Q52/100</f>
        <v>875.29720279720277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unit'!B11</f>
        <v>1393</v>
      </c>
      <c r="F55" s="118">
        <f>'Daily unit'!C11</f>
        <v>60606</v>
      </c>
      <c r="G55" s="118">
        <f>'Daily unit'!D11</f>
        <v>0</v>
      </c>
      <c r="H55" s="118">
        <f>'Daily unit'!E11</f>
        <v>50960</v>
      </c>
      <c r="I55" s="118">
        <f>'Daily unit'!F11</f>
        <v>12297</v>
      </c>
      <c r="J55" s="118">
        <f>'Daily unit'!G11</f>
        <v>70911</v>
      </c>
      <c r="K55" s="118">
        <f>'Daily unit'!H11</f>
        <v>1815</v>
      </c>
      <c r="L55" s="118">
        <f>'Daily unit'!I11</f>
        <v>5153</v>
      </c>
      <c r="M55" s="119">
        <f>'Daily unit'!J11</f>
        <v>4305</v>
      </c>
      <c r="N55" s="317">
        <f>SUM(E55:M55)</f>
        <v>207440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90">
        <v>1</v>
      </c>
      <c r="C59" s="691" t="s">
        <v>306</v>
      </c>
      <c r="D59" s="651"/>
      <c r="E59" s="80">
        <v>42.5</v>
      </c>
      <c r="F59" s="53">
        <f>'Internal use cement'!F11</f>
        <v>0</v>
      </c>
      <c r="G59" s="53">
        <f>F59+'8'!G59</f>
        <v>0</v>
      </c>
      <c r="H59" s="104">
        <f>F59+'8'!H59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75"/>
      <c r="C60" s="676"/>
      <c r="D60" s="653"/>
      <c r="E60" s="80" t="s">
        <v>211</v>
      </c>
      <c r="F60" s="53">
        <f>'Internal use cement'!Q11</f>
        <v>0</v>
      </c>
      <c r="G60" s="53">
        <f>F60+'8'!G60</f>
        <v>0</v>
      </c>
      <c r="H60" s="104">
        <f>F60+'8'!H60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75"/>
      <c r="C61" s="676"/>
      <c r="D61" s="653"/>
      <c r="E61" s="80">
        <v>32.5</v>
      </c>
      <c r="F61" s="53">
        <f>'Internal use cement'!AB11</f>
        <v>0</v>
      </c>
      <c r="G61" s="53">
        <f>F61+'8'!G61</f>
        <v>0</v>
      </c>
      <c r="H61" s="104">
        <f>F61+'8'!H61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479"/>
      <c r="C62" s="480"/>
      <c r="D62" s="655"/>
      <c r="E62" s="112" t="s">
        <v>187</v>
      </c>
      <c r="F62" s="113">
        <f>'Internal use cement'!AJ11</f>
        <v>0</v>
      </c>
      <c r="G62" s="220">
        <f>F62+'8'!G62</f>
        <v>0</v>
      </c>
      <c r="H62" s="114">
        <f>F62+'8'!H62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4">
    <mergeCell ref="B16:B18"/>
    <mergeCell ref="C16:C18"/>
    <mergeCell ref="M27:N27"/>
    <mergeCell ref="C23:D23"/>
    <mergeCell ref="M20:M21"/>
    <mergeCell ref="C19:Q19"/>
    <mergeCell ref="B20:B22"/>
    <mergeCell ref="C20:C22"/>
    <mergeCell ref="N20:N22"/>
    <mergeCell ref="C24:D24"/>
    <mergeCell ref="B25:B26"/>
    <mergeCell ref="C25:C26"/>
    <mergeCell ref="M25:N26"/>
    <mergeCell ref="P25:Q27"/>
    <mergeCell ref="C27:D27"/>
    <mergeCell ref="C8:Q8"/>
    <mergeCell ref="C11:D11"/>
    <mergeCell ref="C12:D12"/>
    <mergeCell ref="O20:O27"/>
    <mergeCell ref="C15:D15"/>
    <mergeCell ref="P15:Q15"/>
    <mergeCell ref="O9:O18"/>
    <mergeCell ref="C10:D10"/>
    <mergeCell ref="P20:Q22"/>
    <mergeCell ref="Q23:Q24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32:D32"/>
    <mergeCell ref="C33:D33"/>
    <mergeCell ref="M30:O30"/>
    <mergeCell ref="P30:P31"/>
    <mergeCell ref="M33:M34"/>
    <mergeCell ref="N33:N34"/>
    <mergeCell ref="I33:I34"/>
    <mergeCell ref="O33:O34"/>
    <mergeCell ref="P33:P34"/>
    <mergeCell ref="C34:D34"/>
    <mergeCell ref="B28:Q28"/>
    <mergeCell ref="B29:Q29"/>
    <mergeCell ref="B30:B31"/>
    <mergeCell ref="C30:D31"/>
    <mergeCell ref="Q30:Q31"/>
    <mergeCell ref="F30:H30"/>
    <mergeCell ref="I30:I31"/>
    <mergeCell ref="J30:L30"/>
    <mergeCell ref="C35:D35"/>
    <mergeCell ref="C36:D36"/>
    <mergeCell ref="M43:P47"/>
    <mergeCell ref="C59:D62"/>
    <mergeCell ref="I57:Q62"/>
    <mergeCell ref="C53:D53"/>
    <mergeCell ref="B57:H57"/>
    <mergeCell ref="C58:E58"/>
    <mergeCell ref="B56:Q56"/>
    <mergeCell ref="B59:B62"/>
    <mergeCell ref="O53:P53"/>
    <mergeCell ref="C55:D55"/>
    <mergeCell ref="O54:P54"/>
    <mergeCell ref="C54:D54"/>
    <mergeCell ref="O51:P51"/>
    <mergeCell ref="O52:P52"/>
    <mergeCell ref="C52:D52"/>
    <mergeCell ref="B49:Q49"/>
    <mergeCell ref="B37:B42"/>
    <mergeCell ref="O50:Q50"/>
    <mergeCell ref="C37:C42"/>
    <mergeCell ref="C51:D51"/>
    <mergeCell ref="B50:N50"/>
    <mergeCell ref="C43:C48"/>
    <mergeCell ref="I43:I46"/>
    <mergeCell ref="B43:B48"/>
  </mergeCells>
  <pageMargins left="0" right="0" top="0.75" bottom="0.75" header="0.3" footer="0.3"/>
  <pageSetup paperSize="9" scale="5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B2:U156"/>
  <sheetViews>
    <sheetView zoomScale="90" zoomScaleNormal="90" workbookViewId="0">
      <pane xSplit="4" ySplit="1" topLeftCell="E48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323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 t="s">
        <v>321</v>
      </c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'9'!L9</f>
        <v>20282.797485161729</v>
      </c>
      <c r="F9" s="74">
        <f>Production2!D12</f>
        <v>3104.7</v>
      </c>
      <c r="G9" s="74">
        <f>F9+'9'!G9</f>
        <v>30792.480000000007</v>
      </c>
      <c r="H9" s="74">
        <f>F9+'9'!H9</f>
        <v>187659.76000000004</v>
      </c>
      <c r="I9" s="74">
        <f>Production2!E12</f>
        <v>3004</v>
      </c>
      <c r="J9" s="74">
        <f>I9+'9'!J9</f>
        <v>26184</v>
      </c>
      <c r="K9" s="74">
        <f>I9+'9'!K9</f>
        <v>166215</v>
      </c>
      <c r="L9" s="74">
        <f>E9+F9-I9-I23</f>
        <v>19885.908596268175</v>
      </c>
      <c r="M9" s="75">
        <f>I9</f>
        <v>3004</v>
      </c>
      <c r="N9" s="75">
        <f>(I9/I15)*100</f>
        <v>94.973126778374962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(2)'!L12</f>
        <v>2772.8</v>
      </c>
      <c r="F10" s="77">
        <f>'Mines (2)'!M12</f>
        <v>292.89999999999998</v>
      </c>
      <c r="G10" s="74">
        <f>F10+'9'!G10</f>
        <v>558.26</v>
      </c>
      <c r="H10" s="74">
        <f>F10+'9'!H10</f>
        <v>5827.6600000000008</v>
      </c>
      <c r="I10" s="77">
        <f>'Mines (2)'!N12</f>
        <v>64</v>
      </c>
      <c r="J10" s="74">
        <f>I10+'9'!J10</f>
        <v>468</v>
      </c>
      <c r="K10" s="74">
        <f>I10+'9'!K10</f>
        <v>2950</v>
      </c>
      <c r="L10" s="77">
        <f t="shared" ref="L10:L18" si="0">E10+F10-I10</f>
        <v>3001.7000000000003</v>
      </c>
      <c r="M10" s="75">
        <f t="shared" ref="M10:M12" si="1">I10</f>
        <v>64</v>
      </c>
      <c r="N10" s="75">
        <f>(I10/I15)*100</f>
        <v>2.0233955105912109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Clinker!C12</f>
        <v>2048.92</v>
      </c>
      <c r="F11" s="77">
        <f>Clinker!D12</f>
        <v>0</v>
      </c>
      <c r="G11" s="74">
        <f>F11+'9'!G11</f>
        <v>0</v>
      </c>
      <c r="H11" s="74">
        <f>F11+'9'!H11</f>
        <v>417.28000000000003</v>
      </c>
      <c r="I11" s="77">
        <f>Clinker!E12</f>
        <v>95</v>
      </c>
      <c r="J11" s="74">
        <f>I11+'9'!J11</f>
        <v>694</v>
      </c>
      <c r="K11" s="74">
        <f>I11+'9'!K11</f>
        <v>3829</v>
      </c>
      <c r="L11" s="77">
        <f t="shared" si="0"/>
        <v>1953.92</v>
      </c>
      <c r="M11" s="75">
        <f t="shared" si="1"/>
        <v>95</v>
      </c>
      <c r="N11" s="75">
        <f>(I11/I15)*100</f>
        <v>3.0034777110338284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(2)'!Q12</f>
        <v>3.999999999996362E-2</v>
      </c>
      <c r="F12" s="77">
        <f>'Mines (2)'!R12</f>
        <v>0</v>
      </c>
      <c r="G12" s="74">
        <f>F12+'9'!G12</f>
        <v>0</v>
      </c>
      <c r="H12" s="74">
        <f>F12+'9'!H12</f>
        <v>137.76</v>
      </c>
      <c r="I12" s="77">
        <f>'Mines (2)'!S12</f>
        <v>0</v>
      </c>
      <c r="J12" s="74">
        <f>I12+'9'!J12</f>
        <v>0</v>
      </c>
      <c r="K12" s="74">
        <f>I12+'9'!K12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25104.557485161728</v>
      </c>
      <c r="F15" s="127">
        <f t="shared" si="2"/>
        <v>3397.6</v>
      </c>
      <c r="G15" s="127">
        <f t="shared" si="2"/>
        <v>31350.740000000005</v>
      </c>
      <c r="H15" s="127">
        <f t="shared" si="2"/>
        <v>194042.46000000005</v>
      </c>
      <c r="I15" s="127">
        <f t="shared" si="2"/>
        <v>3163</v>
      </c>
      <c r="J15" s="127">
        <f t="shared" si="2"/>
        <v>27346</v>
      </c>
      <c r="K15" s="127">
        <f t="shared" si="2"/>
        <v>173732</v>
      </c>
      <c r="L15" s="127">
        <f t="shared" si="0"/>
        <v>25339.157485161726</v>
      </c>
      <c r="M15" s="128">
        <f>SUM(M9:M12)</f>
        <v>3163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Clinker!EB12</f>
        <v>3817.4669999999901</v>
      </c>
      <c r="F16" s="77">
        <f>Clinker!EC12</f>
        <v>191.78</v>
      </c>
      <c r="G16" s="77">
        <f>F16+'9'!G16</f>
        <v>1819.0600000000002</v>
      </c>
      <c r="H16" s="77">
        <f>F16+'9'!H16</f>
        <v>2624.3000000000006</v>
      </c>
      <c r="I16" s="77">
        <f>Clinker!ED12</f>
        <v>260</v>
      </c>
      <c r="J16" s="77">
        <f>I16+'9'!J16</f>
        <v>2697.89</v>
      </c>
      <c r="K16" s="77">
        <f>I16+'9'!K16</f>
        <v>17415.200000000004</v>
      </c>
      <c r="L16" s="77">
        <f>E16+F16-I16-Clinker!N12-Clinker!Z12-Clinker!AS12-Clinker!AX12-Clinker!BC12-Clinker!BH12-Clinker!BW12-Clinker!BR12</f>
        <v>3749.2469999999903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Clinker!EF12</f>
        <v>4095.3699999999935</v>
      </c>
      <c r="F17" s="77">
        <f>Clinker!EG12</f>
        <v>251.7</v>
      </c>
      <c r="G17" s="77">
        <f>F17+'9'!G17</f>
        <v>1565.3500000000001</v>
      </c>
      <c r="H17" s="77">
        <f>F17+'9'!H17</f>
        <v>3706.2999999999997</v>
      </c>
      <c r="I17" s="77">
        <f>Clinker!EH12</f>
        <v>131</v>
      </c>
      <c r="J17" s="77">
        <f>I17+'9'!J17</f>
        <v>1398</v>
      </c>
      <c r="K17" s="77">
        <f>I17+'9'!K17</f>
        <v>9570</v>
      </c>
      <c r="L17" s="77">
        <f>E17+F17-Clinker!AE12-Clinker!AJ12-Clinker!CL12-Clinker!CQ12-Clinker!CG12</f>
        <v>4216.0699999999933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7912.8369999999832</v>
      </c>
      <c r="F18" s="125">
        <f>F16+F17</f>
        <v>443.48</v>
      </c>
      <c r="G18" s="125">
        <f t="shared" ref="G18:K18" si="3">G16+G17</f>
        <v>3384.4100000000003</v>
      </c>
      <c r="H18" s="125">
        <f t="shared" si="3"/>
        <v>6330.6</v>
      </c>
      <c r="I18" s="125">
        <f>I16+I17</f>
        <v>391</v>
      </c>
      <c r="J18" s="125">
        <f>J16+J17</f>
        <v>4095.89</v>
      </c>
      <c r="K18" s="125">
        <f t="shared" si="3"/>
        <v>26985.200000000004</v>
      </c>
      <c r="L18" s="125">
        <f t="shared" si="0"/>
        <v>7965.3169999999827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Clinker!EJ12</f>
        <v>25354.263583986147</v>
      </c>
      <c r="F20" s="74">
        <f>Clinker!EK12</f>
        <v>1510</v>
      </c>
      <c r="G20" s="74">
        <f>F20+'9'!G20</f>
        <v>15788</v>
      </c>
      <c r="H20" s="74">
        <f>F20+'9'!H20</f>
        <v>101314</v>
      </c>
      <c r="I20" s="74">
        <f>Clinker!EL12</f>
        <v>2075.320000048001</v>
      </c>
      <c r="J20" s="74">
        <f>I20+'9'!J20</f>
        <v>16944.865501823537</v>
      </c>
      <c r="K20" s="74">
        <f>I20+'9'!K20</f>
        <v>79806.59651568858</v>
      </c>
      <c r="L20" s="74">
        <f>E20+F20-I20-I22</f>
        <v>24788.943583938148</v>
      </c>
      <c r="M20" s="641">
        <f>((I20+I21)/(J42+J48))*100</f>
        <v>78.107640197516034</v>
      </c>
      <c r="N20" s="525"/>
      <c r="O20" s="527"/>
      <c r="P20" s="535"/>
      <c r="Q20" s="536"/>
      <c r="R20" s="20"/>
      <c r="S20" s="20"/>
    </row>
    <row r="21" spans="2:19" ht="45">
      <c r="B21" s="512"/>
      <c r="C21" s="477"/>
      <c r="D21" s="85" t="s">
        <v>70</v>
      </c>
      <c r="E21" s="74">
        <f>Clinker!EO12</f>
        <v>5306.1090080001359</v>
      </c>
      <c r="F21" s="74">
        <f>Clinker!EP12</f>
        <v>0</v>
      </c>
      <c r="G21" s="74">
        <f>F21+'9'!G21</f>
        <v>0</v>
      </c>
      <c r="H21" s="74">
        <f>F21+'9'!H21</f>
        <v>13390.660000000003</v>
      </c>
      <c r="I21" s="74">
        <f>Clinker!EQ12</f>
        <v>0</v>
      </c>
      <c r="J21" s="74">
        <f>I21+'9'!J21</f>
        <v>0</v>
      </c>
      <c r="K21" s="74">
        <f>I21+'9'!K21</f>
        <v>16934.099999999999</v>
      </c>
      <c r="L21" s="75">
        <f>E21+F21-I21</f>
        <v>5306.1090080001359</v>
      </c>
      <c r="M21" s="642"/>
      <c r="N21" s="525"/>
      <c r="O21" s="527"/>
      <c r="P21" s="535"/>
      <c r="Q21" s="536"/>
      <c r="R21" s="190"/>
      <c r="S21" s="190"/>
    </row>
    <row r="22" spans="2:19" ht="30">
      <c r="B22" s="512"/>
      <c r="C22" s="524"/>
      <c r="D22" s="86" t="s">
        <v>270</v>
      </c>
      <c r="E22" s="77"/>
      <c r="F22" s="77">
        <f>Clinker!EN12</f>
        <v>0</v>
      </c>
      <c r="G22" s="74">
        <f>F22+'9'!G22</f>
        <v>0</v>
      </c>
      <c r="H22" s="74">
        <f>F22+'9'!H22</f>
        <v>0</v>
      </c>
      <c r="I22" s="77">
        <f>Clinker!EN12</f>
        <v>0</v>
      </c>
      <c r="J22" s="74">
        <f>I22+'9'!J22</f>
        <v>0</v>
      </c>
      <c r="K22" s="74">
        <f>I22+'9'!K22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Cement!S12</f>
        <v>497.58888889355444</v>
      </c>
      <c r="J23" s="74">
        <f>I23+'9'!J23</f>
        <v>4190.3716660629943</v>
      </c>
      <c r="K23" s="74">
        <f>I23+'9'!K23</f>
        <v>24663.723100915675</v>
      </c>
      <c r="L23" s="74"/>
      <c r="M23" s="78">
        <f>(I23/(J42+J48))*100</f>
        <v>18.727470413758166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Cement!C12</f>
        <v>3285.9536965120401</v>
      </c>
      <c r="F24" s="77">
        <f>Cement!D12</f>
        <v>214.88</v>
      </c>
      <c r="G24" s="74">
        <f>F24+'9'!G24</f>
        <v>308.24</v>
      </c>
      <c r="H24" s="74">
        <f>F24+'9'!H24</f>
        <v>2434.8599999999997</v>
      </c>
      <c r="I24" s="77">
        <f>Cement!F12</f>
        <v>140.89473678715791</v>
      </c>
      <c r="J24" s="74">
        <f>I24+'9'!J24</f>
        <v>1156.631577599758</v>
      </c>
      <c r="K24" s="74">
        <f>I24+'9'!K24</f>
        <v>6520.3010994249016</v>
      </c>
      <c r="L24" s="74">
        <f>E24+F24-I24</f>
        <v>3359.9389597248824</v>
      </c>
      <c r="M24" s="78">
        <f>(I24/(J42+J48))*100</f>
        <v>5.3027751895806521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Cement!H12</f>
        <v>0.23999999999796273</v>
      </c>
      <c r="F25" s="77">
        <f>Cement!I12</f>
        <v>0</v>
      </c>
      <c r="G25" s="74">
        <f>F25+'9'!G25</f>
        <v>0</v>
      </c>
      <c r="H25" s="74">
        <f>F25+'9'!H25</f>
        <v>0</v>
      </c>
      <c r="I25" s="77">
        <f>Cement!J12</f>
        <v>0</v>
      </c>
      <c r="J25" s="74">
        <f>I25+'9'!J25</f>
        <v>0</v>
      </c>
      <c r="K25" s="74">
        <f>I25+'9'!K25</f>
        <v>0</v>
      </c>
      <c r="L25" s="74">
        <f t="shared" ref="L25:L26" si="4">E25+F25-I25</f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Cement!L12</f>
        <v>0</v>
      </c>
      <c r="F26" s="77">
        <f>Cement!M12</f>
        <v>0</v>
      </c>
      <c r="G26" s="74">
        <f>F26+'9'!G26</f>
        <v>0</v>
      </c>
      <c r="H26" s="74">
        <f>F26+'9'!H26</f>
        <v>0</v>
      </c>
      <c r="I26" s="77">
        <f>Cement!N12</f>
        <v>0</v>
      </c>
      <c r="J26" s="74">
        <f>I26+'9'!J26</f>
        <v>0</v>
      </c>
      <c r="K26" s="74">
        <f>I26+'9'!K26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33946.566288498325</v>
      </c>
      <c r="F27" s="122">
        <f t="shared" ref="F27:L27" si="5">F20+F21+F23+F24+F25+F26</f>
        <v>1724.88</v>
      </c>
      <c r="G27" s="122">
        <f t="shared" si="5"/>
        <v>16096.24</v>
      </c>
      <c r="H27" s="122">
        <f t="shared" si="5"/>
        <v>117139.52</v>
      </c>
      <c r="I27" s="122">
        <f t="shared" si="5"/>
        <v>2713.8036257287131</v>
      </c>
      <c r="J27" s="122">
        <f t="shared" si="5"/>
        <v>22291.868745486288</v>
      </c>
      <c r="K27" s="122">
        <f t="shared" si="5"/>
        <v>127924.72071602916</v>
      </c>
      <c r="L27" s="122">
        <f t="shared" si="5"/>
        <v>33455.231551663164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Production2!C12</f>
        <v>20.62</v>
      </c>
      <c r="G32" s="75">
        <f>F32+'9'!G32</f>
        <v>186.31000000000003</v>
      </c>
      <c r="H32" s="75">
        <f>F32+'9'!H32</f>
        <v>1155.44</v>
      </c>
      <c r="I32" s="74">
        <f>'Mines (2)'!C12+'Mines (2)'!H12+'Mines (2)'!V12+'Mines (2)'!Z12+'Mines (2)'!AD12</f>
        <v>20282.797485161725</v>
      </c>
      <c r="J32" s="74">
        <f>Production2!D12</f>
        <v>3104.7</v>
      </c>
      <c r="K32" s="74">
        <f>J32+'9'!K32</f>
        <v>30792.480000000007</v>
      </c>
      <c r="L32" s="74">
        <f>J32+'9'!L32</f>
        <v>187659.76000000004</v>
      </c>
      <c r="M32" s="74">
        <f>I9+I23</f>
        <v>3501.5888888935542</v>
      </c>
      <c r="N32" s="74">
        <f>M32+'9'!N32</f>
        <v>30374.371666062991</v>
      </c>
      <c r="O32" s="74">
        <f>M32+'9'!O32</f>
        <v>190878.72310091567</v>
      </c>
      <c r="P32" s="74">
        <f>I32+J32-M32</f>
        <v>19885.908596268171</v>
      </c>
      <c r="Q32" s="93">
        <f>J32/F32</f>
        <v>150.5674102812803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Production2!G12</f>
        <v>22.92</v>
      </c>
      <c r="G33" s="75">
        <f>F33+'9'!G33</f>
        <v>189.94</v>
      </c>
      <c r="H33" s="75">
        <f>F33+'9'!H33</f>
        <v>1259.48</v>
      </c>
      <c r="I33" s="541">
        <f>Production2!H12</f>
        <v>919.41001683751847</v>
      </c>
      <c r="J33" s="78">
        <f>Production2!N12</f>
        <v>2681</v>
      </c>
      <c r="K33" s="74">
        <f>J33+'9'!K33</f>
        <v>22887</v>
      </c>
      <c r="L33" s="74">
        <f>J33+'9'!L33</f>
        <v>149172.59</v>
      </c>
      <c r="M33" s="541">
        <f>Production2!K12</f>
        <v>2340.5</v>
      </c>
      <c r="N33" s="541">
        <f>M33+'9'!N33</f>
        <v>24471.4</v>
      </c>
      <c r="O33" s="541">
        <f>M33+'9'!O33</f>
        <v>157036.69999999998</v>
      </c>
      <c r="P33" s="541">
        <f>I33+J33+J34-M33</f>
        <v>1428.4600168375187</v>
      </c>
      <c r="Q33" s="96">
        <f t="shared" ref="Q33:Q48" si="6">J33/F33</f>
        <v>116.97207678883071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Production2!P12</f>
        <v>18.68</v>
      </c>
      <c r="G34" s="75">
        <f>F34+'9'!G34</f>
        <v>187.53000000000003</v>
      </c>
      <c r="H34" s="75">
        <f>F34+'9'!H34</f>
        <v>803.19999999999993</v>
      </c>
      <c r="I34" s="473"/>
      <c r="J34" s="78">
        <f>Production2!Q12</f>
        <v>168.55</v>
      </c>
      <c r="K34" s="74">
        <f>J34+'9'!K34</f>
        <v>1745.2199999999998</v>
      </c>
      <c r="L34" s="74">
        <f>J34+'9'!L34</f>
        <v>7298.8400000000011</v>
      </c>
      <c r="M34" s="473"/>
      <c r="N34" s="473"/>
      <c r="O34" s="473"/>
      <c r="P34" s="473"/>
      <c r="Q34" s="96">
        <f>J34/F34</f>
        <v>9.0230192719486091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Production2!S12</f>
        <v>18</v>
      </c>
      <c r="G35" s="75">
        <f>F35+'9'!G35</f>
        <v>173.94</v>
      </c>
      <c r="H35" s="75">
        <f>F35+'9'!H35</f>
        <v>1127.27</v>
      </c>
      <c r="I35" s="77">
        <f>Production2!T12</f>
        <v>51.209999999999809</v>
      </c>
      <c r="J35" s="77">
        <f>Production2!U12</f>
        <v>234</v>
      </c>
      <c r="K35" s="74">
        <f>J35+'9'!K35</f>
        <v>2428.1</v>
      </c>
      <c r="L35" s="74">
        <f>J35+'9'!L35</f>
        <v>15673.699999999999</v>
      </c>
      <c r="M35" s="77">
        <f>Production2!V12</f>
        <v>233</v>
      </c>
      <c r="N35" s="74">
        <f>M35+'9'!N35</f>
        <v>2418</v>
      </c>
      <c r="O35" s="74">
        <f>M35+'9'!O35</f>
        <v>15637</v>
      </c>
      <c r="P35" s="74">
        <f t="shared" ref="P35" si="7">I35+J35-M35</f>
        <v>52.209999999999809</v>
      </c>
      <c r="Q35" s="96">
        <f t="shared" si="6"/>
        <v>13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Production2!Y12</f>
        <v>24</v>
      </c>
      <c r="G36" s="75">
        <f>F36+'9'!G36</f>
        <v>237.04000000000002</v>
      </c>
      <c r="H36" s="75">
        <f>F36+'9'!H36</f>
        <v>1551.85</v>
      </c>
      <c r="I36" s="77">
        <f>Clinker!EJ12</f>
        <v>25354.263583986147</v>
      </c>
      <c r="J36" s="77">
        <f>Clinker!EK12</f>
        <v>1510</v>
      </c>
      <c r="K36" s="74">
        <f>J36+'9'!K36</f>
        <v>15788</v>
      </c>
      <c r="L36" s="74">
        <f>J36+'9'!L36</f>
        <v>101314</v>
      </c>
      <c r="M36" s="77">
        <f>Clinker!EL12</f>
        <v>2075.320000048001</v>
      </c>
      <c r="N36" s="74">
        <f>M36+'9'!N36</f>
        <v>16944.865501823537</v>
      </c>
      <c r="O36" s="74">
        <f>M36+'9'!O36</f>
        <v>79806.59651568858</v>
      </c>
      <c r="P36" s="74">
        <f>I36+J36-M36-I22</f>
        <v>24788.943583938148</v>
      </c>
      <c r="Q36" s="96">
        <f t="shared" si="6"/>
        <v>62.916666666666664</v>
      </c>
      <c r="R36" s="94"/>
      <c r="S36" s="94"/>
    </row>
    <row r="37" spans="2:19">
      <c r="B37" s="569">
        <v>5</v>
      </c>
      <c r="C37" s="476" t="s">
        <v>158</v>
      </c>
      <c r="D37" s="80" t="s">
        <v>285</v>
      </c>
      <c r="E37" s="97">
        <v>90</v>
      </c>
      <c r="F37" s="78">
        <f>Production2!AE12</f>
        <v>2</v>
      </c>
      <c r="G37" s="75">
        <f>F37+'9'!G37</f>
        <v>7</v>
      </c>
      <c r="H37" s="75">
        <f>F37+'9'!H37</f>
        <v>46.7</v>
      </c>
      <c r="I37" s="77">
        <f>Production2!BJ12</f>
        <v>24.299999999999955</v>
      </c>
      <c r="J37" s="77">
        <f>Production2!AF12</f>
        <v>140</v>
      </c>
      <c r="K37" s="74">
        <f>J37+'9'!K37</f>
        <v>489</v>
      </c>
      <c r="L37" s="74">
        <f>J37+'9'!L37</f>
        <v>3123</v>
      </c>
      <c r="M37" s="77">
        <f>Production2!BL12</f>
        <v>127</v>
      </c>
      <c r="N37" s="74">
        <f>M37+'9'!N37</f>
        <v>1030</v>
      </c>
      <c r="O37" s="74">
        <f>M37+'9'!O37</f>
        <v>6068</v>
      </c>
      <c r="P37" s="74">
        <f>I37+J37+J43-M37-F61</f>
        <v>257.29999999999995</v>
      </c>
      <c r="Q37" s="96">
        <f t="shared" si="6"/>
        <v>70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Production2!AB12</f>
        <v>17.37</v>
      </c>
      <c r="G38" s="75">
        <f>F38+'9'!G38</f>
        <v>181.22000000000003</v>
      </c>
      <c r="H38" s="75">
        <f>F38+'9'!H38</f>
        <v>679.68999999999994</v>
      </c>
      <c r="I38" s="77">
        <f>Production2!BF12</f>
        <v>46.227999999978238</v>
      </c>
      <c r="J38" s="77">
        <f>Production2!AC12</f>
        <v>1100</v>
      </c>
      <c r="K38" s="74">
        <f>J38+'9'!K38</f>
        <v>12063</v>
      </c>
      <c r="L38" s="74">
        <f>J38+'9'!L38</f>
        <v>43393</v>
      </c>
      <c r="M38" s="77">
        <f>Production2!BH12</f>
        <v>1456.75</v>
      </c>
      <c r="N38" s="74">
        <f>M38+'9'!N38</f>
        <v>20400.249999999996</v>
      </c>
      <c r="O38" s="74">
        <f>M38+'9'!O38</f>
        <v>101143.07999999999</v>
      </c>
      <c r="P38" s="74">
        <f>I38+J38+J44-M38-F59</f>
        <v>441.47799999997824</v>
      </c>
      <c r="Q38" s="96">
        <f t="shared" si="6"/>
        <v>63.32757628094415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Production2!AH12</f>
        <v>0</v>
      </c>
      <c r="G39" s="75">
        <f>F39+'9'!G39</f>
        <v>0</v>
      </c>
      <c r="H39" s="75">
        <f>F39+'9'!H39</f>
        <v>0</v>
      </c>
      <c r="I39" s="77">
        <f>Production2!BN12</f>
        <v>9.0000000000849845E-2</v>
      </c>
      <c r="J39" s="77">
        <f>Production2!AI12</f>
        <v>0</v>
      </c>
      <c r="K39" s="74">
        <f>J39+'9'!K39</f>
        <v>0</v>
      </c>
      <c r="L39" s="74">
        <f>J39+'9'!L39</f>
        <v>0</v>
      </c>
      <c r="M39" s="77">
        <f>Production2!BP12</f>
        <v>0</v>
      </c>
      <c r="N39" s="74">
        <f>M39+'9'!N39</f>
        <v>0</v>
      </c>
      <c r="O39" s="74">
        <f>M39+'9'!O39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Production2!AK12</f>
        <v>0</v>
      </c>
      <c r="G40" s="75">
        <f>F40+'9'!G40</f>
        <v>1</v>
      </c>
      <c r="H40" s="75">
        <f>F40+'9'!H40</f>
        <v>6</v>
      </c>
      <c r="I40" s="195">
        <f>Production2!BR12</f>
        <v>120.70000000000005</v>
      </c>
      <c r="J40" s="195">
        <f>Production2!AL12</f>
        <v>0</v>
      </c>
      <c r="K40" s="74">
        <f>J40+'9'!K40</f>
        <v>65</v>
      </c>
      <c r="L40" s="74">
        <f>J40+'9'!L40</f>
        <v>365</v>
      </c>
      <c r="M40" s="195">
        <f>Production2!BT12</f>
        <v>61</v>
      </c>
      <c r="N40" s="74">
        <f>M40+'9'!N40</f>
        <v>726</v>
      </c>
      <c r="O40" s="74">
        <f>M40+'9'!O40</f>
        <v>3758.5</v>
      </c>
      <c r="P40" s="74">
        <f>I40+J40+J46-M40-F62</f>
        <v>173.70000000000005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Production2!AN12</f>
        <v>3</v>
      </c>
      <c r="G41" s="75">
        <f>F41+'9'!G41</f>
        <v>17</v>
      </c>
      <c r="H41" s="75">
        <f>F41+'9'!H41</f>
        <v>143.16999999999999</v>
      </c>
      <c r="I41" s="195">
        <f>Production2!BV12</f>
        <v>52.47000000000024</v>
      </c>
      <c r="J41" s="195">
        <f>Production2!AO12</f>
        <v>211</v>
      </c>
      <c r="K41" s="74">
        <f>J41+'9'!K41</f>
        <v>1189</v>
      </c>
      <c r="L41" s="74">
        <f>J41+'9'!L41</f>
        <v>9367</v>
      </c>
      <c r="M41" s="77">
        <f>Production2!BX12</f>
        <v>209.64</v>
      </c>
      <c r="N41" s="74">
        <f>M41+'9'!N41</f>
        <v>2302.5699999999993</v>
      </c>
      <c r="O41" s="74">
        <f>M41+'9'!O41</f>
        <v>16297.879999999997</v>
      </c>
      <c r="P41" s="74">
        <f>I41+J41+J47-M41</f>
        <v>173.83000000000027</v>
      </c>
      <c r="Q41" s="96">
        <f t="shared" si="6"/>
        <v>70.333333333333329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22.37</v>
      </c>
      <c r="G42" s="132">
        <f t="shared" ref="G42:H42" si="8">G37+G38+G39+G40+G41</f>
        <v>206.22000000000003</v>
      </c>
      <c r="H42" s="132">
        <f t="shared" si="8"/>
        <v>875.56</v>
      </c>
      <c r="I42" s="122">
        <f>I37+I38+I39+I40+I41</f>
        <v>243.78799999997932</v>
      </c>
      <c r="J42" s="122">
        <f t="shared" ref="J42:P42" si="9">J37+J38+J39+J40+J41</f>
        <v>1451</v>
      </c>
      <c r="K42" s="122">
        <f t="shared" si="9"/>
        <v>13806</v>
      </c>
      <c r="L42" s="122">
        <f t="shared" si="9"/>
        <v>56248</v>
      </c>
      <c r="M42" s="122">
        <f t="shared" si="9"/>
        <v>1854.3899999999999</v>
      </c>
      <c r="N42" s="122">
        <f t="shared" si="9"/>
        <v>24458.819999999996</v>
      </c>
      <c r="O42" s="122">
        <f t="shared" si="9"/>
        <v>127267.31</v>
      </c>
      <c r="P42" s="122">
        <f t="shared" si="9"/>
        <v>1046.3979999999792</v>
      </c>
      <c r="Q42" s="123">
        <f t="shared" si="6"/>
        <v>64.86365668305767</v>
      </c>
      <c r="R42" s="94"/>
      <c r="S42" s="94"/>
    </row>
    <row r="43" spans="2:19">
      <c r="B43" s="569">
        <v>5</v>
      </c>
      <c r="C43" s="476" t="s">
        <v>289</v>
      </c>
      <c r="D43" s="80" t="s">
        <v>285</v>
      </c>
      <c r="E43" s="97">
        <v>75</v>
      </c>
      <c r="F43" s="78">
        <f>Production2!AT12</f>
        <v>3.5</v>
      </c>
      <c r="G43" s="75">
        <f>F43+'9'!G43</f>
        <v>3.5</v>
      </c>
      <c r="H43" s="75">
        <f>F43+'9'!H43</f>
        <v>48.929999999999993</v>
      </c>
      <c r="I43" s="471"/>
      <c r="J43" s="77">
        <f>Production2!AU12</f>
        <v>220</v>
      </c>
      <c r="K43" s="74">
        <f>J43+'9'!K43</f>
        <v>220</v>
      </c>
      <c r="L43" s="74">
        <f>J43+'9'!L43</f>
        <v>2970</v>
      </c>
      <c r="M43" s="542"/>
      <c r="N43" s="543"/>
      <c r="O43" s="543"/>
      <c r="P43" s="544"/>
      <c r="Q43" s="96">
        <f t="shared" si="6"/>
        <v>62.857142857142854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Production2!AQ12</f>
        <v>13.65</v>
      </c>
      <c r="G44" s="75">
        <f>F44+'9'!G44</f>
        <v>117.38</v>
      </c>
      <c r="H44" s="75">
        <f>F44+'9'!H44</f>
        <v>967.79000000000008</v>
      </c>
      <c r="I44" s="472"/>
      <c r="J44" s="77">
        <f>Production2!AR12</f>
        <v>752</v>
      </c>
      <c r="K44" s="74">
        <f>J44+'9'!K44</f>
        <v>6962</v>
      </c>
      <c r="L44" s="74">
        <f>J44+'9'!L44</f>
        <v>56923</v>
      </c>
      <c r="M44" s="545"/>
      <c r="N44" s="546"/>
      <c r="O44" s="546"/>
      <c r="P44" s="547"/>
      <c r="Q44" s="96">
        <f t="shared" si="6"/>
        <v>55.091575091575088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Production2!AW12</f>
        <v>0</v>
      </c>
      <c r="G45" s="75">
        <f>F45+'9'!G45</f>
        <v>0</v>
      </c>
      <c r="H45" s="75">
        <f>F45+'9'!H45</f>
        <v>0</v>
      </c>
      <c r="I45" s="472"/>
      <c r="J45" s="77">
        <f>Production2!AX12</f>
        <v>0</v>
      </c>
      <c r="K45" s="74">
        <f>J45+'9'!K45</f>
        <v>0</v>
      </c>
      <c r="L45" s="74">
        <f>J45+'9'!L45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Production2!AZ12</f>
        <v>2</v>
      </c>
      <c r="G46" s="75">
        <f>F46+'9'!G46</f>
        <v>12.47</v>
      </c>
      <c r="H46" s="75">
        <f>F46+'9'!H46</f>
        <v>60.35</v>
      </c>
      <c r="I46" s="472"/>
      <c r="J46" s="195">
        <f>Production2!BA12</f>
        <v>114</v>
      </c>
      <c r="K46" s="74">
        <f>J46+'9'!K46</f>
        <v>707</v>
      </c>
      <c r="L46" s="74">
        <f>J46+'9'!L46</f>
        <v>3354</v>
      </c>
      <c r="M46" s="545"/>
      <c r="N46" s="546"/>
      <c r="O46" s="546"/>
      <c r="P46" s="547"/>
      <c r="Q46" s="96">
        <f t="shared" si="6"/>
        <v>57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Production2!BC12</f>
        <v>2</v>
      </c>
      <c r="G47" s="75">
        <f>F47+'9'!G47</f>
        <v>2</v>
      </c>
      <c r="H47" s="75">
        <f>F47+'9'!H47</f>
        <v>110.67</v>
      </c>
      <c r="I47" s="473"/>
      <c r="J47" s="195">
        <f>Production2!BD12</f>
        <v>120</v>
      </c>
      <c r="K47" s="74">
        <f>J47+'9'!K47</f>
        <v>120</v>
      </c>
      <c r="L47" s="74">
        <f>J47+'9'!L47</f>
        <v>6735</v>
      </c>
      <c r="M47" s="548"/>
      <c r="N47" s="549"/>
      <c r="O47" s="549"/>
      <c r="P47" s="550"/>
      <c r="Q47" s="96">
        <f t="shared" si="6"/>
        <v>60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21.15</v>
      </c>
      <c r="G48" s="132">
        <f t="shared" ref="G48:H48" si="10">G43+G44+G45+G46+G47</f>
        <v>135.35</v>
      </c>
      <c r="H48" s="132">
        <f t="shared" si="10"/>
        <v>1187.74</v>
      </c>
      <c r="I48" s="132"/>
      <c r="J48" s="122">
        <f t="shared" ref="J48:L48" si="11">J43+J44+J45+J46+J47</f>
        <v>1206</v>
      </c>
      <c r="K48" s="122">
        <f t="shared" si="11"/>
        <v>8009</v>
      </c>
      <c r="L48" s="122">
        <f t="shared" si="11"/>
        <v>69982</v>
      </c>
      <c r="M48" s="132"/>
      <c r="N48" s="132"/>
      <c r="O48" s="132"/>
      <c r="P48" s="132"/>
      <c r="Q48" s="123">
        <f t="shared" si="6"/>
        <v>57.021276595744688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0.51051631397558539</v>
      </c>
      <c r="F52" s="99">
        <f>F55/(J33+J34)</f>
        <v>22.466705269253037</v>
      </c>
      <c r="G52" s="99">
        <v>0</v>
      </c>
      <c r="H52" s="99">
        <f>H55/J36</f>
        <v>34.217880794701983</v>
      </c>
      <c r="I52" s="99">
        <f>I55/J35</f>
        <v>59.115384615384613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15.430463576158941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1.0156231835646745</v>
      </c>
      <c r="F53" s="102">
        <f>F52*1.55</f>
        <v>34.823393167342211</v>
      </c>
      <c r="G53" s="102">
        <f>G52*1.55</f>
        <v>0</v>
      </c>
      <c r="H53" s="102">
        <f>H52</f>
        <v>34.217880794701983</v>
      </c>
      <c r="I53" s="102">
        <f>I52*(Q52/100)</f>
        <v>9.1217778909831875</v>
      </c>
      <c r="J53" s="102"/>
      <c r="K53" s="102"/>
      <c r="L53" s="102"/>
      <c r="M53" s="96"/>
      <c r="N53" s="306">
        <f>SUM(E53:I53)</f>
        <v>79.178675036592054</v>
      </c>
      <c r="O53" s="516" t="s">
        <v>298</v>
      </c>
      <c r="P53" s="516"/>
      <c r="Q53" s="104">
        <v>5374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0.79327930198125374</v>
      </c>
      <c r="F54" s="102">
        <f>F53*M20/100</f>
        <v>27.199730639714033</v>
      </c>
      <c r="G54" s="102">
        <f>G53*M20/100</f>
        <v>0</v>
      </c>
      <c r="H54" s="102">
        <f>H53*M20/100</f>
        <v>26.726779214340763</v>
      </c>
      <c r="I54" s="102">
        <f>I53*M20/100</f>
        <v>7.1248054547057142</v>
      </c>
      <c r="J54" s="99">
        <f>J55/(J42+J48)</f>
        <v>39.243884079789233</v>
      </c>
      <c r="K54" s="99">
        <f>K55/(J48+J42)</f>
        <v>0.78773052314640568</v>
      </c>
      <c r="L54" s="99">
        <f>L55/(M42)</f>
        <v>2.9902016296464069</v>
      </c>
      <c r="M54" s="96">
        <f>M55/(J48+J42)</f>
        <v>1.5961610839292435</v>
      </c>
      <c r="N54" s="306">
        <f>SUM(E54:M54)</f>
        <v>106.46257192725305</v>
      </c>
      <c r="O54" s="516" t="s">
        <v>300</v>
      </c>
      <c r="P54" s="516"/>
      <c r="Q54" s="104">
        <f>Q53*Q52/100</f>
        <v>829.23311258278147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unit'!B12</f>
        <v>1585</v>
      </c>
      <c r="F55" s="118">
        <f>'Daily unit'!C12</f>
        <v>64020</v>
      </c>
      <c r="G55" s="118">
        <f>'Daily unit'!D12</f>
        <v>0</v>
      </c>
      <c r="H55" s="118">
        <f>'Daily unit'!E12</f>
        <v>51669</v>
      </c>
      <c r="I55" s="118">
        <f>'Daily unit'!F12</f>
        <v>13833</v>
      </c>
      <c r="J55" s="118">
        <f>'Daily unit'!G12</f>
        <v>104271</v>
      </c>
      <c r="K55" s="118">
        <f>'Daily unit'!H12</f>
        <v>2093</v>
      </c>
      <c r="L55" s="118">
        <f>'Daily unit'!I12</f>
        <v>5545</v>
      </c>
      <c r="M55" s="119">
        <f>'Daily unit'!J12</f>
        <v>4241</v>
      </c>
      <c r="N55" s="317">
        <f>SUM(E55:M55)</f>
        <v>247257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 thickBot="1">
      <c r="B58" s="214" t="s">
        <v>250</v>
      </c>
      <c r="C58" s="688" t="s">
        <v>304</v>
      </c>
      <c r="D58" s="68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27">
        <v>1</v>
      </c>
      <c r="C59" s="465" t="s">
        <v>306</v>
      </c>
      <c r="D59" s="695"/>
      <c r="E59" s="211">
        <v>42.5</v>
      </c>
      <c r="F59" s="53">
        <f>'Internal use cement'!F12</f>
        <v>0</v>
      </c>
      <c r="G59" s="53">
        <f>F59+'9'!G59</f>
        <v>0</v>
      </c>
      <c r="H59" s="104">
        <f>F59+'9'!H59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27"/>
      <c r="C60" s="466"/>
      <c r="D60" s="696"/>
      <c r="E60" s="211" t="s">
        <v>211</v>
      </c>
      <c r="F60" s="53">
        <f>'Internal use cement'!Q12</f>
        <v>0</v>
      </c>
      <c r="G60" s="53">
        <f>F60+'9'!G60</f>
        <v>0</v>
      </c>
      <c r="H60" s="104">
        <f>F60+'9'!H60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27"/>
      <c r="C61" s="466"/>
      <c r="D61" s="696"/>
      <c r="E61" s="211">
        <v>32.5</v>
      </c>
      <c r="F61" s="53">
        <f>'Internal use cement'!AB12</f>
        <v>0</v>
      </c>
      <c r="G61" s="53">
        <f>F61+'9'!G61</f>
        <v>0</v>
      </c>
      <c r="H61" s="104">
        <f>F61+'9'!H61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27"/>
      <c r="C62" s="467"/>
      <c r="D62" s="697"/>
      <c r="E62" s="213" t="s">
        <v>187</v>
      </c>
      <c r="F62" s="113">
        <f>'Internal use cement'!AJ12</f>
        <v>0</v>
      </c>
      <c r="G62" s="220">
        <f>F62+'9'!G62</f>
        <v>0</v>
      </c>
      <c r="H62" s="114">
        <f>F62+'9'!H62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94"/>
      <c r="S65" s="94"/>
    </row>
    <row r="66" spans="2:19">
      <c r="R66" s="94"/>
      <c r="S66" s="94"/>
    </row>
    <row r="67" spans="2:19">
      <c r="R67" s="109"/>
      <c r="S67" s="109"/>
    </row>
    <row r="68" spans="2:19">
      <c r="R68" s="94"/>
      <c r="S68" s="94"/>
    </row>
    <row r="69" spans="2:19">
      <c r="R69" s="117"/>
      <c r="S69" s="117"/>
    </row>
    <row r="70" spans="2:19">
      <c r="R70" s="117"/>
      <c r="S70" s="117"/>
    </row>
    <row r="71" spans="2:19">
      <c r="R71" s="117"/>
      <c r="S71" s="117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P33:P34"/>
    <mergeCell ref="B50:N50"/>
    <mergeCell ref="O50:Q50"/>
    <mergeCell ref="C34:D34"/>
    <mergeCell ref="I33:I34"/>
    <mergeCell ref="M33:M34"/>
    <mergeCell ref="N33:N34"/>
    <mergeCell ref="O33:O34"/>
    <mergeCell ref="B43:B48"/>
    <mergeCell ref="C43:C48"/>
    <mergeCell ref="B37:B42"/>
    <mergeCell ref="C37:C42"/>
    <mergeCell ref="M43:P47"/>
    <mergeCell ref="I43:I47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B16:B18"/>
    <mergeCell ref="C16:C18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C8:Q8"/>
    <mergeCell ref="C11:D11"/>
    <mergeCell ref="C12:D12"/>
    <mergeCell ref="C15:D15"/>
    <mergeCell ref="P15:Q15"/>
    <mergeCell ref="O9:O18"/>
    <mergeCell ref="C10:D10"/>
    <mergeCell ref="C9:D9"/>
    <mergeCell ref="C23:D23"/>
    <mergeCell ref="M20:M21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Q30:Q31"/>
    <mergeCell ref="C54:D54"/>
    <mergeCell ref="O54:P54"/>
    <mergeCell ref="C55:D55"/>
    <mergeCell ref="C32:D32"/>
    <mergeCell ref="C33:D33"/>
    <mergeCell ref="C35:D35"/>
    <mergeCell ref="C36:D36"/>
    <mergeCell ref="B49:Q49"/>
    <mergeCell ref="C51:D51"/>
    <mergeCell ref="O51:P51"/>
    <mergeCell ref="C52:D52"/>
    <mergeCell ref="O52:P52"/>
    <mergeCell ref="C53:D53"/>
    <mergeCell ref="O53:P53"/>
    <mergeCell ref="C59:D62"/>
    <mergeCell ref="B59:B62"/>
    <mergeCell ref="B57:H57"/>
    <mergeCell ref="C58:E58"/>
    <mergeCell ref="B56:Q56"/>
    <mergeCell ref="I57:Q62"/>
  </mergeCells>
  <pageMargins left="0" right="0" top="0.75" bottom="0.75" header="0.3" footer="0.3"/>
  <pageSetup paperSize="9" scale="5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B2:U157"/>
  <sheetViews>
    <sheetView zoomScale="90" zoomScaleNormal="90" workbookViewId="0">
      <pane xSplit="4" ySplit="1" topLeftCell="E50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42578125" style="68" bestFit="1" customWidth="1"/>
    <col min="11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52" t="s">
        <v>247</v>
      </c>
      <c r="Q4" s="153" t="s">
        <v>324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73" t="s">
        <v>263</v>
      </c>
      <c r="D9" s="73" t="s">
        <v>74</v>
      </c>
      <c r="E9" s="74">
        <f>'10'!L9</f>
        <v>19885.908596268175</v>
      </c>
      <c r="F9" s="74">
        <f>Production2!D13</f>
        <v>2793.7</v>
      </c>
      <c r="G9" s="74">
        <f>F9+'10'!G9</f>
        <v>33586.180000000008</v>
      </c>
      <c r="H9" s="74">
        <f>F9+'10'!H9</f>
        <v>190453.46000000005</v>
      </c>
      <c r="I9" s="74">
        <f>Production2!E13</f>
        <v>2132</v>
      </c>
      <c r="J9" s="74">
        <f>I9+'10'!J9</f>
        <v>28316</v>
      </c>
      <c r="K9" s="74">
        <f>I9+'10'!K9</f>
        <v>168347</v>
      </c>
      <c r="L9" s="74">
        <f>E9+F9-I9-I23</f>
        <v>20025.386374045938</v>
      </c>
      <c r="M9" s="75">
        <f>I9</f>
        <v>2132</v>
      </c>
      <c r="N9" s="75">
        <f>(I9/I15)*100</f>
        <v>95.476936856247193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(2)'!L13</f>
        <v>3001.7000000000003</v>
      </c>
      <c r="F10" s="77">
        <f>'Mines (2)'!M13</f>
        <v>299.16000000000003</v>
      </c>
      <c r="G10" s="74">
        <f>F10+'10'!G10</f>
        <v>857.42000000000007</v>
      </c>
      <c r="H10" s="74">
        <f>F10+'10'!H10</f>
        <v>6126.8200000000006</v>
      </c>
      <c r="I10" s="77">
        <f>'Mines (2)'!N13</f>
        <v>54</v>
      </c>
      <c r="J10" s="74">
        <f>I10+'10'!J10</f>
        <v>522</v>
      </c>
      <c r="K10" s="74">
        <f>I10+'10'!K10</f>
        <v>3004</v>
      </c>
      <c r="L10" s="77">
        <f t="shared" ref="L10:L15" si="0">E10+F10-I10</f>
        <v>3246.86</v>
      </c>
      <c r="M10" s="75">
        <f t="shared" ref="M10:M12" si="1">I10</f>
        <v>54</v>
      </c>
      <c r="N10" s="75">
        <f>(I10/I15)*100</f>
        <v>2.4182713837886252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Clinker!C13</f>
        <v>1953.92</v>
      </c>
      <c r="F11" s="77">
        <f>Clinker!D13</f>
        <v>0</v>
      </c>
      <c r="G11" s="74">
        <f>F11+'10'!G11</f>
        <v>0</v>
      </c>
      <c r="H11" s="74">
        <f>F11+'10'!H11</f>
        <v>417.28000000000003</v>
      </c>
      <c r="I11" s="77">
        <f>Clinker!E13</f>
        <v>47</v>
      </c>
      <c r="J11" s="74">
        <f>I11+'10'!J11</f>
        <v>741</v>
      </c>
      <c r="K11" s="74">
        <f>I11+'10'!K11</f>
        <v>3876</v>
      </c>
      <c r="L11" s="77">
        <f t="shared" si="0"/>
        <v>1906.92</v>
      </c>
      <c r="M11" s="75">
        <f t="shared" si="1"/>
        <v>47</v>
      </c>
      <c r="N11" s="75">
        <f>(I11/I15)*100</f>
        <v>2.1047917599641739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(2)'!Q13</f>
        <v>3.999999999996362E-2</v>
      </c>
      <c r="F12" s="77">
        <f>'Mines (2)'!R13</f>
        <v>0</v>
      </c>
      <c r="G12" s="74">
        <f>F12+'10'!G12</f>
        <v>0</v>
      </c>
      <c r="H12" s="74">
        <f>F12+'10'!H12</f>
        <v>137.76</v>
      </c>
      <c r="I12" s="77">
        <f>'Mines (2)'!S13</f>
        <v>0</v>
      </c>
      <c r="J12" s="74">
        <f>I12+'10'!J12</f>
        <v>0</v>
      </c>
      <c r="K12" s="74">
        <f>I12+'10'!K12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24841.568596268175</v>
      </c>
      <c r="F15" s="127">
        <f t="shared" si="2"/>
        <v>3092.8599999999997</v>
      </c>
      <c r="G15" s="127">
        <f t="shared" si="2"/>
        <v>34443.600000000006</v>
      </c>
      <c r="H15" s="127">
        <f t="shared" si="2"/>
        <v>197135.32000000007</v>
      </c>
      <c r="I15" s="127">
        <f t="shared" si="2"/>
        <v>2233</v>
      </c>
      <c r="J15" s="127">
        <f t="shared" si="2"/>
        <v>29579</v>
      </c>
      <c r="K15" s="127">
        <f t="shared" si="2"/>
        <v>175965</v>
      </c>
      <c r="L15" s="127">
        <f t="shared" si="0"/>
        <v>25701.428596268175</v>
      </c>
      <c r="M15" s="128">
        <f>SUM(M9:M12)</f>
        <v>2233</v>
      </c>
      <c r="N15" s="128">
        <f>SUM(N9:N12)</f>
        <v>99.999999999999986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Clinker!EB13</f>
        <v>3749.2469999999907</v>
      </c>
      <c r="F16" s="77">
        <f>Clinker!EC13</f>
        <v>157.12</v>
      </c>
      <c r="G16" s="77">
        <f>F16+'10'!G16</f>
        <v>1976.1800000000003</v>
      </c>
      <c r="H16" s="77">
        <f>F16+'10'!H16</f>
        <v>2781.4200000000005</v>
      </c>
      <c r="I16" s="77">
        <f>Clinker!ED13</f>
        <v>215</v>
      </c>
      <c r="J16" s="77">
        <f>I16+'10'!J16</f>
        <v>2912.89</v>
      </c>
      <c r="K16" s="77">
        <f>I16+'10'!K16</f>
        <v>17630.200000000004</v>
      </c>
      <c r="L16" s="77">
        <f>E16+F16-I16-Clinker!N13-Clinker!Z13-Clinker!AS13-Clinker!AX13-Clinker!BC13-Clinker!BW13-Clinker!BR13</f>
        <v>3691.3669999999906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Clinker!EF13</f>
        <v>4216.0699999999933</v>
      </c>
      <c r="F17" s="77">
        <f>Clinker!EG13</f>
        <v>0</v>
      </c>
      <c r="G17" s="77">
        <f>F17+'10'!G17</f>
        <v>1565.3500000000001</v>
      </c>
      <c r="H17" s="77">
        <f>F17+'10'!H17</f>
        <v>3706.2999999999997</v>
      </c>
      <c r="I17" s="77">
        <f>Clinker!EH13</f>
        <v>137</v>
      </c>
      <c r="J17" s="77">
        <f>I17+'10'!J17</f>
        <v>1535</v>
      </c>
      <c r="K17" s="77">
        <f>I17+'10'!K17</f>
        <v>9707</v>
      </c>
      <c r="L17" s="77">
        <f>E17+F17-Clinker!AE13-Clinker!AJ13-Clinker!CL13-Clinker!CQ13-Clinker!CG13</f>
        <v>4079.0699999999933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7965.3169999999845</v>
      </c>
      <c r="F18" s="125">
        <f>F16+F17</f>
        <v>157.12</v>
      </c>
      <c r="G18" s="125">
        <f t="shared" ref="G18:K18" si="3">G16+G17</f>
        <v>3541.5300000000007</v>
      </c>
      <c r="H18" s="125">
        <f>H16+H17</f>
        <v>6487.72</v>
      </c>
      <c r="I18" s="125">
        <f>I16+I17</f>
        <v>352</v>
      </c>
      <c r="J18" s="125">
        <f>J16+J17</f>
        <v>4447.8899999999994</v>
      </c>
      <c r="K18" s="125">
        <f t="shared" si="3"/>
        <v>27337.200000000004</v>
      </c>
      <c r="L18" s="125">
        <f>E18+F18-I18</f>
        <v>7770.4369999999844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Clinker!EJ13</f>
        <v>24788.943583938148</v>
      </c>
      <c r="F20" s="74">
        <f>Clinker!EK13</f>
        <v>1290</v>
      </c>
      <c r="G20" s="74">
        <f>F20+'10'!G20</f>
        <v>17078</v>
      </c>
      <c r="H20" s="74">
        <f>F20+'10'!H20</f>
        <v>102604</v>
      </c>
      <c r="I20" s="74">
        <f>Clinker!EL13</f>
        <v>2303.9999999999854</v>
      </c>
      <c r="J20" s="74">
        <f>I20+'10'!J20</f>
        <v>19248.865501823522</v>
      </c>
      <c r="K20" s="74">
        <f>I20+'10'!K20</f>
        <v>82110.596515688565</v>
      </c>
      <c r="L20" s="74">
        <f>E20+F20-I20-I22</f>
        <v>23774.943583938162</v>
      </c>
      <c r="M20" s="641">
        <f>((I20+I21)/(J42+J48))*100</f>
        <v>78.904109589040587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Clinker!EO13</f>
        <v>5306.1090080001359</v>
      </c>
      <c r="F21" s="74">
        <f>Clinker!EP13</f>
        <v>0</v>
      </c>
      <c r="G21" s="74">
        <f>F21+'10'!G21</f>
        <v>0</v>
      </c>
      <c r="H21" s="74">
        <f>F21+'10'!H21</f>
        <v>13390.660000000003</v>
      </c>
      <c r="I21" s="74">
        <f>Clinker!EQ13</f>
        <v>0</v>
      </c>
      <c r="J21" s="74">
        <f>I21+'10'!J21</f>
        <v>0</v>
      </c>
      <c r="K21" s="74">
        <f>I21+'10'!K21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190"/>
      <c r="S21" s="190"/>
    </row>
    <row r="22" spans="2:19" ht="30">
      <c r="B22" s="512"/>
      <c r="C22" s="524"/>
      <c r="D22" s="86" t="s">
        <v>270</v>
      </c>
      <c r="E22" s="77"/>
      <c r="F22" s="77">
        <f>Clinker!EN13</f>
        <v>0</v>
      </c>
      <c r="G22" s="74">
        <f>F22+'10'!G22</f>
        <v>0</v>
      </c>
      <c r="H22" s="74">
        <f>F22+'10'!H22</f>
        <v>0</v>
      </c>
      <c r="I22" s="77">
        <f>Clinker!EN13</f>
        <v>0</v>
      </c>
      <c r="J22" s="74">
        <f>I22+'10'!J22</f>
        <v>0</v>
      </c>
      <c r="K22" s="74">
        <f>I22+'10'!K22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222" t="s">
        <v>263</v>
      </c>
      <c r="D23" s="223"/>
      <c r="E23" s="77"/>
      <c r="F23" s="77"/>
      <c r="G23" s="74"/>
      <c r="H23" s="74"/>
      <c r="I23" s="77">
        <f>Cement!S13</f>
        <v>522.22222222223832</v>
      </c>
      <c r="J23" s="74">
        <f>I23+'10'!J23</f>
        <v>4712.5938882852324</v>
      </c>
      <c r="K23" s="74">
        <f>I23+'10'!K23</f>
        <v>25185.945323137912</v>
      </c>
      <c r="L23" s="74"/>
      <c r="M23" s="78">
        <f>(I23/(J42+J48))*100</f>
        <v>17.884322678843777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Cement!C13</f>
        <v>3359.9389597248824</v>
      </c>
      <c r="F24" s="77">
        <f>Cement!D13</f>
        <v>61.94</v>
      </c>
      <c r="G24" s="74">
        <f>F24+'10'!G24</f>
        <v>370.18</v>
      </c>
      <c r="H24" s="74">
        <f>F24+'10'!H24</f>
        <v>2496.7999999999997</v>
      </c>
      <c r="I24" s="77">
        <f>Cement!F13</f>
        <v>153.68421052631581</v>
      </c>
      <c r="J24" s="74">
        <f>I24+'10'!J24</f>
        <v>1310.3157881260738</v>
      </c>
      <c r="K24" s="74">
        <f>I24+'10'!K24</f>
        <v>6673.9853099512175</v>
      </c>
      <c r="L24" s="74">
        <f t="shared" ref="L24:L26" si="4">E24+F24-I24</f>
        <v>3268.1947491985666</v>
      </c>
      <c r="M24" s="78">
        <f>(I24/(J42+J48))*100</f>
        <v>5.2631578947368425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Cement!H13</f>
        <v>0.23999999999796273</v>
      </c>
      <c r="F25" s="77">
        <f>Cement!I13</f>
        <v>0</v>
      </c>
      <c r="G25" s="74">
        <f>F25+'10'!G25</f>
        <v>0</v>
      </c>
      <c r="H25" s="74">
        <f>F25+'10'!H25</f>
        <v>0</v>
      </c>
      <c r="I25" s="77">
        <f>Cement!J13</f>
        <v>0</v>
      </c>
      <c r="J25" s="74">
        <f>I25+'10'!J25</f>
        <v>0</v>
      </c>
      <c r="K25" s="74">
        <f>I25+'10'!K25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Cement!L13</f>
        <v>0</v>
      </c>
      <c r="F26" s="77">
        <f>Cement!M13</f>
        <v>0</v>
      </c>
      <c r="G26" s="74">
        <f>F26+'10'!G26</f>
        <v>0</v>
      </c>
      <c r="H26" s="74">
        <f>F26+'10'!H26</f>
        <v>0</v>
      </c>
      <c r="I26" s="77">
        <f>Cement!N13</f>
        <v>0</v>
      </c>
      <c r="J26" s="74">
        <f>I26+'10'!J26</f>
        <v>0</v>
      </c>
      <c r="K26" s="74">
        <f>I26+'10'!K26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33455.231551663164</v>
      </c>
      <c r="F27" s="122">
        <f t="shared" ref="F27:L27" si="5">F20+F21+F23+F24+F25+F26</f>
        <v>1351.94</v>
      </c>
      <c r="G27" s="122">
        <f t="shared" si="5"/>
        <v>17448.18</v>
      </c>
      <c r="H27" s="122">
        <f t="shared" si="5"/>
        <v>118491.46</v>
      </c>
      <c r="I27" s="122">
        <f>I20+I21+I23+I24+I25+I26</f>
        <v>2979.9064327485394</v>
      </c>
      <c r="J27" s="122">
        <f t="shared" si="5"/>
        <v>25271.775178234828</v>
      </c>
      <c r="K27" s="122">
        <f t="shared" si="5"/>
        <v>130904.62714877768</v>
      </c>
      <c r="L27" s="122">
        <f t="shared" si="5"/>
        <v>32349.487341136864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Production2!C13</f>
        <v>18.579999999999998</v>
      </c>
      <c r="G32" s="75">
        <f>F32+'10'!G32</f>
        <v>204.89000000000004</v>
      </c>
      <c r="H32" s="75">
        <f>F32+'10'!H32</f>
        <v>1174.02</v>
      </c>
      <c r="I32" s="74">
        <f>'Mines (2)'!C13+'Mines (2)'!H13+'Mines (2)'!V13+'Mines (2)'!Z13+'Mines (2)'!AD13</f>
        <v>19885.908596268171</v>
      </c>
      <c r="J32" s="74">
        <f>Production2!D13</f>
        <v>2793.7</v>
      </c>
      <c r="K32" s="74">
        <f>J32+'10'!K32</f>
        <v>33586.180000000008</v>
      </c>
      <c r="L32" s="74">
        <f>J32+'10'!L32</f>
        <v>190453.46000000005</v>
      </c>
      <c r="M32" s="74">
        <f>I9+I23</f>
        <v>2654.2222222222381</v>
      </c>
      <c r="N32" s="74">
        <f>M32+'10'!N32</f>
        <v>33028.593888285228</v>
      </c>
      <c r="O32" s="74">
        <f>M32+'10'!O32</f>
        <v>193532.94532313792</v>
      </c>
      <c r="P32" s="74">
        <f>I32+J32-M32</f>
        <v>20025.386374045935</v>
      </c>
      <c r="Q32" s="93">
        <f>J32/F32</f>
        <v>150.3606027987083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Production2!G13</f>
        <v>15.8</v>
      </c>
      <c r="G33" s="75">
        <f>F33+'10'!G33</f>
        <v>205.74</v>
      </c>
      <c r="H33" s="75">
        <f>F33+'10'!H33</f>
        <v>1275.28</v>
      </c>
      <c r="I33" s="541">
        <f>Production2!H13</f>
        <v>1428.4600168375187</v>
      </c>
      <c r="J33" s="78">
        <f>Production2!N13</f>
        <v>1832</v>
      </c>
      <c r="K33" s="74">
        <f>J33+'10'!K33</f>
        <v>24719</v>
      </c>
      <c r="L33" s="74">
        <f>J33+'10'!L33</f>
        <v>151004.59</v>
      </c>
      <c r="M33" s="541">
        <f>Production2!K13</f>
        <v>1999.5</v>
      </c>
      <c r="N33" s="541">
        <f>M33+'10'!N33</f>
        <v>26470.9</v>
      </c>
      <c r="O33" s="541">
        <f>M33+'10'!O33</f>
        <v>159036.19999999998</v>
      </c>
      <c r="P33" s="541">
        <f>I33+J33+J34-M33</f>
        <v>1440.0700168375188</v>
      </c>
      <c r="Q33" s="96">
        <f t="shared" ref="Q33:Q48" si="6">J33/F33</f>
        <v>115.94936708860759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Production2!P13</f>
        <v>19.98</v>
      </c>
      <c r="G34" s="75">
        <f>F34+'10'!G34</f>
        <v>207.51000000000002</v>
      </c>
      <c r="H34" s="75">
        <f>F34+'10'!H34</f>
        <v>823.18</v>
      </c>
      <c r="I34" s="473"/>
      <c r="J34" s="78">
        <f>Production2!Q13</f>
        <v>179.11</v>
      </c>
      <c r="K34" s="74">
        <f>J34+'10'!K34</f>
        <v>1924.33</v>
      </c>
      <c r="L34" s="74">
        <f>J34+'10'!L34</f>
        <v>7477.9500000000007</v>
      </c>
      <c r="M34" s="473"/>
      <c r="N34" s="473"/>
      <c r="O34" s="473"/>
      <c r="P34" s="473"/>
      <c r="Q34" s="96">
        <f>J34/F34</f>
        <v>8.9644644644644647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Production2!S13</f>
        <v>15.1</v>
      </c>
      <c r="G35" s="75">
        <f>F35+'10'!G35</f>
        <v>189.04</v>
      </c>
      <c r="H35" s="75">
        <f>F35+'10'!H35</f>
        <v>1142.3699999999999</v>
      </c>
      <c r="I35" s="77">
        <f>Production2!T13</f>
        <v>52.209999999999809</v>
      </c>
      <c r="J35" s="77">
        <f>Production2!U13</f>
        <v>193.5</v>
      </c>
      <c r="K35" s="74">
        <f>J35+'10'!K35</f>
        <v>2621.6</v>
      </c>
      <c r="L35" s="74">
        <f>J35+'10'!L35</f>
        <v>15867.199999999999</v>
      </c>
      <c r="M35" s="77">
        <f>Production2!V13</f>
        <v>202</v>
      </c>
      <c r="N35" s="74">
        <f>M35+'10'!N35</f>
        <v>2620</v>
      </c>
      <c r="O35" s="74">
        <f>M35+'10'!O35</f>
        <v>15839</v>
      </c>
      <c r="P35" s="74">
        <f t="shared" ref="P35" si="7">I35+J35-M35</f>
        <v>43.709999999999809</v>
      </c>
      <c r="Q35" s="96">
        <f t="shared" si="6"/>
        <v>12.814569536423841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Production2!Y13</f>
        <v>21</v>
      </c>
      <c r="G36" s="75">
        <f>F36+'10'!G36</f>
        <v>258.04000000000002</v>
      </c>
      <c r="H36" s="75">
        <f>F36+'10'!H36</f>
        <v>1572.85</v>
      </c>
      <c r="I36" s="77">
        <f>Clinker!EJ13</f>
        <v>24788.943583938148</v>
      </c>
      <c r="J36" s="77">
        <f>Clinker!EK13</f>
        <v>1290</v>
      </c>
      <c r="K36" s="74">
        <f>J36+'10'!K36</f>
        <v>17078</v>
      </c>
      <c r="L36" s="74">
        <f>J36+'10'!L36</f>
        <v>102604</v>
      </c>
      <c r="M36" s="77">
        <f>Clinker!EL13</f>
        <v>2303.9999999999854</v>
      </c>
      <c r="N36" s="74">
        <f>M36+'10'!N36</f>
        <v>19248.865501823522</v>
      </c>
      <c r="O36" s="74">
        <f>M36+'10'!O36</f>
        <v>82110.596515688565</v>
      </c>
      <c r="P36" s="74">
        <f>I36+J36-M36-I22</f>
        <v>23774.943583938162</v>
      </c>
      <c r="Q36" s="96">
        <f t="shared" si="6"/>
        <v>61.428571428571431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Production2!AE13</f>
        <v>0</v>
      </c>
      <c r="G37" s="75">
        <f>F37+'10'!G37</f>
        <v>7</v>
      </c>
      <c r="H37" s="75">
        <f>F37+'10'!H37</f>
        <v>46.7</v>
      </c>
      <c r="I37" s="77">
        <f>Production2!BJ13</f>
        <v>257.29999999999995</v>
      </c>
      <c r="J37" s="77">
        <f>Production2!AF13</f>
        <v>0</v>
      </c>
      <c r="K37" s="74">
        <f>J37+'10'!K37</f>
        <v>489</v>
      </c>
      <c r="L37" s="74">
        <f>J37+'10'!L37</f>
        <v>3123</v>
      </c>
      <c r="M37" s="77">
        <f>Production2!BL13</f>
        <v>30</v>
      </c>
      <c r="N37" s="74">
        <f>M37+'10'!N37</f>
        <v>1060</v>
      </c>
      <c r="O37" s="74">
        <f>M37+'10'!O37</f>
        <v>6098</v>
      </c>
      <c r="P37" s="74">
        <f>I37+J37+J43-M37-F61</f>
        <v>227.29999999999995</v>
      </c>
      <c r="Q37" s="96" t="e">
        <f t="shared" si="6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Production2!AB13</f>
        <v>18</v>
      </c>
      <c r="G38" s="75">
        <f>F38+'10'!G38</f>
        <v>199.22000000000003</v>
      </c>
      <c r="H38" s="75">
        <f>F38+'10'!H38</f>
        <v>697.68999999999994</v>
      </c>
      <c r="I38" s="77">
        <f>Production2!BF13</f>
        <v>441.47799999997824</v>
      </c>
      <c r="J38" s="77">
        <f>Production2!AC13</f>
        <v>1130</v>
      </c>
      <c r="K38" s="74">
        <f>J38+'10'!K38</f>
        <v>13193</v>
      </c>
      <c r="L38" s="74">
        <f>J38+'10'!L38</f>
        <v>44523</v>
      </c>
      <c r="M38" s="77">
        <f>Production2!BH13</f>
        <v>2592.3000000000002</v>
      </c>
      <c r="N38" s="74">
        <f>M38+'10'!N38</f>
        <v>22992.549999999996</v>
      </c>
      <c r="O38" s="74">
        <f>M38+'10'!O38</f>
        <v>103735.37999999999</v>
      </c>
      <c r="P38" s="74">
        <f>I38+J38+J44-M38-F59</f>
        <v>369.17799999997806</v>
      </c>
      <c r="Q38" s="96">
        <f t="shared" si="6"/>
        <v>62.777777777777779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Production2!AH13</f>
        <v>0</v>
      </c>
      <c r="G39" s="75">
        <f>F39+'10'!G39</f>
        <v>0</v>
      </c>
      <c r="H39" s="75">
        <f>F39+'10'!H39</f>
        <v>0</v>
      </c>
      <c r="I39" s="77">
        <f>Production2!BN13</f>
        <v>9.0000000000849845E-2</v>
      </c>
      <c r="J39" s="77">
        <f>Production2!AI13</f>
        <v>0</v>
      </c>
      <c r="K39" s="74">
        <f>J39+'10'!K39</f>
        <v>0</v>
      </c>
      <c r="L39" s="74">
        <f>J39+'10'!L39</f>
        <v>0</v>
      </c>
      <c r="M39" s="77">
        <f>Production2!BP13</f>
        <v>0</v>
      </c>
      <c r="N39" s="74">
        <f>M39+'10'!N39</f>
        <v>0</v>
      </c>
      <c r="O39" s="74">
        <f>M39+'10'!O39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Production2!AK13</f>
        <v>0</v>
      </c>
      <c r="G40" s="75">
        <f>F40+'10'!G40</f>
        <v>1</v>
      </c>
      <c r="H40" s="75">
        <f>F40+'10'!H40</f>
        <v>6</v>
      </c>
      <c r="I40" s="195">
        <f>Production2!BR13</f>
        <v>173.70000000000005</v>
      </c>
      <c r="J40" s="195">
        <v>0</v>
      </c>
      <c r="K40" s="74">
        <f>J40+'10'!K40</f>
        <v>65</v>
      </c>
      <c r="L40" s="74">
        <f>J40+'10'!L40</f>
        <v>365</v>
      </c>
      <c r="M40" s="195">
        <f>Production2!BT13</f>
        <v>30</v>
      </c>
      <c r="N40" s="74">
        <f>M40+'10'!N40</f>
        <v>756</v>
      </c>
      <c r="O40" s="74">
        <f>M40+'10'!O40</f>
        <v>3788.5</v>
      </c>
      <c r="P40" s="74">
        <f>I40+J40+J46-M40-F62</f>
        <v>143.70000000000005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Production2!AN13</f>
        <v>6</v>
      </c>
      <c r="G41" s="75">
        <f>F41+'10'!G41</f>
        <v>23</v>
      </c>
      <c r="H41" s="75">
        <f>F41+'10'!H41</f>
        <v>149.16999999999999</v>
      </c>
      <c r="I41" s="195">
        <f>Production2!BV13</f>
        <v>173.83000000000027</v>
      </c>
      <c r="J41" s="195">
        <f>Production2!AO13</f>
        <v>400</v>
      </c>
      <c r="K41" s="74">
        <f>J41+'10'!K41</f>
        <v>1589</v>
      </c>
      <c r="L41" s="74">
        <f>J41+'10'!L41</f>
        <v>9767</v>
      </c>
      <c r="M41" s="77">
        <f>Production2!BX13</f>
        <v>443.67</v>
      </c>
      <c r="N41" s="74">
        <f>M41+'10'!N41</f>
        <v>2746.2399999999993</v>
      </c>
      <c r="O41" s="74">
        <f>M41+'10'!O41</f>
        <v>16741.549999999996</v>
      </c>
      <c r="P41" s="74">
        <f>I41+J41+J47-M41</f>
        <v>130.16000000000025</v>
      </c>
      <c r="Q41" s="96">
        <f t="shared" si="6"/>
        <v>66.666666666666671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>G37+G38+G39+G40+G41</f>
        <v>230.22000000000003</v>
      </c>
      <c r="H42" s="132">
        <f t="shared" ref="H42" si="8">H37+H38+H39+H40+H41</f>
        <v>899.56</v>
      </c>
      <c r="I42" s="122">
        <f>I37+I38+I39+I40+I41</f>
        <v>1046.3979999999792</v>
      </c>
      <c r="J42" s="122">
        <f t="shared" ref="J42:O42" si="9">J37+J38+J39+J40+J41</f>
        <v>1530</v>
      </c>
      <c r="K42" s="122">
        <f t="shared" si="9"/>
        <v>15336</v>
      </c>
      <c r="L42" s="122">
        <f t="shared" si="9"/>
        <v>57778</v>
      </c>
      <c r="M42" s="122">
        <f t="shared" si="9"/>
        <v>3095.9700000000003</v>
      </c>
      <c r="N42" s="122">
        <f t="shared" si="9"/>
        <v>27554.789999999994</v>
      </c>
      <c r="O42" s="122">
        <f t="shared" si="9"/>
        <v>130363.28</v>
      </c>
      <c r="P42" s="122">
        <f>P37+P38+P39+P40+P41</f>
        <v>870.42799999997919</v>
      </c>
      <c r="Q42" s="123">
        <f t="shared" si="6"/>
        <v>63.75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Production2!AT13</f>
        <v>0</v>
      </c>
      <c r="G43" s="75">
        <f>F43+'10'!G43</f>
        <v>3.5</v>
      </c>
      <c r="H43" s="75">
        <f>F43+'10'!H43</f>
        <v>48.929999999999993</v>
      </c>
      <c r="I43" s="471"/>
      <c r="J43" s="77">
        <f>Production2!AU13</f>
        <v>0</v>
      </c>
      <c r="K43" s="74">
        <f>J43+'10'!K43</f>
        <v>220</v>
      </c>
      <c r="L43" s="74">
        <f>J43+'10'!L43</f>
        <v>2970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Production2!AQ13</f>
        <v>22.92</v>
      </c>
      <c r="G44" s="75">
        <f>F44+'10'!G44</f>
        <v>140.30000000000001</v>
      </c>
      <c r="H44" s="75">
        <f>F44+'10'!H44</f>
        <v>990.71</v>
      </c>
      <c r="I44" s="472"/>
      <c r="J44" s="77">
        <f>Production2!AR13</f>
        <v>1390</v>
      </c>
      <c r="K44" s="74">
        <f>J44+'10'!K44</f>
        <v>8352</v>
      </c>
      <c r="L44" s="74">
        <f>J44+'10'!L44</f>
        <v>58313</v>
      </c>
      <c r="M44" s="545"/>
      <c r="N44" s="546"/>
      <c r="O44" s="546"/>
      <c r="P44" s="547"/>
      <c r="Q44" s="96">
        <f t="shared" si="6"/>
        <v>60.645724258289697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Production2!AW13</f>
        <v>0</v>
      </c>
      <c r="G45" s="75">
        <f>F45+'10'!G45</f>
        <v>0</v>
      </c>
      <c r="H45" s="75">
        <f>F45+'10'!H45</f>
        <v>0</v>
      </c>
      <c r="I45" s="472"/>
      <c r="J45" s="77">
        <f>Production2!AX13</f>
        <v>0</v>
      </c>
      <c r="K45" s="74">
        <f>J45+'10'!K45</f>
        <v>0</v>
      </c>
      <c r="L45" s="74">
        <f>J45+'10'!L45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Production2!AZ13</f>
        <v>0</v>
      </c>
      <c r="G46" s="75">
        <f>F46+'10'!G46</f>
        <v>12.47</v>
      </c>
      <c r="H46" s="75">
        <f>F46+'10'!H46</f>
        <v>60.35</v>
      </c>
      <c r="I46" s="473"/>
      <c r="J46" s="195">
        <f>Production2!BA13</f>
        <v>0</v>
      </c>
      <c r="K46" s="74">
        <f>J46+'10'!K46</f>
        <v>707</v>
      </c>
      <c r="L46" s="74">
        <f>J46+'10'!L46</f>
        <v>3354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Production2!BC13</f>
        <v>0</v>
      </c>
      <c r="G47" s="75">
        <f>F47+'10'!G47</f>
        <v>2</v>
      </c>
      <c r="H47" s="75">
        <f>F47+'10'!H47</f>
        <v>110.67</v>
      </c>
      <c r="I47" s="425"/>
      <c r="J47" s="195">
        <f>Production2!BD13</f>
        <v>0</v>
      </c>
      <c r="K47" s="74">
        <f>J47+'10'!K47</f>
        <v>120</v>
      </c>
      <c r="L47" s="74">
        <f>J47+'10'!L47</f>
        <v>6735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22.92</v>
      </c>
      <c r="G48" s="132">
        <f t="shared" ref="G48:H48" si="10">G43+G44+G45+G46+G47</f>
        <v>158.27000000000001</v>
      </c>
      <c r="H48" s="132">
        <f t="shared" si="10"/>
        <v>1210.6600000000001</v>
      </c>
      <c r="I48" s="132"/>
      <c r="J48" s="122">
        <f>J43+J44+J45+J46+J47</f>
        <v>1390</v>
      </c>
      <c r="K48" s="122">
        <f t="shared" ref="K48:L48" si="11">K43+K44+K45+K46+K47</f>
        <v>9399</v>
      </c>
      <c r="L48" s="122">
        <f t="shared" si="11"/>
        <v>71372</v>
      </c>
      <c r="M48" s="132"/>
      <c r="N48" s="132"/>
      <c r="O48" s="132"/>
      <c r="P48" s="132"/>
      <c r="Q48" s="123">
        <f t="shared" si="6"/>
        <v>60.645724258289697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0.56412642731860974</v>
      </c>
      <c r="F52" s="99">
        <f>F55/(J33+J34)</f>
        <v>28.881065680146783</v>
      </c>
      <c r="G52" s="99">
        <v>0</v>
      </c>
      <c r="H52" s="99">
        <f>H55/J36</f>
        <v>37.733333333333334</v>
      </c>
      <c r="I52" s="99">
        <f>I55/J35</f>
        <v>62.222222222222221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15.658914728682172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0.93233918065370225</v>
      </c>
      <c r="F53" s="102">
        <f>F52*1.55</f>
        <v>44.765651804227517</v>
      </c>
      <c r="G53" s="102">
        <f>G52*1.55</f>
        <v>0</v>
      </c>
      <c r="H53" s="102">
        <f>H52</f>
        <v>37.733333333333334</v>
      </c>
      <c r="I53" s="102">
        <f>I52*(Q52/100)</f>
        <v>9.743324720068907</v>
      </c>
      <c r="J53" s="102"/>
      <c r="K53" s="102"/>
      <c r="L53" s="102"/>
      <c r="M53" s="96"/>
      <c r="N53" s="306">
        <f>SUM(E53:I53)</f>
        <v>93.174649038283462</v>
      </c>
      <c r="O53" s="516" t="s">
        <v>298</v>
      </c>
      <c r="P53" s="516"/>
      <c r="Q53" s="104">
        <v>5420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0.73565392884456027</v>
      </c>
      <c r="F54" s="102">
        <f>F53*M20/100</f>
        <v>35.321938957856005</v>
      </c>
      <c r="G54" s="102">
        <f>G53*M20/100</f>
        <v>0</v>
      </c>
      <c r="H54" s="102">
        <f>H53*M20/100</f>
        <v>29.773150684931316</v>
      </c>
      <c r="I54" s="102">
        <f>I53*M20/100</f>
        <v>7.6878836147392517</v>
      </c>
      <c r="J54" s="99">
        <f>J55/(J42+J48)</f>
        <v>39.200684931506849</v>
      </c>
      <c r="K54" s="99">
        <f>K55/(J48+J42)</f>
        <v>0.72910958904109591</v>
      </c>
      <c r="L54" s="99">
        <f>L55/(M42)</f>
        <v>2.0881985290555138</v>
      </c>
      <c r="M54" s="96">
        <f>M55/(J48+J42)</f>
        <v>1.2982876712328768</v>
      </c>
      <c r="N54" s="306">
        <f>SUM(E54:M54)</f>
        <v>116.83490790720748</v>
      </c>
      <c r="O54" s="516" t="s">
        <v>300</v>
      </c>
      <c r="P54" s="516"/>
      <c r="Q54" s="104">
        <f>Q53*Q52/100</f>
        <v>848.71317829457371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unit'!B13</f>
        <v>1576</v>
      </c>
      <c r="F55" s="118">
        <f>'Daily unit'!C13</f>
        <v>58083</v>
      </c>
      <c r="G55" s="118">
        <f>'Daily unit'!D13</f>
        <v>0</v>
      </c>
      <c r="H55" s="118">
        <f>'Daily unit'!E13</f>
        <v>48676</v>
      </c>
      <c r="I55" s="118">
        <f>'Daily unit'!F13</f>
        <v>12040</v>
      </c>
      <c r="J55" s="118">
        <f>'Daily unit'!G13</f>
        <v>114466</v>
      </c>
      <c r="K55" s="118">
        <f>'Daily unit'!H13</f>
        <v>2129</v>
      </c>
      <c r="L55" s="118">
        <f>'Daily unit'!I13</f>
        <v>6465</v>
      </c>
      <c r="M55" s="119">
        <f>'Daily unit'!J13</f>
        <v>3791</v>
      </c>
      <c r="N55" s="317">
        <f>SUM(E55:M55)</f>
        <v>247226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681">
        <v>1</v>
      </c>
      <c r="C59" s="650" t="s">
        <v>306</v>
      </c>
      <c r="D59" s="651"/>
      <c r="E59" s="80">
        <v>42.5</v>
      </c>
      <c r="F59" s="53">
        <f>'Internal use cement'!F13</f>
        <v>0</v>
      </c>
      <c r="G59" s="53">
        <f>F59+'10'!G59</f>
        <v>0</v>
      </c>
      <c r="H59" s="104">
        <f>F59+'10'!H59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82"/>
      <c r="C60" s="652"/>
      <c r="D60" s="653"/>
      <c r="E60" s="80" t="s">
        <v>211</v>
      </c>
      <c r="F60" s="53">
        <f>'Internal use cement'!Q13</f>
        <v>0</v>
      </c>
      <c r="G60" s="53">
        <f>F60+'10'!G60</f>
        <v>0</v>
      </c>
      <c r="H60" s="104">
        <f>F60+'10'!H60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82"/>
      <c r="C61" s="652"/>
      <c r="D61" s="653"/>
      <c r="E61" s="80">
        <v>32.5</v>
      </c>
      <c r="F61" s="53">
        <f>'Internal use cement'!AB13</f>
        <v>0</v>
      </c>
      <c r="G61" s="53">
        <f>F61+'10'!G61</f>
        <v>0</v>
      </c>
      <c r="H61" s="104">
        <f>F61+'10'!H61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83"/>
      <c r="C62" s="654"/>
      <c r="D62" s="655"/>
      <c r="E62" s="213" t="s">
        <v>187</v>
      </c>
      <c r="F62" s="113">
        <f>'Internal use cement'!AJ13</f>
        <v>0</v>
      </c>
      <c r="G62" s="220">
        <f>F62+'10'!G62</f>
        <v>0</v>
      </c>
      <c r="H62" s="114">
        <f>F62+'10'!H62</f>
        <v>0.1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6"/>
      <c r="S64" s="116"/>
    </row>
    <row r="65" spans="2:19">
      <c r="R65" s="94"/>
      <c r="S65" s="94"/>
    </row>
    <row r="66" spans="2:19">
      <c r="R66" s="94"/>
      <c r="S66" s="94"/>
    </row>
    <row r="67" spans="2:19">
      <c r="R67" s="94"/>
      <c r="S67" s="94"/>
    </row>
    <row r="68" spans="2:19">
      <c r="R68" s="109"/>
      <c r="S68" s="109"/>
    </row>
    <row r="69" spans="2:19">
      <c r="R69" s="94"/>
      <c r="S69" s="94"/>
    </row>
    <row r="70" spans="2:19">
      <c r="R70" s="117"/>
      <c r="S70" s="117"/>
    </row>
    <row r="71" spans="2:19">
      <c r="R71" s="117"/>
      <c r="S71" s="117"/>
    </row>
    <row r="72" spans="2:19">
      <c r="R72" s="117"/>
      <c r="S72" s="117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3">
    <mergeCell ref="M43:P47"/>
    <mergeCell ref="I33:I34"/>
    <mergeCell ref="M33:M34"/>
    <mergeCell ref="N33:N34"/>
    <mergeCell ref="O33:O34"/>
    <mergeCell ref="P33:P34"/>
    <mergeCell ref="B43:B48"/>
    <mergeCell ref="C43:C48"/>
    <mergeCell ref="I43:I46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C10:D10"/>
    <mergeCell ref="B16:B18"/>
    <mergeCell ref="C16:C18"/>
    <mergeCell ref="C8:Q8"/>
    <mergeCell ref="C11:D11"/>
    <mergeCell ref="C12:D12"/>
    <mergeCell ref="C15:D15"/>
    <mergeCell ref="P15:Q15"/>
    <mergeCell ref="N6:N7"/>
    <mergeCell ref="O6:O7"/>
    <mergeCell ref="P6:P7"/>
    <mergeCell ref="Q6:Q7"/>
    <mergeCell ref="O9:O18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M20:M21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C32:D32"/>
    <mergeCell ref="C33:D33"/>
    <mergeCell ref="C35:D35"/>
    <mergeCell ref="C36:D36"/>
    <mergeCell ref="B37:B42"/>
    <mergeCell ref="C37:C42"/>
    <mergeCell ref="C34:D34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B50:N50"/>
    <mergeCell ref="O50:Q50"/>
    <mergeCell ref="C59:D62"/>
    <mergeCell ref="B59:B62"/>
    <mergeCell ref="B57:H57"/>
    <mergeCell ref="C58:E58"/>
    <mergeCell ref="I57:Q62"/>
  </mergeCells>
  <pageMargins left="0" right="0" top="0.75" bottom="0.75" header="0.3" footer="0.3"/>
  <pageSetup paperSize="9" scale="5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B2:U158"/>
  <sheetViews>
    <sheetView zoomScale="90" zoomScaleNormal="90" workbookViewId="0">
      <pane xSplit="4" ySplit="1" topLeftCell="E43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42578125" style="68" bestFit="1" customWidth="1"/>
    <col min="11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325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 t="s">
        <v>326</v>
      </c>
      <c r="N5" s="140" t="s">
        <v>327</v>
      </c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258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73" t="s">
        <v>263</v>
      </c>
      <c r="D9" s="73" t="s">
        <v>74</v>
      </c>
      <c r="E9" s="74">
        <f>'11'!L9</f>
        <v>20025.386374045938</v>
      </c>
      <c r="F9" s="74">
        <f>Production2!D14</f>
        <v>2452.46</v>
      </c>
      <c r="G9" s="74">
        <f>F9+'11'!G9</f>
        <v>36038.640000000007</v>
      </c>
      <c r="H9" s="74">
        <f>F9+'11'!H9</f>
        <v>192905.92000000004</v>
      </c>
      <c r="I9" s="74">
        <f>Production2!E14</f>
        <v>2628</v>
      </c>
      <c r="J9" s="74">
        <f>I9+'11'!J9</f>
        <v>30944</v>
      </c>
      <c r="K9" s="74">
        <f>I9+'11'!K9</f>
        <v>170975</v>
      </c>
      <c r="L9" s="74">
        <f>E9+F9-I9-I23</f>
        <v>19365.550819825938</v>
      </c>
      <c r="M9" s="75">
        <f>I9</f>
        <v>2628</v>
      </c>
      <c r="N9" s="75">
        <f>(I9/I15)*100</f>
        <v>95.424836601307192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(2)'!L14</f>
        <v>3246.86</v>
      </c>
      <c r="F10" s="77">
        <f>'Mines (2)'!M14</f>
        <v>0</v>
      </c>
      <c r="G10" s="74">
        <f>F10+'11'!G10</f>
        <v>857.42000000000007</v>
      </c>
      <c r="H10" s="74">
        <f>F10+'11'!H10</f>
        <v>6126.8200000000006</v>
      </c>
      <c r="I10" s="77">
        <f>'Mines (2)'!N14</f>
        <v>67</v>
      </c>
      <c r="J10" s="74">
        <f>I10+'11'!J10</f>
        <v>589</v>
      </c>
      <c r="K10" s="74">
        <f>I10+'11'!K10</f>
        <v>3071</v>
      </c>
      <c r="L10" s="77">
        <f t="shared" ref="L10:L15" si="0">E10+F10-I10</f>
        <v>3179.86</v>
      </c>
      <c r="M10" s="75">
        <f t="shared" ref="M10:M12" si="1">I10</f>
        <v>67</v>
      </c>
      <c r="N10" s="75">
        <f>(I10/I15)*100</f>
        <v>2.4328249818445897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Clinker!C14</f>
        <v>1906.92</v>
      </c>
      <c r="F11" s="77">
        <f>Clinker!D14</f>
        <v>0</v>
      </c>
      <c r="G11" s="74">
        <f>F11+'11'!G11</f>
        <v>0</v>
      </c>
      <c r="H11" s="74">
        <f>F11+'11'!H11</f>
        <v>417.28000000000003</v>
      </c>
      <c r="I11" s="77">
        <f>Clinker!E14</f>
        <v>59</v>
      </c>
      <c r="J11" s="74">
        <f>I11+'11'!J11</f>
        <v>800</v>
      </c>
      <c r="K11" s="74">
        <f>I11+'11'!K11</f>
        <v>3935</v>
      </c>
      <c r="L11" s="77">
        <f t="shared" si="0"/>
        <v>1847.92</v>
      </c>
      <c r="M11" s="75">
        <f t="shared" si="1"/>
        <v>59</v>
      </c>
      <c r="N11" s="75">
        <f>(I11/I15)*100</f>
        <v>2.1423384168482209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(2)'!Q14</f>
        <v>3.999999999996362E-2</v>
      </c>
      <c r="F12" s="77">
        <f>'Mines (2)'!R14</f>
        <v>0</v>
      </c>
      <c r="G12" s="74">
        <f>F12+'11'!G12</f>
        <v>0</v>
      </c>
      <c r="H12" s="74">
        <f>F12+'11'!H12</f>
        <v>137.76</v>
      </c>
      <c r="I12" s="77">
        <f>'Mines (2)'!S14</f>
        <v>0</v>
      </c>
      <c r="J12" s="74">
        <f>I12+'11'!J12</f>
        <v>0</v>
      </c>
      <c r="K12" s="74">
        <f>I12+'11'!K12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25179.206374045942</v>
      </c>
      <c r="F15" s="127">
        <f t="shared" si="2"/>
        <v>2452.46</v>
      </c>
      <c r="G15" s="127">
        <f t="shared" si="2"/>
        <v>36896.060000000005</v>
      </c>
      <c r="H15" s="127">
        <f t="shared" si="2"/>
        <v>199587.78000000006</v>
      </c>
      <c r="I15" s="127">
        <f t="shared" si="2"/>
        <v>2754</v>
      </c>
      <c r="J15" s="127">
        <f t="shared" si="2"/>
        <v>32333</v>
      </c>
      <c r="K15" s="127">
        <f t="shared" si="2"/>
        <v>178719</v>
      </c>
      <c r="L15" s="127">
        <f t="shared" si="0"/>
        <v>24877.666374045941</v>
      </c>
      <c r="M15" s="128">
        <f>SUM(M9:M12)</f>
        <v>2754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Clinker!EB14</f>
        <v>3691.3669999999906</v>
      </c>
      <c r="F16" s="77">
        <f>Clinker!EC14</f>
        <v>186.68</v>
      </c>
      <c r="G16" s="77">
        <f>F16+'11'!G16</f>
        <v>2162.86</v>
      </c>
      <c r="H16" s="77">
        <f>F16+'11'!H16</f>
        <v>2968.1000000000004</v>
      </c>
      <c r="I16" s="77">
        <f>Clinker!ED14</f>
        <v>314.77000000000004</v>
      </c>
      <c r="J16" s="77">
        <f>I16+'11'!J16</f>
        <v>3227.66</v>
      </c>
      <c r="K16" s="77">
        <f>I16+'11'!K16</f>
        <v>17944.970000000005</v>
      </c>
      <c r="L16" s="77">
        <f>E16+F16-I16-Clinker!N14-Clinker!Z14-Clinker!AS14-Clinker!AX14-Clinker!BC14-Clinker!BW14-Clinker!BR14-Clinker!DA14-Clinker!DP14-Clinker!DU14</f>
        <v>3563.2769999999905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234"/>
    </row>
    <row r="17" spans="2:19">
      <c r="B17" s="512"/>
      <c r="C17" s="517"/>
      <c r="D17" s="80" t="s">
        <v>62</v>
      </c>
      <c r="E17" s="77">
        <f>Clinker!EF14</f>
        <v>4079.0699999999933</v>
      </c>
      <c r="F17" s="77">
        <f>Clinker!EG14</f>
        <v>95</v>
      </c>
      <c r="G17" s="77">
        <f>F17+'11'!G17</f>
        <v>1660.3500000000001</v>
      </c>
      <c r="H17" s="77">
        <f>F17+'11'!H17</f>
        <v>3801.2999999999997</v>
      </c>
      <c r="I17" s="77">
        <f>Clinker!EH14</f>
        <v>137</v>
      </c>
      <c r="J17" s="77">
        <f>I17+'11'!J17</f>
        <v>1672</v>
      </c>
      <c r="K17" s="77">
        <f>I17+'11'!K17</f>
        <v>9844</v>
      </c>
      <c r="L17" s="77">
        <f>E17+F17-Clinker!AE14-Clinker!AJ14-Clinker!CL14-Clinker!CQ14-Clinker!CG14</f>
        <v>4037.0699999999933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SUM(E16:E17)</f>
        <v>7770.4369999999835</v>
      </c>
      <c r="F18" s="125">
        <f t="shared" ref="F18:L18" si="3">SUM(F16:F17)</f>
        <v>281.68</v>
      </c>
      <c r="G18" s="125">
        <f t="shared" si="3"/>
        <v>3823.21</v>
      </c>
      <c r="H18" s="125">
        <f t="shared" si="3"/>
        <v>6769.4</v>
      </c>
      <c r="I18" s="125">
        <f t="shared" si="3"/>
        <v>451.77000000000004</v>
      </c>
      <c r="J18" s="125">
        <f t="shared" si="3"/>
        <v>4899.66</v>
      </c>
      <c r="K18" s="125">
        <f t="shared" si="3"/>
        <v>27788.970000000005</v>
      </c>
      <c r="L18" s="125">
        <f t="shared" si="3"/>
        <v>7600.3469999999834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Clinker!EJ14</f>
        <v>23774.943583938162</v>
      </c>
      <c r="F20" s="74">
        <f>Clinker!EK14</f>
        <v>1710</v>
      </c>
      <c r="G20" s="74">
        <f>F20+'11'!G20</f>
        <v>18788</v>
      </c>
      <c r="H20" s="74">
        <f>F20+'11'!H20</f>
        <v>104314</v>
      </c>
      <c r="I20" s="74">
        <f>Clinker!EL14</f>
        <v>2081.5040027619998</v>
      </c>
      <c r="J20" s="74">
        <f>I20+'11'!J20</f>
        <v>21330.36950458552</v>
      </c>
      <c r="K20" s="74">
        <f>I20+'11'!K20</f>
        <v>84192.100518450563</v>
      </c>
      <c r="L20" s="74">
        <f>E20+F20-I20-I22</f>
        <v>23403.439581176164</v>
      </c>
      <c r="M20" s="641">
        <f>((I20+I21)/(J42+J48))*100</f>
        <v>78.547320858943394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Clinker!EO14</f>
        <v>5306.1090080001359</v>
      </c>
      <c r="F21" s="74">
        <f>Clinker!EP14</f>
        <v>0</v>
      </c>
      <c r="G21" s="74">
        <f>F21+'11'!G21</f>
        <v>0</v>
      </c>
      <c r="H21" s="74">
        <f>F21+'11'!H21</f>
        <v>13390.660000000003</v>
      </c>
      <c r="I21" s="74">
        <f>Clinker!EQ14</f>
        <v>0</v>
      </c>
      <c r="J21" s="74">
        <f>I21+'11'!J21</f>
        <v>0</v>
      </c>
      <c r="K21" s="74">
        <f>I21+'11'!K21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190"/>
      <c r="S21" s="20"/>
    </row>
    <row r="22" spans="2:19" ht="30">
      <c r="B22" s="512"/>
      <c r="C22" s="524"/>
      <c r="D22" s="86" t="s">
        <v>270</v>
      </c>
      <c r="E22" s="77"/>
      <c r="F22" s="77">
        <f>Clinker!EN14</f>
        <v>0</v>
      </c>
      <c r="G22" s="74">
        <f>F22+'11'!G22</f>
        <v>0</v>
      </c>
      <c r="H22" s="74">
        <f>F22+'11'!H22</f>
        <v>0</v>
      </c>
      <c r="I22" s="77">
        <f>Clinker!EN14</f>
        <v>0</v>
      </c>
      <c r="J22" s="74">
        <f>I22+'11'!J22</f>
        <v>0</v>
      </c>
      <c r="K22" s="74">
        <f>I22+'11'!K22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/>
      <c r="C23" s="474" t="s">
        <v>263</v>
      </c>
      <c r="D23" s="475"/>
      <c r="E23" s="77"/>
      <c r="F23" s="77"/>
      <c r="G23" s="74"/>
      <c r="H23" s="74"/>
      <c r="I23" s="77">
        <f>Cement!S14</f>
        <v>484.29555421999999</v>
      </c>
      <c r="J23" s="74">
        <f>I23+'11'!J23</f>
        <v>5196.8894425052322</v>
      </c>
      <c r="K23" s="74">
        <f>I23+'11'!K23</f>
        <v>25670.240877357912</v>
      </c>
      <c r="L23" s="74"/>
      <c r="M23" s="78">
        <f>(I23/(J42+J48))*100</f>
        <v>18.275303932830191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Cement!C14</f>
        <v>3268.1947491985666</v>
      </c>
      <c r="F24" s="77">
        <f>Cement!D14</f>
        <v>62.52</v>
      </c>
      <c r="G24" s="74">
        <f>F24+'11'!G24</f>
        <v>432.7</v>
      </c>
      <c r="H24" s="74">
        <f>F24+'11'!H24</f>
        <v>2559.3199999999997</v>
      </c>
      <c r="I24" s="77">
        <f>Cement!F14</f>
        <v>139.61052467368418</v>
      </c>
      <c r="J24" s="74">
        <f>I24+'11'!J24</f>
        <v>1449.9263127997581</v>
      </c>
      <c r="K24" s="74">
        <f>I24+'11'!K24</f>
        <v>6813.5958346249017</v>
      </c>
      <c r="L24" s="74">
        <f t="shared" ref="L24:L26" si="4">E24+F24-I24</f>
        <v>3191.1042245248823</v>
      </c>
      <c r="M24" s="78">
        <f>(I24/(J42+J48))*100</f>
        <v>5.2683216857994024</v>
      </c>
      <c r="N24" s="78"/>
      <c r="O24" s="527"/>
      <c r="P24" s="87"/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Cement!H14</f>
        <v>0.23999999999796273</v>
      </c>
      <c r="F25" s="77">
        <f>Cement!I14</f>
        <v>0</v>
      </c>
      <c r="G25" s="74">
        <f>F25+'11'!G25</f>
        <v>0</v>
      </c>
      <c r="H25" s="74">
        <f>F25+'11'!H25</f>
        <v>0</v>
      </c>
      <c r="I25" s="77">
        <f>Cement!J14</f>
        <v>0</v>
      </c>
      <c r="J25" s="74">
        <f>I25+'11'!J25</f>
        <v>0</v>
      </c>
      <c r="K25" s="74">
        <f>I25+'11'!K25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Cement!L14</f>
        <v>0</v>
      </c>
      <c r="F26" s="77">
        <f>Cement!M14</f>
        <v>0</v>
      </c>
      <c r="G26" s="74">
        <f>F26+'11'!G26</f>
        <v>0</v>
      </c>
      <c r="H26" s="74">
        <f>F26+'11'!H26</f>
        <v>0</v>
      </c>
      <c r="I26" s="77">
        <f>Cement!N14</f>
        <v>0</v>
      </c>
      <c r="J26" s="74">
        <f>I26+'11'!J26</f>
        <v>0</v>
      </c>
      <c r="K26" s="74">
        <f>I26+'11'!K26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32349.487341136864</v>
      </c>
      <c r="F27" s="122">
        <f t="shared" ref="F27:L27" si="5">F20+F21+F23+F24+F25+F26</f>
        <v>1772.52</v>
      </c>
      <c r="G27" s="122">
        <f t="shared" si="5"/>
        <v>19220.7</v>
      </c>
      <c r="H27" s="122">
        <f t="shared" si="5"/>
        <v>120263.98000000001</v>
      </c>
      <c r="I27" s="122">
        <f t="shared" si="5"/>
        <v>2705.4100816556838</v>
      </c>
      <c r="J27" s="122">
        <f t="shared" si="5"/>
        <v>27977.18525989051</v>
      </c>
      <c r="K27" s="122">
        <f t="shared" si="5"/>
        <v>133610.03723043337</v>
      </c>
      <c r="L27" s="122">
        <f t="shared" si="5"/>
        <v>31900.892813701183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Production2!C14</f>
        <v>17.77</v>
      </c>
      <c r="G32" s="75">
        <f>F32+'11'!G32</f>
        <v>222.66000000000005</v>
      </c>
      <c r="H32" s="75">
        <f>F32+'11'!H32</f>
        <v>1191.79</v>
      </c>
      <c r="I32" s="74">
        <f>'Mines (2)'!C14+'Mines (2)'!H14+'Mines (2)'!V14+'Mines (2)'!Z14+'Mines (2)'!AD14</f>
        <v>20025.386374045927</v>
      </c>
      <c r="J32" s="74">
        <f>Production2!D14</f>
        <v>2452.46</v>
      </c>
      <c r="K32" s="74">
        <f>J32+'11'!K32</f>
        <v>36038.640000000007</v>
      </c>
      <c r="L32" s="74">
        <f>J32+'11'!L32</f>
        <v>192905.92000000004</v>
      </c>
      <c r="M32" s="74">
        <f>I9+I23</f>
        <v>3112.2955542199998</v>
      </c>
      <c r="N32" s="74">
        <f>M32+'11'!N32</f>
        <v>36140.889442505228</v>
      </c>
      <c r="O32" s="74">
        <f>M32+'11'!O32</f>
        <v>196645.24087735792</v>
      </c>
      <c r="P32" s="74">
        <f>I32+J32-M32</f>
        <v>19365.550819825927</v>
      </c>
      <c r="Q32" s="93">
        <f>J32/F32</f>
        <v>138.01125492402926</v>
      </c>
      <c r="R32" s="94"/>
      <c r="S32" s="94"/>
    </row>
    <row r="33" spans="2:19">
      <c r="B33" s="79">
        <v>2</v>
      </c>
      <c r="C33" s="501" t="s">
        <v>328</v>
      </c>
      <c r="D33" s="502"/>
      <c r="E33" s="95">
        <v>120</v>
      </c>
      <c r="F33" s="78">
        <f>Production2!G14</f>
        <v>19.079999999999998</v>
      </c>
      <c r="G33" s="75">
        <f>F33+'11'!G33</f>
        <v>224.82</v>
      </c>
      <c r="H33" s="75">
        <f>F33+'11'!H33</f>
        <v>1294.3599999999999</v>
      </c>
      <c r="I33" s="541">
        <f>Production2!H14</f>
        <v>1440.0700168375188</v>
      </c>
      <c r="J33" s="78">
        <f>Production2!N14</f>
        <v>2318</v>
      </c>
      <c r="K33" s="74">
        <f>J33+'11'!K33</f>
        <v>27037</v>
      </c>
      <c r="L33" s="74">
        <f>J33+'11'!L33</f>
        <v>153322.59</v>
      </c>
      <c r="M33" s="541">
        <f>Production2!K14</f>
        <v>2650.5</v>
      </c>
      <c r="N33" s="541">
        <f>M33+'11'!N33</f>
        <v>29121.4</v>
      </c>
      <c r="O33" s="541">
        <f>M33+'11'!O33</f>
        <v>161686.69999999998</v>
      </c>
      <c r="P33" s="541">
        <f>I33+J33+J34-M33</f>
        <v>1269.9400168375187</v>
      </c>
      <c r="Q33" s="96">
        <f t="shared" ref="Q33:Q48" si="6">J33/F33</f>
        <v>121.48846960167715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Production2!P14</f>
        <v>18</v>
      </c>
      <c r="G34" s="75">
        <f>F34+'11'!G34</f>
        <v>225.51000000000002</v>
      </c>
      <c r="H34" s="75">
        <f>F34+'11'!H34</f>
        <v>841.18</v>
      </c>
      <c r="I34" s="473"/>
      <c r="J34" s="78">
        <f>Production2!Q14</f>
        <v>162.37</v>
      </c>
      <c r="K34" s="74">
        <f>J34+'11'!K34</f>
        <v>2086.6999999999998</v>
      </c>
      <c r="L34" s="74">
        <f>J34+'11'!L34</f>
        <v>7640.3200000000006</v>
      </c>
      <c r="M34" s="473"/>
      <c r="N34" s="473"/>
      <c r="O34" s="473"/>
      <c r="P34" s="473"/>
      <c r="Q34" s="96">
        <f>J34/F34</f>
        <v>9.0205555555555552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Production2!S14</f>
        <v>18</v>
      </c>
      <c r="G35" s="75">
        <f>F35+'11'!G35</f>
        <v>207.04</v>
      </c>
      <c r="H35" s="75">
        <f>F35+'11'!H35</f>
        <v>1160.3699999999999</v>
      </c>
      <c r="I35" s="77">
        <f>Production2!T14</f>
        <v>43.709999999999809</v>
      </c>
      <c r="J35" s="77">
        <f>Production2!U14</f>
        <v>258</v>
      </c>
      <c r="K35" s="74">
        <f>J35+'11'!K35</f>
        <v>2879.6</v>
      </c>
      <c r="L35" s="74">
        <f>J35+'11'!L35</f>
        <v>16125.199999999999</v>
      </c>
      <c r="M35" s="77">
        <f>Production2!V14</f>
        <v>252</v>
      </c>
      <c r="N35" s="74">
        <f>M35+'11'!N35</f>
        <v>2872</v>
      </c>
      <c r="O35" s="74">
        <f>M35+'11'!O35</f>
        <v>16091</v>
      </c>
      <c r="P35" s="74">
        <f t="shared" ref="P35" si="7">I35+J35-M35</f>
        <v>49.709999999999809</v>
      </c>
      <c r="Q35" s="96">
        <f t="shared" si="6"/>
        <v>14.333333333333334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Production2!Y14</f>
        <v>24</v>
      </c>
      <c r="G36" s="75">
        <f>F36+'11'!G36</f>
        <v>282.04000000000002</v>
      </c>
      <c r="H36" s="75">
        <f>F36+'11'!H36</f>
        <v>1596.85</v>
      </c>
      <c r="I36" s="77">
        <f>Clinker!EJ14</f>
        <v>23774.943583938162</v>
      </c>
      <c r="J36" s="77">
        <f>Clinker!EK14</f>
        <v>1710</v>
      </c>
      <c r="K36" s="74">
        <f>J36+'11'!K36</f>
        <v>18788</v>
      </c>
      <c r="L36" s="74">
        <f>J36+'11'!L36</f>
        <v>104314</v>
      </c>
      <c r="M36" s="77">
        <f>Clinker!EL14</f>
        <v>2081.5040027619998</v>
      </c>
      <c r="N36" s="74">
        <f>M36+'11'!N36</f>
        <v>21330.36950458552</v>
      </c>
      <c r="O36" s="74">
        <f>M36+'11'!O36</f>
        <v>84192.100518450563</v>
      </c>
      <c r="P36" s="74">
        <f>I36+J36-M36-I22</f>
        <v>23403.439581176164</v>
      </c>
      <c r="Q36" s="96">
        <f t="shared" si="6"/>
        <v>71.25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Production2!AE14</f>
        <v>0</v>
      </c>
      <c r="G37" s="75">
        <f>F37+'11'!G37</f>
        <v>7</v>
      </c>
      <c r="H37" s="75">
        <f>F37+'11'!H37</f>
        <v>46.7</v>
      </c>
      <c r="I37" s="77">
        <f>Production2!BJ14</f>
        <v>227.29999999999995</v>
      </c>
      <c r="J37" s="77">
        <f>Production2!AF14</f>
        <v>0</v>
      </c>
      <c r="K37" s="74">
        <f>J37+'11'!K37</f>
        <v>489</v>
      </c>
      <c r="L37" s="74">
        <f>J37+'11'!L37</f>
        <v>3123</v>
      </c>
      <c r="M37" s="77">
        <f>Production2!BL14</f>
        <v>90</v>
      </c>
      <c r="N37" s="74">
        <f>M37+'11'!N37</f>
        <v>1150</v>
      </c>
      <c r="O37" s="74">
        <f>M37+'11'!O37</f>
        <v>6188</v>
      </c>
      <c r="P37" s="74">
        <f>I37+J43+J37-M37-F61</f>
        <v>137.29999999999995</v>
      </c>
      <c r="Q37" s="96" t="e">
        <f t="shared" si="6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Production2!AB14</f>
        <v>15.45</v>
      </c>
      <c r="G38" s="75">
        <f>F38+'11'!G38</f>
        <v>214.67000000000002</v>
      </c>
      <c r="H38" s="75">
        <f>F38+'11'!H38</f>
        <v>713.14</v>
      </c>
      <c r="I38" s="77">
        <f>Production2!BF14</f>
        <v>369.17799999997806</v>
      </c>
      <c r="J38" s="77">
        <f>Production2!AC14</f>
        <v>1010</v>
      </c>
      <c r="K38" s="74">
        <f>J38+'11'!K38</f>
        <v>14203</v>
      </c>
      <c r="L38" s="74">
        <f>J38+'11'!L38</f>
        <v>45533</v>
      </c>
      <c r="M38" s="77">
        <f>Production2!BH14</f>
        <v>2134.5</v>
      </c>
      <c r="N38" s="74">
        <f>M38+'11'!N38</f>
        <v>25127.049999999996</v>
      </c>
      <c r="O38" s="74">
        <f>M38+'11'!O38</f>
        <v>105869.87999999999</v>
      </c>
      <c r="P38" s="74">
        <f>I38+J44+J38-M38-F59</f>
        <v>474.67799999997806</v>
      </c>
      <c r="Q38" s="96">
        <f t="shared" si="6"/>
        <v>65.372168284789652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Production2!AH14</f>
        <v>0</v>
      </c>
      <c r="G39" s="75">
        <f>F39+'11'!G39</f>
        <v>0</v>
      </c>
      <c r="H39" s="75">
        <f>F39+'11'!H39</f>
        <v>0</v>
      </c>
      <c r="I39" s="77">
        <f>Production2!BN14</f>
        <v>9.0000000000849845E-2</v>
      </c>
      <c r="J39" s="77">
        <f>Production2!AI14</f>
        <v>0</v>
      </c>
      <c r="K39" s="74">
        <f>J39+'11'!K39</f>
        <v>0</v>
      </c>
      <c r="L39" s="74">
        <f>J39+'11'!L39</f>
        <v>0</v>
      </c>
      <c r="M39" s="77">
        <f>Production2!BP14</f>
        <v>0</v>
      </c>
      <c r="N39" s="74">
        <f>M39+'11'!N39</f>
        <v>0</v>
      </c>
      <c r="O39" s="74">
        <f>M39+'11'!O39</f>
        <v>-0.15</v>
      </c>
      <c r="P39" s="74">
        <f>I39+J45+J39-M39-F60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Production2!AK14</f>
        <v>0</v>
      </c>
      <c r="G40" s="75">
        <f>F40+'11'!G40</f>
        <v>1</v>
      </c>
      <c r="H40" s="75">
        <f>F40+'11'!H40</f>
        <v>6</v>
      </c>
      <c r="I40" s="195">
        <f>Production2!BR14</f>
        <v>143.70000000000005</v>
      </c>
      <c r="J40" s="195">
        <v>0</v>
      </c>
      <c r="K40" s="74">
        <f>J40+'11'!K40</f>
        <v>65</v>
      </c>
      <c r="L40" s="74">
        <f>J40+'11'!L40</f>
        <v>365</v>
      </c>
      <c r="M40" s="195">
        <f>Production2!BT14</f>
        <v>121</v>
      </c>
      <c r="N40" s="74">
        <f>M40+'11'!N40</f>
        <v>877</v>
      </c>
      <c r="O40" s="74">
        <f>M40+'11'!O40</f>
        <v>3909.5</v>
      </c>
      <c r="P40" s="74">
        <f>I40+J46+J40-M40-F64</f>
        <v>132.70000000000005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Production2!AN14</f>
        <v>4.5</v>
      </c>
      <c r="G41" s="75">
        <f>F41+'11'!G41</f>
        <v>27.5</v>
      </c>
      <c r="H41" s="75">
        <f>F41+'11'!H41</f>
        <v>153.66999999999999</v>
      </c>
      <c r="I41" s="195">
        <f>Production2!BV14</f>
        <v>130.16000000000025</v>
      </c>
      <c r="J41" s="195">
        <f>Production2!AO14</f>
        <v>300</v>
      </c>
      <c r="K41" s="74">
        <f>J41+'11'!K41</f>
        <v>1889</v>
      </c>
      <c r="L41" s="74">
        <f>J41+'11'!L41</f>
        <v>10067</v>
      </c>
      <c r="M41" s="77">
        <f>Production2!BX14</f>
        <v>276.54000000000002</v>
      </c>
      <c r="N41" s="74">
        <f>M41+'11'!N41</f>
        <v>3022.7799999999993</v>
      </c>
      <c r="O41" s="74">
        <f>M41+'11'!O41</f>
        <v>17018.089999999997</v>
      </c>
      <c r="P41" s="74">
        <f>I41+J41+J47-M41</f>
        <v>153.62000000000023</v>
      </c>
      <c r="Q41" s="96">
        <f t="shared" si="6"/>
        <v>66.666666666666671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19.95</v>
      </c>
      <c r="G42" s="132">
        <f t="shared" ref="G42:H42" si="8">G37+G38+G39+G40+G41</f>
        <v>250.17000000000002</v>
      </c>
      <c r="H42" s="132">
        <f t="shared" si="8"/>
        <v>919.51</v>
      </c>
      <c r="I42" s="122">
        <f>I37+I38+I39+I40+I41</f>
        <v>870.42799999997919</v>
      </c>
      <c r="J42" s="122">
        <f t="shared" ref="J42:P42" si="9">J37+J38+J39+J40+J41</f>
        <v>1310</v>
      </c>
      <c r="K42" s="122">
        <f t="shared" si="9"/>
        <v>16646</v>
      </c>
      <c r="L42" s="122">
        <f t="shared" si="9"/>
        <v>59088</v>
      </c>
      <c r="M42" s="122">
        <f t="shared" si="9"/>
        <v>2622.04</v>
      </c>
      <c r="N42" s="122">
        <f t="shared" si="9"/>
        <v>30176.829999999994</v>
      </c>
      <c r="O42" s="122">
        <f t="shared" si="9"/>
        <v>132985.32</v>
      </c>
      <c r="P42" s="122">
        <f t="shared" si="9"/>
        <v>898.38799999997912</v>
      </c>
      <c r="Q42" s="123">
        <f t="shared" si="6"/>
        <v>65.664160401002505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Production2!AT14</f>
        <v>0</v>
      </c>
      <c r="G43" s="75">
        <f>F43+'11'!G43</f>
        <v>3.5</v>
      </c>
      <c r="H43" s="75">
        <f>F43+'11'!H43</f>
        <v>48.929999999999993</v>
      </c>
      <c r="I43" s="471"/>
      <c r="J43" s="77">
        <f>Production2!AU14</f>
        <v>0</v>
      </c>
      <c r="K43" s="74">
        <f>J43+'11'!K43</f>
        <v>220</v>
      </c>
      <c r="L43" s="74">
        <f>J43+'11'!L43</f>
        <v>2970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Production2!AQ14</f>
        <v>20.75</v>
      </c>
      <c r="G44" s="75">
        <f>F44+'11'!G44</f>
        <v>161.05000000000001</v>
      </c>
      <c r="H44" s="75">
        <f>F44+'11'!H44</f>
        <v>1011.46</v>
      </c>
      <c r="I44" s="472"/>
      <c r="J44" s="77">
        <f>Production2!AR14</f>
        <v>1230</v>
      </c>
      <c r="K44" s="74">
        <f>J44+'11'!K44</f>
        <v>9582</v>
      </c>
      <c r="L44" s="74">
        <f>J44+'11'!L44</f>
        <v>59543</v>
      </c>
      <c r="M44" s="545"/>
      <c r="N44" s="546"/>
      <c r="O44" s="546"/>
      <c r="P44" s="547"/>
      <c r="Q44" s="96">
        <f t="shared" si="6"/>
        <v>59.277108433734938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Production2!AW14</f>
        <v>0</v>
      </c>
      <c r="G45" s="75">
        <f>F45+'11'!G45</f>
        <v>0</v>
      </c>
      <c r="H45" s="75">
        <f>F45+'11'!H45</f>
        <v>0</v>
      </c>
      <c r="I45" s="472"/>
      <c r="J45" s="77">
        <f>Production2!AX14</f>
        <v>0</v>
      </c>
      <c r="K45" s="74">
        <f>J45+'11'!K45</f>
        <v>0</v>
      </c>
      <c r="L45" s="74">
        <f>J45+'11'!L45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Production2!AZ14</f>
        <v>2</v>
      </c>
      <c r="G46" s="75">
        <f>F46+'11'!G46</f>
        <v>14.47</v>
      </c>
      <c r="H46" s="75">
        <f>F46+'11'!H46</f>
        <v>62.35</v>
      </c>
      <c r="I46" s="473"/>
      <c r="J46" s="195">
        <f>Production2!BA14</f>
        <v>110</v>
      </c>
      <c r="K46" s="74">
        <f>J46+'11'!K46</f>
        <v>817</v>
      </c>
      <c r="L46" s="74">
        <f>J46+'11'!L46</f>
        <v>3464</v>
      </c>
      <c r="M46" s="545"/>
      <c r="N46" s="546"/>
      <c r="O46" s="546"/>
      <c r="P46" s="547"/>
      <c r="Q46" s="96">
        <f t="shared" si="6"/>
        <v>55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Production2!BC14</f>
        <v>0</v>
      </c>
      <c r="G47" s="75">
        <f>F47+'11'!G47</f>
        <v>2</v>
      </c>
      <c r="H47" s="75">
        <f>F47+'11'!H47</f>
        <v>110.67</v>
      </c>
      <c r="I47" s="425"/>
      <c r="J47" s="195">
        <f>Production2!BD14</f>
        <v>0</v>
      </c>
      <c r="K47" s="74">
        <f>J47+'11'!K47</f>
        <v>120</v>
      </c>
      <c r="L47" s="74">
        <f>J47+'11'!L47</f>
        <v>6735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22.75</v>
      </c>
      <c r="G48" s="132">
        <f t="shared" ref="G48:H48" si="10">G43+G44+G45+G46+G47</f>
        <v>181.02</v>
      </c>
      <c r="H48" s="132">
        <f t="shared" si="10"/>
        <v>1233.4100000000001</v>
      </c>
      <c r="I48" s="122">
        <f t="shared" ref="I48" si="11">I43+I44+I45+I46</f>
        <v>0</v>
      </c>
      <c r="J48" s="122">
        <f>J43+J44+J45+J46+J47</f>
        <v>1340</v>
      </c>
      <c r="K48" s="122">
        <f t="shared" ref="K48:L48" si="12">K43+K44+K45+K46+K47</f>
        <v>10739</v>
      </c>
      <c r="L48" s="122">
        <f t="shared" si="12"/>
        <v>72712</v>
      </c>
      <c r="M48" s="574"/>
      <c r="N48" s="575"/>
      <c r="O48" s="575"/>
      <c r="P48" s="576"/>
      <c r="Q48" s="123">
        <f t="shared" si="6"/>
        <v>58.901098901098898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0.94843544848845651</v>
      </c>
      <c r="F52" s="99">
        <f>F55/(J33+J34)</f>
        <v>23.677515854489453</v>
      </c>
      <c r="G52" s="99">
        <f>G55/J34</f>
        <v>0</v>
      </c>
      <c r="H52" s="99">
        <f>H55/J36</f>
        <v>30.709356725146201</v>
      </c>
      <c r="I52" s="99">
        <f>I55/J35</f>
        <v>50.034883720930232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14.736842105263156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1.4575955313612068</v>
      </c>
      <c r="F53" s="102">
        <f>F52*1.55</f>
        <v>36.700149574458656</v>
      </c>
      <c r="G53" s="102">
        <f>G52*1.55</f>
        <v>0</v>
      </c>
      <c r="H53" s="102">
        <f>H52</f>
        <v>30.709356725146201</v>
      </c>
      <c r="I53" s="102">
        <f>I52*(Q52/100)</f>
        <v>7.3735618115055068</v>
      </c>
      <c r="J53" s="102"/>
      <c r="K53" s="102"/>
      <c r="L53" s="102"/>
      <c r="M53" s="96"/>
      <c r="N53" s="306">
        <f>SUM(E53:I53)</f>
        <v>76.240663642471574</v>
      </c>
      <c r="O53" s="516" t="s">
        <v>298</v>
      </c>
      <c r="P53" s="516"/>
      <c r="Q53" s="104">
        <v>5452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1.1449022388439081</v>
      </c>
      <c r="F54" s="102">
        <f>F53*M20/100</f>
        <v>28.82698424196219</v>
      </c>
      <c r="G54" s="102">
        <f>G53*M20/100</f>
        <v>0</v>
      </c>
      <c r="H54" s="102">
        <f>H53*M20/100</f>
        <v>24.1213769606181</v>
      </c>
      <c r="I54" s="102">
        <f>I53*M20/100</f>
        <v>5.7917352548157499</v>
      </c>
      <c r="J54" s="99">
        <f>J55/(J42+J48)</f>
        <v>39.760754716981133</v>
      </c>
      <c r="K54" s="99">
        <f>K55/(J48+J42)</f>
        <v>0.79283018867924526</v>
      </c>
      <c r="L54" s="99">
        <f>L55/(M42)</f>
        <v>2.3836402190660708</v>
      </c>
      <c r="M54" s="96">
        <f>M55/(J48+J42)</f>
        <v>1.5588679245283019</v>
      </c>
      <c r="N54" s="306">
        <f>SUM(E54:M54)</f>
        <v>104.3810917454947</v>
      </c>
      <c r="O54" s="516" t="s">
        <v>300</v>
      </c>
      <c r="P54" s="516"/>
      <c r="Q54" s="104">
        <f>Q53*Q52/100</f>
        <v>803.45263157894715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unit'!B14</f>
        <v>2326</v>
      </c>
      <c r="F55" s="118">
        <f>'Daily unit'!C14</f>
        <v>58729</v>
      </c>
      <c r="G55" s="118">
        <f>'Daily unit'!D14</f>
        <v>0</v>
      </c>
      <c r="H55" s="118">
        <f>'Daily unit'!E14</f>
        <v>52513</v>
      </c>
      <c r="I55" s="118">
        <f>'Daily unit'!F14</f>
        <v>12909</v>
      </c>
      <c r="J55" s="118">
        <f>'Daily unit'!G14</f>
        <v>105366</v>
      </c>
      <c r="K55" s="118">
        <f>'Daily unit'!H14</f>
        <v>2101</v>
      </c>
      <c r="L55" s="118">
        <f>'Daily unit'!I14</f>
        <v>6250</v>
      </c>
      <c r="M55" s="119">
        <f>'Daily unit'!J14</f>
        <v>4131</v>
      </c>
      <c r="N55" s="317">
        <f>SUM(E55:M55)</f>
        <v>244325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14" t="s">
        <v>250</v>
      </c>
      <c r="C58" s="688" t="s">
        <v>304</v>
      </c>
      <c r="D58" s="688"/>
      <c r="E58" s="688"/>
      <c r="F58" s="215" t="s">
        <v>305</v>
      </c>
      <c r="G58" s="215" t="s">
        <v>27</v>
      </c>
      <c r="H58" s="216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12">
        <v>1</v>
      </c>
      <c r="C59" s="627" t="s">
        <v>306</v>
      </c>
      <c r="D59" s="627"/>
      <c r="E59" s="80">
        <v>42.5</v>
      </c>
      <c r="F59" s="53">
        <f>'Internal use cement'!F14</f>
        <v>0</v>
      </c>
      <c r="G59" s="53">
        <f>F59+'11'!G59</f>
        <v>0</v>
      </c>
      <c r="H59" s="104">
        <f>F59+'11'!H59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12"/>
      <c r="C60" s="627"/>
      <c r="D60" s="627"/>
      <c r="E60" s="80" t="s">
        <v>211</v>
      </c>
      <c r="F60" s="53">
        <f>'Internal use cement'!Q14</f>
        <v>0</v>
      </c>
      <c r="G60" s="53">
        <f>F60+'11'!G60</f>
        <v>0</v>
      </c>
      <c r="H60" s="104">
        <f>F60+'11'!H60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12"/>
      <c r="C61" s="627"/>
      <c r="D61" s="627"/>
      <c r="E61" s="80">
        <v>32.5</v>
      </c>
      <c r="F61" s="53">
        <f>'Internal use cement'!AB14</f>
        <v>0</v>
      </c>
      <c r="G61" s="53">
        <f>F61+'11'!G61</f>
        <v>0</v>
      </c>
      <c r="H61" s="104">
        <f>F61+'11'!H61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99"/>
      <c r="C62" s="698"/>
      <c r="D62" s="698"/>
      <c r="E62" s="112" t="s">
        <v>187</v>
      </c>
      <c r="F62" s="113">
        <f>'Internal use cement'!AJ14</f>
        <v>0.1</v>
      </c>
      <c r="G62" s="113">
        <f>F62+'11'!G62</f>
        <v>0.1</v>
      </c>
      <c r="H62" s="114">
        <f>F62+'11'!H62</f>
        <v>0.2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5">
    <mergeCell ref="B50:N50"/>
    <mergeCell ref="O50:Q50"/>
    <mergeCell ref="I33:I34"/>
    <mergeCell ref="M33:M34"/>
    <mergeCell ref="N33:N34"/>
    <mergeCell ref="O33:O34"/>
    <mergeCell ref="P33:P34"/>
    <mergeCell ref="M48:P48"/>
    <mergeCell ref="C33:D33"/>
    <mergeCell ref="C35:D35"/>
    <mergeCell ref="C36:D36"/>
    <mergeCell ref="B37:B42"/>
    <mergeCell ref="C37:C42"/>
    <mergeCell ref="C34:D34"/>
    <mergeCell ref="B43:B48"/>
    <mergeCell ref="C43:C48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C32:D32"/>
    <mergeCell ref="I43:I46"/>
    <mergeCell ref="M43:P47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O9:O18"/>
    <mergeCell ref="C10:D10"/>
    <mergeCell ref="B16:B18"/>
    <mergeCell ref="C16:C18"/>
    <mergeCell ref="C8:Q8"/>
    <mergeCell ref="C11:D11"/>
    <mergeCell ref="C12:D12"/>
    <mergeCell ref="C15:D15"/>
    <mergeCell ref="P15:Q15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C23:D23"/>
    <mergeCell ref="M20:M21"/>
    <mergeCell ref="I57:Q62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C59:D62"/>
    <mergeCell ref="B59:B62"/>
  </mergeCells>
  <pageMargins left="0.25" right="0.25" top="0.75" bottom="0.75" header="0.3" footer="0.3"/>
  <pageSetup paperSize="9" scale="5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B2:U159"/>
  <sheetViews>
    <sheetView zoomScale="90" zoomScaleNormal="90" workbookViewId="0">
      <pane xSplit="4" ySplit="1" topLeftCell="E49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329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 t="s">
        <v>309</v>
      </c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474" t="s">
        <v>263</v>
      </c>
      <c r="D9" s="475"/>
      <c r="E9" s="74">
        <f>'12'!L9</f>
        <v>19365.550819825938</v>
      </c>
      <c r="F9" s="74">
        <f>Production2!D15</f>
        <v>2535.88</v>
      </c>
      <c r="G9" s="74">
        <f>F9+'12'!G9</f>
        <v>38574.520000000004</v>
      </c>
      <c r="H9" s="74">
        <f>F9+'12'!H9</f>
        <v>195441.80000000005</v>
      </c>
      <c r="I9" s="74">
        <f>Production2!E15</f>
        <v>2071</v>
      </c>
      <c r="J9" s="74">
        <f>I9+'12'!J9</f>
        <v>33015</v>
      </c>
      <c r="K9" s="74">
        <f>I9+'12'!K9</f>
        <v>173046</v>
      </c>
      <c r="L9" s="74">
        <f>E9+F9-I9-I23</f>
        <v>19295.541932497938</v>
      </c>
      <c r="M9" s="75">
        <f>I9</f>
        <v>2071</v>
      </c>
      <c r="N9" s="75">
        <f>(I9/I15)*100</f>
        <v>95.393827729157067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(2)'!L15</f>
        <v>3179.86</v>
      </c>
      <c r="F10" s="77">
        <f>'Mines (2)'!M15</f>
        <v>0</v>
      </c>
      <c r="G10" s="74">
        <f>F10+'12'!G10</f>
        <v>857.42000000000007</v>
      </c>
      <c r="H10" s="74">
        <f>F10+'12'!H10</f>
        <v>6126.8200000000006</v>
      </c>
      <c r="I10" s="77">
        <f>'Mines (2)'!N15</f>
        <v>54</v>
      </c>
      <c r="J10" s="74">
        <f>I10+'12'!J10</f>
        <v>643</v>
      </c>
      <c r="K10" s="74">
        <f>I10+'12'!K10</f>
        <v>3125</v>
      </c>
      <c r="L10" s="77">
        <f t="shared" ref="L10:L18" si="0">E10+F10-I10</f>
        <v>3125.86</v>
      </c>
      <c r="M10" s="75">
        <f t="shared" ref="M10:M12" si="1">I10</f>
        <v>54</v>
      </c>
      <c r="N10" s="75">
        <f>(I10/I15)*100</f>
        <v>2.487333026255182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Clinker!C15</f>
        <v>1847.92</v>
      </c>
      <c r="F11" s="77">
        <f>Clinker!D15</f>
        <v>0</v>
      </c>
      <c r="G11" s="74">
        <f>F11+'12'!G11</f>
        <v>0</v>
      </c>
      <c r="H11" s="74">
        <f>F11+'12'!H11</f>
        <v>417.28000000000003</v>
      </c>
      <c r="I11" s="77">
        <f>Clinker!E15</f>
        <v>46</v>
      </c>
      <c r="J11" s="74">
        <f>I11+'12'!J11</f>
        <v>846</v>
      </c>
      <c r="K11" s="74">
        <f>I11+'12'!K11</f>
        <v>3981</v>
      </c>
      <c r="L11" s="77">
        <f t="shared" si="0"/>
        <v>1801.92</v>
      </c>
      <c r="M11" s="75">
        <f t="shared" si="1"/>
        <v>46</v>
      </c>
      <c r="N11" s="75">
        <f>(I11/I15)*100</f>
        <v>2.1188392445877473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(2)'!Q15</f>
        <v>3.999999999996362E-2</v>
      </c>
      <c r="F12" s="77">
        <f>'Mines (2)'!R15</f>
        <v>0</v>
      </c>
      <c r="G12" s="74">
        <f>F12+'12'!G12</f>
        <v>0</v>
      </c>
      <c r="H12" s="74">
        <f>F12+'12'!H12</f>
        <v>137.76</v>
      </c>
      <c r="I12" s="77">
        <f>'Mines (2)'!S15</f>
        <v>0</v>
      </c>
      <c r="J12" s="74">
        <f>I12+'12'!J12</f>
        <v>0</v>
      </c>
      <c r="K12" s="74">
        <f>I12+'12'!K12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24393.370819825941</v>
      </c>
      <c r="F15" s="127">
        <f t="shared" si="2"/>
        <v>2535.88</v>
      </c>
      <c r="G15" s="127">
        <f t="shared" si="2"/>
        <v>39431.94</v>
      </c>
      <c r="H15" s="127">
        <f t="shared" si="2"/>
        <v>202123.66000000006</v>
      </c>
      <c r="I15" s="127">
        <f>SUM(I9:I12)</f>
        <v>2171</v>
      </c>
      <c r="J15" s="127">
        <f t="shared" si="2"/>
        <v>34504</v>
      </c>
      <c r="K15" s="127">
        <f t="shared" si="2"/>
        <v>180890</v>
      </c>
      <c r="L15" s="127">
        <f t="shared" si="0"/>
        <v>24758.250819825942</v>
      </c>
      <c r="M15" s="128">
        <f>SUM(M9:M12)</f>
        <v>2171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Clinker!EB15</f>
        <v>3563.2769999999905</v>
      </c>
      <c r="F16" s="77">
        <f>Clinker!EC15</f>
        <v>0</v>
      </c>
      <c r="G16" s="77">
        <f>F16+'12'!G16</f>
        <v>2162.86</v>
      </c>
      <c r="H16" s="77">
        <f>F16+'12'!H16</f>
        <v>2968.1000000000004</v>
      </c>
      <c r="I16" s="77">
        <f>Clinker!ED15</f>
        <v>242.22</v>
      </c>
      <c r="J16" s="77">
        <f>I16+'12'!J16</f>
        <v>3469.8799999999997</v>
      </c>
      <c r="K16" s="77">
        <f>I16+'12'!K16</f>
        <v>18187.190000000006</v>
      </c>
      <c r="L16" s="77">
        <f>E16+F16-Clinker!N15-Clinker!Z15-Clinker!AS15-Clinker!AX15-Clinker!BC15-Clinker!BW15-Clinker!DP15</f>
        <v>3563.2769999999905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Clinker!EF15</f>
        <v>4037.0699999999933</v>
      </c>
      <c r="F17" s="77">
        <f>Clinker!EG15</f>
        <v>0</v>
      </c>
      <c r="G17" s="77">
        <f>F17+'12'!G17</f>
        <v>1660.3500000000001</v>
      </c>
      <c r="H17" s="77">
        <f>F17+'12'!H17</f>
        <v>3801.2999999999997</v>
      </c>
      <c r="I17" s="77">
        <f>Clinker!EH15</f>
        <v>126</v>
      </c>
      <c r="J17" s="77">
        <f>I17+'12'!J17</f>
        <v>1798</v>
      </c>
      <c r="K17" s="77">
        <f>I17+'12'!K17</f>
        <v>9970</v>
      </c>
      <c r="L17" s="77">
        <f>E17+F17-Clinker!AE15-Clinker!AJ15-Clinker!CL15-Clinker!CQ15-Clinker!CG15-Clinker!AI15</f>
        <v>3911.0699999999933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7600.3469999999834</v>
      </c>
      <c r="F18" s="125">
        <f>F16+F17</f>
        <v>0</v>
      </c>
      <c r="G18" s="125">
        <f t="shared" ref="G18:K18" si="3">G16+G17</f>
        <v>3823.21</v>
      </c>
      <c r="H18" s="125">
        <f t="shared" si="3"/>
        <v>6769.4</v>
      </c>
      <c r="I18" s="125">
        <f>I16+I17</f>
        <v>368.22</v>
      </c>
      <c r="J18" s="125">
        <f>J16+J17</f>
        <v>5267.8799999999992</v>
      </c>
      <c r="K18" s="125">
        <f t="shared" si="3"/>
        <v>28157.190000000006</v>
      </c>
      <c r="L18" s="125">
        <f t="shared" si="0"/>
        <v>7232.1269999999831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Clinker!EJ15</f>
        <v>23403.439581176164</v>
      </c>
      <c r="F20" s="74">
        <f>Clinker!EK15</f>
        <v>1304</v>
      </c>
      <c r="G20" s="74">
        <f>F20+'12'!G20</f>
        <v>20092</v>
      </c>
      <c r="H20" s="74">
        <f>F20+'12'!H20</f>
        <v>105618</v>
      </c>
      <c r="I20" s="74">
        <f>Clinker!EL15</f>
        <v>2171.6030015528004</v>
      </c>
      <c r="J20" s="74">
        <f>I20+'12'!J20</f>
        <v>23501.972506138321</v>
      </c>
      <c r="K20" s="74">
        <f>I20+'12'!K20</f>
        <v>86363.703520003357</v>
      </c>
      <c r="L20" s="74">
        <f>E20+F20-I20-I22</f>
        <v>22535.836579623363</v>
      </c>
      <c r="M20" s="641">
        <f>((I20+I21)/(J42+J48))*100</f>
        <v>77.779477132979963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Clinker!EO15</f>
        <v>5306.1090080001359</v>
      </c>
      <c r="F21" s="74">
        <f>Clinker!EP15</f>
        <v>0</v>
      </c>
      <c r="G21" s="75">
        <f>F21+'12'!G21</f>
        <v>0</v>
      </c>
      <c r="H21" s="74">
        <f>F21+'12'!H21</f>
        <v>13390.660000000003</v>
      </c>
      <c r="I21" s="74">
        <f>Clinker!EQ15</f>
        <v>0</v>
      </c>
      <c r="J21" s="74">
        <f>I21+'12'!J21</f>
        <v>0</v>
      </c>
      <c r="K21" s="74">
        <f>I21+'12'!K21</f>
        <v>16934.099999999999</v>
      </c>
      <c r="L21" s="74">
        <f>E21+F21-I21</f>
        <v>5306.1090080001359</v>
      </c>
      <c r="M21" s="642"/>
      <c r="N21" s="525"/>
      <c r="O21" s="527"/>
      <c r="P21" s="535"/>
      <c r="Q21" s="536"/>
      <c r="R21" s="190"/>
      <c r="S21" s="20"/>
    </row>
    <row r="22" spans="2:19" ht="30">
      <c r="B22" s="512"/>
      <c r="C22" s="524"/>
      <c r="D22" s="86" t="s">
        <v>270</v>
      </c>
      <c r="E22" s="77"/>
      <c r="F22" s="77">
        <f>Clinker!EN15</f>
        <v>0</v>
      </c>
      <c r="G22" s="74">
        <f>F22+'12'!G22</f>
        <v>0</v>
      </c>
      <c r="H22" s="74">
        <f>F22+'12'!H22</f>
        <v>0</v>
      </c>
      <c r="I22" s="77">
        <f>Clinker!EN15</f>
        <v>0</v>
      </c>
      <c r="J22" s="74">
        <f>I22+'12'!J22</f>
        <v>0</v>
      </c>
      <c r="K22" s="74">
        <f>I22+'12'!K22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Cement!S15</f>
        <v>534.88888732800001</v>
      </c>
      <c r="J23" s="74">
        <f>I23+'12'!J23</f>
        <v>5731.7783298332324</v>
      </c>
      <c r="K23" s="74">
        <f>I23+'12'!K23</f>
        <v>26205.129764685913</v>
      </c>
      <c r="L23" s="74"/>
      <c r="M23" s="78">
        <f>I23/(J42+J48)*100</f>
        <v>19.157911437249282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Cement!C15</f>
        <v>3191.1042245248823</v>
      </c>
      <c r="F24" s="77">
        <f>Cement!D15</f>
        <v>0</v>
      </c>
      <c r="G24" s="74">
        <f>F24+'12'!G24</f>
        <v>432.7</v>
      </c>
      <c r="H24" s="74">
        <f>F24+'12'!H24</f>
        <v>2559.3199999999997</v>
      </c>
      <c r="I24" s="77">
        <f>Cement!F15</f>
        <v>146.31263142315791</v>
      </c>
      <c r="J24" s="74">
        <f>I24+'12'!J24</f>
        <v>1596.238944222916</v>
      </c>
      <c r="K24" s="74">
        <f>I24+'12'!K24</f>
        <v>6959.9084660480594</v>
      </c>
      <c r="L24" s="74">
        <f t="shared" ref="L24:L26" si="4">E24+F24-I24</f>
        <v>3044.7915931017242</v>
      </c>
      <c r="M24" s="78">
        <f>(I24/(J42+J48))*100</f>
        <v>5.2404237615744238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Cement!H15</f>
        <v>0.23999999999796273</v>
      </c>
      <c r="F25" s="77">
        <f>Cement!I15</f>
        <v>0</v>
      </c>
      <c r="G25" s="74">
        <f>F25+'12'!G25</f>
        <v>0</v>
      </c>
      <c r="H25" s="74">
        <f>F25+'12'!H25</f>
        <v>0</v>
      </c>
      <c r="I25" s="77">
        <f>Cement!J15</f>
        <v>0</v>
      </c>
      <c r="J25" s="74">
        <f>I25+'12'!J25</f>
        <v>0</v>
      </c>
      <c r="K25" s="74">
        <f>I25+'12'!K25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Cement!L15</f>
        <v>0</v>
      </c>
      <c r="F26" s="77">
        <f>Cement!M15</f>
        <v>0</v>
      </c>
      <c r="G26" s="74">
        <f>F26+'12'!G26</f>
        <v>0</v>
      </c>
      <c r="H26" s="74">
        <f>F26+'12'!H26</f>
        <v>0</v>
      </c>
      <c r="I26" s="77">
        <f>Cement!N15</f>
        <v>0</v>
      </c>
      <c r="J26" s="74">
        <f>I26+'12'!J26</f>
        <v>0</v>
      </c>
      <c r="K26" s="74">
        <f>I26+'12'!K26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31900.892813701183</v>
      </c>
      <c r="F27" s="122">
        <f t="shared" ref="F27:L27" si="5">F20+F21+F23+F24+F25+F26</f>
        <v>1304</v>
      </c>
      <c r="G27" s="122">
        <f t="shared" si="5"/>
        <v>20524.7</v>
      </c>
      <c r="H27" s="122">
        <f t="shared" si="5"/>
        <v>121567.98000000001</v>
      </c>
      <c r="I27" s="122">
        <f t="shared" si="5"/>
        <v>2852.8045203039587</v>
      </c>
      <c r="J27" s="122">
        <f>J20+J21+J23+J24+J25+J26</f>
        <v>30829.989780194468</v>
      </c>
      <c r="K27" s="122">
        <f t="shared" si="5"/>
        <v>136462.84175073734</v>
      </c>
      <c r="L27" s="122">
        <f t="shared" si="5"/>
        <v>30886.977180725222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Production2!C15</f>
        <v>16.25</v>
      </c>
      <c r="G32" s="75">
        <f>F32+'12'!G32</f>
        <v>238.91000000000005</v>
      </c>
      <c r="H32" s="75">
        <f>F32+'12'!H32</f>
        <v>1208.04</v>
      </c>
      <c r="I32" s="74">
        <f>'Mines (2)'!C15+'Mines (2)'!H15+'Mines (2)'!V15+'Mines (2)'!Z15+'Mines (2)'!AD15</f>
        <v>19365.550819825927</v>
      </c>
      <c r="J32" s="74">
        <f>Production2!D15</f>
        <v>2535.88</v>
      </c>
      <c r="K32" s="74">
        <f>J32+'12'!K32</f>
        <v>38574.520000000004</v>
      </c>
      <c r="L32" s="74">
        <f>J32+'12'!L32</f>
        <v>195441.80000000005</v>
      </c>
      <c r="M32" s="74">
        <f>I9+I23</f>
        <v>2605.8888873280002</v>
      </c>
      <c r="N32" s="74">
        <f>M32+'12'!N32</f>
        <v>38746.778329833229</v>
      </c>
      <c r="O32" s="74">
        <f>M32+'12'!O32</f>
        <v>199251.12976468593</v>
      </c>
      <c r="P32" s="74">
        <f>I32+J32-M32</f>
        <v>19295.541932497927</v>
      </c>
      <c r="Q32" s="93">
        <f>J32/F32</f>
        <v>156.05415384615387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Production2!G15</f>
        <v>14.92</v>
      </c>
      <c r="G33" s="75">
        <f>F33+'12'!G33</f>
        <v>239.73999999999998</v>
      </c>
      <c r="H33" s="75">
        <f>F33+'12'!H33</f>
        <v>1309.28</v>
      </c>
      <c r="I33" s="541">
        <f>Production2!H15</f>
        <v>1269.9400168375187</v>
      </c>
      <c r="J33" s="78">
        <f>Production2!N15</f>
        <v>1820</v>
      </c>
      <c r="K33" s="74">
        <f>J33+'12'!K33</f>
        <v>28857</v>
      </c>
      <c r="L33" s="74">
        <f>J33+'12'!L33</f>
        <v>155142.59</v>
      </c>
      <c r="M33" s="541">
        <f>Production2!K15</f>
        <v>2021.2</v>
      </c>
      <c r="N33" s="541">
        <f>M33+'12'!N33</f>
        <v>31142.600000000002</v>
      </c>
      <c r="O33" s="541">
        <f>M33+'12'!O33</f>
        <v>163707.9</v>
      </c>
      <c r="P33" s="541">
        <f>I33+J33+J34-M33</f>
        <v>1204.0200168375188</v>
      </c>
      <c r="Q33" s="96">
        <f t="shared" ref="Q33:Q48" si="6">J33/F33</f>
        <v>121.98391420911528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Production2!P15</f>
        <v>15</v>
      </c>
      <c r="G34" s="75">
        <f>F34+'12'!G34</f>
        <v>240.51000000000002</v>
      </c>
      <c r="H34" s="75">
        <f>F34+'12'!H34</f>
        <v>856.18</v>
      </c>
      <c r="I34" s="473"/>
      <c r="J34" s="78">
        <f>Production2!Q15</f>
        <v>135.28</v>
      </c>
      <c r="K34" s="74">
        <f>J34+'12'!K34</f>
        <v>2221.98</v>
      </c>
      <c r="L34" s="74">
        <f>J34+'12'!L34</f>
        <v>7775.6</v>
      </c>
      <c r="M34" s="473"/>
      <c r="N34" s="473"/>
      <c r="O34" s="473"/>
      <c r="P34" s="473"/>
      <c r="Q34" s="96">
        <f>J34/F34</f>
        <v>9.0186666666666664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Production2!S15</f>
        <v>16</v>
      </c>
      <c r="G35" s="75">
        <f>F35+'12'!G35</f>
        <v>223.04</v>
      </c>
      <c r="H35" s="75">
        <f>F35+'12'!H35</f>
        <v>1176.3699999999999</v>
      </c>
      <c r="I35" s="77">
        <f>Production2!T15</f>
        <v>49.709999999999809</v>
      </c>
      <c r="J35" s="77">
        <f>Production2!U15</f>
        <v>218</v>
      </c>
      <c r="K35" s="74">
        <f>J35+'12'!K35</f>
        <v>3097.6</v>
      </c>
      <c r="L35" s="74">
        <f>J35+'12'!L35</f>
        <v>16343.199999999999</v>
      </c>
      <c r="M35" s="77">
        <f>Production2!V15</f>
        <v>218</v>
      </c>
      <c r="N35" s="74">
        <f>M35+'12'!N35</f>
        <v>3090</v>
      </c>
      <c r="O35" s="74">
        <f>M35+'12'!O35</f>
        <v>16309</v>
      </c>
      <c r="P35" s="74">
        <f t="shared" ref="P35" si="7">I35+J35-M35</f>
        <v>49.709999999999809</v>
      </c>
      <c r="Q35" s="96">
        <f t="shared" si="6"/>
        <v>13.625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Production2!Y15</f>
        <v>23.48</v>
      </c>
      <c r="G36" s="75">
        <f>F36+'12'!G36</f>
        <v>305.52000000000004</v>
      </c>
      <c r="H36" s="75">
        <f>F36+'12'!H36</f>
        <v>1620.33</v>
      </c>
      <c r="I36" s="77">
        <f>Clinker!EJ15</f>
        <v>23403.439581176164</v>
      </c>
      <c r="J36" s="77">
        <f>Clinker!EK15</f>
        <v>1304</v>
      </c>
      <c r="K36" s="74">
        <f>J36+'12'!K36</f>
        <v>20092</v>
      </c>
      <c r="L36" s="74">
        <f>J36+'12'!L36</f>
        <v>105618</v>
      </c>
      <c r="M36" s="77">
        <f>Clinker!EL15</f>
        <v>2171.6030015528004</v>
      </c>
      <c r="N36" s="74">
        <f>M36+'12'!N36</f>
        <v>23501.972506138321</v>
      </c>
      <c r="O36" s="74">
        <f>M36+'12'!O36</f>
        <v>86363.703520003357</v>
      </c>
      <c r="P36" s="74">
        <f>I36+J36-M36-I22</f>
        <v>22535.836579623363</v>
      </c>
      <c r="Q36" s="96">
        <f t="shared" si="6"/>
        <v>55.536626916524703</v>
      </c>
      <c r="R36" s="94"/>
      <c r="S36" s="94"/>
    </row>
    <row r="37" spans="2:19">
      <c r="B37" s="569">
        <v>5</v>
      </c>
      <c r="C37" s="476" t="s">
        <v>158</v>
      </c>
      <c r="D37" s="80" t="s">
        <v>285</v>
      </c>
      <c r="E37" s="97">
        <v>90</v>
      </c>
      <c r="F37" s="78">
        <f>Production2!AE15</f>
        <v>2</v>
      </c>
      <c r="G37" s="75">
        <f>F37+'12'!G37</f>
        <v>9</v>
      </c>
      <c r="H37" s="75">
        <f>F37+'12'!H37</f>
        <v>48.7</v>
      </c>
      <c r="I37" s="77">
        <f>Production2!BJ15</f>
        <v>137.29999999999995</v>
      </c>
      <c r="J37" s="77">
        <f>Production2!AF15</f>
        <v>140</v>
      </c>
      <c r="K37" s="74">
        <f>J37+'12'!K37</f>
        <v>629</v>
      </c>
      <c r="L37" s="74">
        <f>J37+'12'!L37</f>
        <v>3263</v>
      </c>
      <c r="M37" s="77">
        <f>Production2!BL15</f>
        <v>200</v>
      </c>
      <c r="N37" s="74">
        <f>M37+'12'!N37</f>
        <v>1350</v>
      </c>
      <c r="O37" s="74">
        <f>M37+'12'!O37</f>
        <v>6388</v>
      </c>
      <c r="P37" s="74">
        <f>I37+J37+J43-M37-F61</f>
        <v>77.299999999999955</v>
      </c>
      <c r="Q37" s="96">
        <f t="shared" si="6"/>
        <v>70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Production2!AB15</f>
        <v>20</v>
      </c>
      <c r="G38" s="75">
        <f>F38+'12'!G38</f>
        <v>234.67000000000002</v>
      </c>
      <c r="H38" s="75">
        <f>F38+'12'!H38</f>
        <v>733.14</v>
      </c>
      <c r="I38" s="77">
        <f>Production2!BF15</f>
        <v>474.67799999997806</v>
      </c>
      <c r="J38" s="77">
        <f>Production2!AC15</f>
        <v>1284</v>
      </c>
      <c r="K38" s="74">
        <f>J38+'12'!K38</f>
        <v>15487</v>
      </c>
      <c r="L38" s="74">
        <f>J38+'12'!L38</f>
        <v>46817</v>
      </c>
      <c r="M38" s="77">
        <f>Production2!BH15</f>
        <v>2485.4</v>
      </c>
      <c r="N38" s="74">
        <f>M38+'12'!N38</f>
        <v>27612.449999999997</v>
      </c>
      <c r="O38" s="74">
        <f>M38+'12'!O38</f>
        <v>108355.27999999998</v>
      </c>
      <c r="P38" s="74">
        <f>I38+J38+J44-M38-F59</f>
        <v>449.27799999997796</v>
      </c>
      <c r="Q38" s="96">
        <f t="shared" si="6"/>
        <v>64.2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Production2!AH15</f>
        <v>0</v>
      </c>
      <c r="G39" s="75">
        <f>F39+'12'!G39</f>
        <v>0</v>
      </c>
      <c r="H39" s="75">
        <f>F39+'12'!H39</f>
        <v>0</v>
      </c>
      <c r="I39" s="77">
        <f>Production2!BN15</f>
        <v>9.0000000000849845E-2</v>
      </c>
      <c r="J39" s="77">
        <f>Production2!AI15</f>
        <v>0</v>
      </c>
      <c r="K39" s="74">
        <f>J39+'12'!K39</f>
        <v>0</v>
      </c>
      <c r="L39" s="74">
        <f>J39+'12'!L39</f>
        <v>0</v>
      </c>
      <c r="M39" s="77">
        <f>Production2!BP15</f>
        <v>0</v>
      </c>
      <c r="N39" s="74">
        <f>M39+'12'!N39</f>
        <v>0</v>
      </c>
      <c r="O39" s="74">
        <f>M39+'12'!O39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Production2!AK15</f>
        <v>0</v>
      </c>
      <c r="G40" s="75">
        <f>F40+'12'!G40</f>
        <v>1</v>
      </c>
      <c r="H40" s="75">
        <f>F40+'12'!H40</f>
        <v>6</v>
      </c>
      <c r="I40" s="195">
        <f>Production2!BR15</f>
        <v>132.60000000000005</v>
      </c>
      <c r="J40" s="195">
        <v>0</v>
      </c>
      <c r="K40" s="74">
        <f>J40+'12'!K40</f>
        <v>65</v>
      </c>
      <c r="L40" s="74">
        <f>J40+'12'!L40</f>
        <v>365</v>
      </c>
      <c r="M40" s="195">
        <f>Production2!BT15</f>
        <v>91</v>
      </c>
      <c r="N40" s="74">
        <f>M40+'12'!N40</f>
        <v>968</v>
      </c>
      <c r="O40" s="74">
        <f>M40+'12'!O40</f>
        <v>4000.5</v>
      </c>
      <c r="P40" s="74">
        <f>I40+J40+J46-M40-F61</f>
        <v>97.600000000000051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Production2!AN15</f>
        <v>2</v>
      </c>
      <c r="G41" s="75">
        <f>F41+'12'!G41</f>
        <v>29.5</v>
      </c>
      <c r="H41" s="75">
        <f>F41+'12'!H41</f>
        <v>155.66999999999999</v>
      </c>
      <c r="I41" s="195">
        <f>Production2!BV15</f>
        <v>153.62000000000023</v>
      </c>
      <c r="J41" s="195">
        <f>Production2!AO15</f>
        <v>136</v>
      </c>
      <c r="K41" s="74">
        <f>J41+'12'!K41</f>
        <v>2025</v>
      </c>
      <c r="L41" s="74">
        <f>J41+'12'!L41</f>
        <v>10203</v>
      </c>
      <c r="M41" s="77">
        <f>Production2!BX15</f>
        <v>179.86</v>
      </c>
      <c r="N41" s="74">
        <f>M41+'12'!N41</f>
        <v>3202.6399999999994</v>
      </c>
      <c r="O41" s="74">
        <f>M41+'12'!O41</f>
        <v>17197.949999999997</v>
      </c>
      <c r="P41" s="74">
        <f>I41+J41+J47-M41</f>
        <v>109.76000000000022</v>
      </c>
      <c r="Q41" s="96">
        <f t="shared" si="6"/>
        <v>68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8">G37+G38+G39+G40+G41</f>
        <v>274.17</v>
      </c>
      <c r="H42" s="132">
        <f t="shared" si="8"/>
        <v>943.51</v>
      </c>
      <c r="I42" s="122">
        <f>I37+I38+I39+I40+I41</f>
        <v>898.28799999997909</v>
      </c>
      <c r="J42" s="122">
        <f t="shared" ref="J42:P42" si="9">J37+J38+J39+J40+J41</f>
        <v>1560</v>
      </c>
      <c r="K42" s="122">
        <f t="shared" si="9"/>
        <v>18206</v>
      </c>
      <c r="L42" s="122">
        <f t="shared" si="9"/>
        <v>60648</v>
      </c>
      <c r="M42" s="122">
        <f t="shared" si="9"/>
        <v>2956.26</v>
      </c>
      <c r="N42" s="122">
        <f t="shared" si="9"/>
        <v>33133.089999999997</v>
      </c>
      <c r="O42" s="122">
        <f t="shared" si="9"/>
        <v>135941.57999999999</v>
      </c>
      <c r="P42" s="122">
        <f t="shared" si="9"/>
        <v>734.02799999997899</v>
      </c>
      <c r="Q42" s="123">
        <f t="shared" si="6"/>
        <v>65</v>
      </c>
      <c r="R42" s="94"/>
      <c r="S42" s="94"/>
    </row>
    <row r="43" spans="2:19">
      <c r="B43" s="569">
        <v>5</v>
      </c>
      <c r="C43" s="476" t="s">
        <v>289</v>
      </c>
      <c r="D43" s="80" t="s">
        <v>285</v>
      </c>
      <c r="E43" s="97">
        <v>75</v>
      </c>
      <c r="F43" s="78">
        <f>Production2!AT15</f>
        <v>0</v>
      </c>
      <c r="G43" s="75">
        <f>F43+'12'!G43</f>
        <v>3.5</v>
      </c>
      <c r="H43" s="75">
        <f>F43+'12'!H43</f>
        <v>48.929999999999993</v>
      </c>
      <c r="I43" s="471"/>
      <c r="J43" s="77">
        <f>Production2!AU15</f>
        <v>0</v>
      </c>
      <c r="K43" s="74">
        <f>J43+'12'!K43</f>
        <v>220</v>
      </c>
      <c r="L43" s="74">
        <f>J43+'12'!L43</f>
        <v>2970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Production2!AQ15</f>
        <v>21</v>
      </c>
      <c r="G44" s="75">
        <f>F44+'12'!G44</f>
        <v>182.05</v>
      </c>
      <c r="H44" s="75">
        <f>F44+'12'!H44</f>
        <v>1032.46</v>
      </c>
      <c r="I44" s="472"/>
      <c r="J44" s="77">
        <f>Production2!AR15</f>
        <v>1176</v>
      </c>
      <c r="K44" s="74">
        <f>J44+'12'!K44</f>
        <v>10758</v>
      </c>
      <c r="L44" s="74">
        <f>J44+'12'!L44</f>
        <v>60719</v>
      </c>
      <c r="M44" s="545"/>
      <c r="N44" s="546"/>
      <c r="O44" s="546"/>
      <c r="P44" s="547"/>
      <c r="Q44" s="96">
        <f t="shared" si="6"/>
        <v>56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Production2!AW15</f>
        <v>0</v>
      </c>
      <c r="G45" s="75">
        <f>F45+'12'!G45</f>
        <v>0</v>
      </c>
      <c r="H45" s="75">
        <f>F45+'12'!H45</f>
        <v>0</v>
      </c>
      <c r="I45" s="472"/>
      <c r="J45" s="77">
        <f>Production2!AX15</f>
        <v>0</v>
      </c>
      <c r="K45" s="74">
        <f>J45+'12'!K45</f>
        <v>0</v>
      </c>
      <c r="L45" s="74">
        <f>J45+'12'!L45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Production2!AZ15</f>
        <v>1</v>
      </c>
      <c r="G46" s="75">
        <f>F46+'12'!G46</f>
        <v>15.47</v>
      </c>
      <c r="H46" s="75">
        <f>F46+'12'!H46</f>
        <v>63.35</v>
      </c>
      <c r="I46" s="473"/>
      <c r="J46" s="195">
        <f>Production2!BA15</f>
        <v>56</v>
      </c>
      <c r="K46" s="74">
        <f>J46+'12'!K46</f>
        <v>873</v>
      </c>
      <c r="L46" s="74">
        <f>J46+'12'!L46</f>
        <v>3520</v>
      </c>
      <c r="M46" s="548"/>
      <c r="N46" s="549"/>
      <c r="O46" s="549"/>
      <c r="P46" s="550"/>
      <c r="Q46" s="96">
        <f t="shared" si="6"/>
        <v>56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Production2!BC15</f>
        <v>0</v>
      </c>
      <c r="G47" s="75">
        <f>F47+'12'!G47</f>
        <v>2</v>
      </c>
      <c r="H47" s="75">
        <f>F47+'12'!H47</f>
        <v>110.67</v>
      </c>
      <c r="I47" s="425"/>
      <c r="J47" s="195">
        <f>Production2!BD15</f>
        <v>0</v>
      </c>
      <c r="K47" s="74">
        <f>J47+'12'!K47</f>
        <v>120</v>
      </c>
      <c r="L47" s="74">
        <f>J47+'12'!L47</f>
        <v>6735</v>
      </c>
      <c r="M47" s="426"/>
      <c r="N47" s="109"/>
      <c r="O47" s="109"/>
      <c r="P47" s="427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22</v>
      </c>
      <c r="G48" s="132">
        <f t="shared" ref="G48:H48" si="10">G43+G44+G45+G46+G47</f>
        <v>203.02</v>
      </c>
      <c r="H48" s="132">
        <f t="shared" si="10"/>
        <v>1255.4100000000001</v>
      </c>
      <c r="I48" s="122">
        <f t="shared" ref="I48" si="11">I43+I44+I45+I46</f>
        <v>0</v>
      </c>
      <c r="J48" s="122">
        <f>J43+J44+J45+J46+J47</f>
        <v>1232</v>
      </c>
      <c r="K48" s="122">
        <f t="shared" ref="K48:L48" si="12">K43+K44+K45+K46+K47</f>
        <v>11971</v>
      </c>
      <c r="L48" s="122">
        <f t="shared" si="12"/>
        <v>73944</v>
      </c>
      <c r="M48" s="574"/>
      <c r="N48" s="575"/>
      <c r="O48" s="575"/>
      <c r="P48" s="576"/>
      <c r="Q48" s="123">
        <f t="shared" si="6"/>
        <v>56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1.0323832357998013</v>
      </c>
      <c r="F52" s="99">
        <f>F55/(J33+J34)</f>
        <v>23.952068245980115</v>
      </c>
      <c r="G52" s="99">
        <v>0</v>
      </c>
      <c r="H52" s="99">
        <f>H55/J36</f>
        <v>37.280674846625764</v>
      </c>
      <c r="I52" s="99">
        <f>I55/J35</f>
        <v>57.298165137614681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16.717791411042946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1.6396209212740709</v>
      </c>
      <c r="F53" s="102">
        <f>F52*1.55</f>
        <v>37.125705781269183</v>
      </c>
      <c r="G53" s="102">
        <v>0</v>
      </c>
      <c r="H53" s="102">
        <f>H52</f>
        <v>37.280674846625764</v>
      </c>
      <c r="I53" s="102">
        <f>I52*(Q52/100)</f>
        <v>9.5789877300613497</v>
      </c>
      <c r="J53" s="102"/>
      <c r="K53" s="102"/>
      <c r="L53" s="102"/>
      <c r="M53" s="96"/>
      <c r="N53" s="103">
        <v>85.8</v>
      </c>
      <c r="O53" s="516" t="s">
        <v>298</v>
      </c>
      <c r="P53" s="516"/>
      <c r="Q53" s="104">
        <v>5367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1.2752885795299214</v>
      </c>
      <c r="F54" s="102">
        <f>F53*M20/100</f>
        <v>28.876179838599683</v>
      </c>
      <c r="G54" s="102">
        <f>G53*M20/100</f>
        <v>0</v>
      </c>
      <c r="H54" s="102">
        <f>H53*M20/100</f>
        <v>28.996713967351898</v>
      </c>
      <c r="I54" s="102">
        <f>I53*M20/100</f>
        <v>7.4504865710740242</v>
      </c>
      <c r="J54" s="99">
        <f>J55/(J42+J48)</f>
        <v>40.430157593123212</v>
      </c>
      <c r="K54" s="99">
        <f>K55/(J48+J42)</f>
        <v>0.72242120343839544</v>
      </c>
      <c r="L54" s="99">
        <f>L55/(M42)</f>
        <v>2.2227408955910506</v>
      </c>
      <c r="M54" s="96">
        <f>M55/(J48+J42)</f>
        <v>1.2589541547277936</v>
      </c>
      <c r="N54" s="306">
        <f>SUM(E54:M54)</f>
        <v>111.23294280343598</v>
      </c>
      <c r="O54" s="516" t="s">
        <v>300</v>
      </c>
      <c r="P54" s="516"/>
      <c r="Q54" s="104">
        <f>Q53*Q52/100</f>
        <v>897.2438650306749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unit'!B15</f>
        <v>2618</v>
      </c>
      <c r="F55" s="118">
        <f>'Daily unit'!C15</f>
        <v>46833</v>
      </c>
      <c r="G55" s="118">
        <f>'Daily unit'!D15</f>
        <v>0</v>
      </c>
      <c r="H55" s="118">
        <f>'Daily unit'!E15</f>
        <v>48614</v>
      </c>
      <c r="I55" s="118">
        <f>'Daily unit'!F15</f>
        <v>12491</v>
      </c>
      <c r="J55" s="118">
        <f>'Daily unit'!G15</f>
        <v>112881</v>
      </c>
      <c r="K55" s="118">
        <f>'Daily unit'!H15</f>
        <v>2017</v>
      </c>
      <c r="L55" s="118">
        <f>'Daily unit'!I15</f>
        <v>6571</v>
      </c>
      <c r="M55" s="119">
        <f>'Daily unit'!J15</f>
        <v>3515</v>
      </c>
      <c r="N55" s="317">
        <f>SUM(E55:M55)</f>
        <v>235540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577" t="s">
        <v>302</v>
      </c>
      <c r="C57" s="578"/>
      <c r="D57" s="578"/>
      <c r="E57" s="578"/>
      <c r="F57" s="578"/>
      <c r="G57" s="578"/>
      <c r="H57" s="640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224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69">
        <v>1</v>
      </c>
      <c r="C59" s="660" t="s">
        <v>306</v>
      </c>
      <c r="D59" s="661"/>
      <c r="E59" s="80">
        <v>42.5</v>
      </c>
      <c r="F59" s="53">
        <f>'Internal use cement'!F15</f>
        <v>0</v>
      </c>
      <c r="G59" s="53">
        <f>F59+'12'!G59</f>
        <v>0</v>
      </c>
      <c r="H59" s="104">
        <f>F59+'12'!H59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64"/>
      <c r="C60" s="662"/>
      <c r="D60" s="663"/>
      <c r="E60" s="80" t="s">
        <v>211</v>
      </c>
      <c r="F60" s="53">
        <f>'Internal use cement'!Q15</f>
        <v>0</v>
      </c>
      <c r="G60" s="53">
        <f>F60+'12'!G60</f>
        <v>0</v>
      </c>
      <c r="H60" s="104">
        <f>F60+'12'!H60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64"/>
      <c r="C61" s="662"/>
      <c r="D61" s="663"/>
      <c r="E61" s="80">
        <v>32.5</v>
      </c>
      <c r="F61" s="53">
        <f>'Internal use cement'!AB15</f>
        <v>0</v>
      </c>
      <c r="G61" s="53">
        <f>F61+'12'!G61</f>
        <v>0</v>
      </c>
      <c r="H61" s="104">
        <f>F61+'12'!H61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565"/>
      <c r="C62" s="664"/>
      <c r="D62" s="665"/>
      <c r="E62" s="112" t="s">
        <v>187</v>
      </c>
      <c r="F62" s="113">
        <f>'Internal use cement'!AJ15</f>
        <v>0</v>
      </c>
      <c r="G62" s="113">
        <f>F62+'12'!G62</f>
        <v>0.1</v>
      </c>
      <c r="H62" s="114">
        <f>F62+'12'!H62</f>
        <v>0.2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5"/>
      <c r="S65" s="115"/>
    </row>
    <row r="66" spans="2:19">
      <c r="R66" s="116"/>
      <c r="S66" s="116"/>
    </row>
    <row r="67" spans="2:19">
      <c r="R67" s="94"/>
      <c r="S67" s="94"/>
    </row>
    <row r="68" spans="2:19">
      <c r="R68" s="94"/>
      <c r="S68" s="94"/>
    </row>
    <row r="69" spans="2:19">
      <c r="R69" s="94"/>
      <c r="S69" s="94"/>
    </row>
    <row r="70" spans="2:19">
      <c r="R70" s="109"/>
      <c r="S70" s="109"/>
    </row>
    <row r="71" spans="2:19">
      <c r="R71" s="94"/>
      <c r="S71" s="94"/>
    </row>
    <row r="72" spans="2:19">
      <c r="R72" s="117"/>
      <c r="S72" s="117"/>
    </row>
    <row r="73" spans="2:19">
      <c r="R73" s="117"/>
      <c r="S73" s="117"/>
    </row>
    <row r="74" spans="2:19">
      <c r="R74" s="117"/>
      <c r="S74" s="117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2:19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</sheetData>
  <mergeCells count="86">
    <mergeCell ref="C37:C42"/>
    <mergeCell ref="Q30:Q31"/>
    <mergeCell ref="B50:N50"/>
    <mergeCell ref="O50:Q50"/>
    <mergeCell ref="I33:I34"/>
    <mergeCell ref="M33:M34"/>
    <mergeCell ref="N33:N34"/>
    <mergeCell ref="O33:O34"/>
    <mergeCell ref="P33:P34"/>
    <mergeCell ref="M48:P48"/>
    <mergeCell ref="M43:P46"/>
    <mergeCell ref="B43:B48"/>
    <mergeCell ref="C43:C48"/>
    <mergeCell ref="C33:D33"/>
    <mergeCell ref="C35:D35"/>
    <mergeCell ref="C36:D36"/>
    <mergeCell ref="B37:B42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6:B18"/>
    <mergeCell ref="C16:C18"/>
    <mergeCell ref="C9:D9"/>
    <mergeCell ref="C19:Q19"/>
    <mergeCell ref="C8:Q8"/>
    <mergeCell ref="C11:D11"/>
    <mergeCell ref="C12:D12"/>
    <mergeCell ref="C15:D15"/>
    <mergeCell ref="P15:Q15"/>
    <mergeCell ref="O9:O18"/>
    <mergeCell ref="C10:D10"/>
    <mergeCell ref="P20:Q22"/>
    <mergeCell ref="Q23:Q24"/>
    <mergeCell ref="C24:D24"/>
    <mergeCell ref="B25:B26"/>
    <mergeCell ref="C25:C26"/>
    <mergeCell ref="P25:Q27"/>
    <mergeCell ref="C27:D27"/>
    <mergeCell ref="M27:N27"/>
    <mergeCell ref="C23:D23"/>
    <mergeCell ref="M20:M21"/>
    <mergeCell ref="M25:N26"/>
    <mergeCell ref="C59:D62"/>
    <mergeCell ref="B20:B22"/>
    <mergeCell ref="C20:C22"/>
    <mergeCell ref="N20:N22"/>
    <mergeCell ref="O20:O27"/>
    <mergeCell ref="C32:D32"/>
    <mergeCell ref="I43:I46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B59:B62"/>
    <mergeCell ref="C34:D34"/>
    <mergeCell ref="I57:Q62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</mergeCells>
  <pageMargins left="0.25" right="0.25" top="0.75" bottom="0.75" header="0.3" footer="0.3"/>
  <pageSetup paperSize="9" scale="5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2:U159"/>
  <sheetViews>
    <sheetView zoomScale="90" zoomScaleNormal="90" workbookViewId="0">
      <pane xSplit="4" ySplit="1" topLeftCell="E45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85546875" style="68" bestFit="1" customWidth="1"/>
    <col min="10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330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474" t="s">
        <v>263</v>
      </c>
      <c r="D9" s="475"/>
      <c r="E9" s="74">
        <f>'13'!L9</f>
        <v>19295.541932497938</v>
      </c>
      <c r="F9" s="74">
        <f>Production2!D16</f>
        <v>3809.98</v>
      </c>
      <c r="G9" s="74">
        <f>F9+'13'!G9</f>
        <v>42384.500000000007</v>
      </c>
      <c r="H9" s="74">
        <f>F9+'13'!H9</f>
        <v>199251.78000000006</v>
      </c>
      <c r="I9" s="74">
        <f>Production2!E16</f>
        <v>2135</v>
      </c>
      <c r="J9" s="74">
        <f>I9+'13'!J9</f>
        <v>35150</v>
      </c>
      <c r="K9" s="74">
        <f>I9+'13'!K9</f>
        <v>175181</v>
      </c>
      <c r="L9" s="74">
        <f>E9+F9-I9-I23</f>
        <v>20483.166376943238</v>
      </c>
      <c r="M9" s="75">
        <f>I9</f>
        <v>2135</v>
      </c>
      <c r="N9" s="75">
        <f>(I9/I15)*100</f>
        <v>95.100222717149222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(2)'!L16</f>
        <v>3125.86</v>
      </c>
      <c r="F10" s="77">
        <f>'Mines (2)'!M16</f>
        <v>0</v>
      </c>
      <c r="G10" s="74">
        <f>F10+'13'!G10</f>
        <v>857.42000000000007</v>
      </c>
      <c r="H10" s="74">
        <f>F10+'13'!H10</f>
        <v>6126.8200000000006</v>
      </c>
      <c r="I10" s="77">
        <f>'Mines (2)'!N16</f>
        <v>49</v>
      </c>
      <c r="J10" s="74">
        <f>I10+'13'!J10</f>
        <v>692</v>
      </c>
      <c r="K10" s="74">
        <f>I10+'13'!K10</f>
        <v>3174</v>
      </c>
      <c r="L10" s="77">
        <f t="shared" ref="L10:L18" si="0">E10+F10-I10</f>
        <v>3076.86</v>
      </c>
      <c r="M10" s="75">
        <f t="shared" ref="M10:M12" si="1">I10</f>
        <v>49</v>
      </c>
      <c r="N10" s="75">
        <f>(I10/I15)*100</f>
        <v>2.1826280623608021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Clinker!C16</f>
        <v>1801.92</v>
      </c>
      <c r="F11" s="77">
        <f>Clinker!D16</f>
        <v>0</v>
      </c>
      <c r="G11" s="74">
        <f>F11+'13'!G11</f>
        <v>0</v>
      </c>
      <c r="H11" s="74">
        <f>F11+'13'!H11</f>
        <v>417.28000000000003</v>
      </c>
      <c r="I11" s="77">
        <f>Clinker!E16</f>
        <v>61</v>
      </c>
      <c r="J11" s="74">
        <f>I11+'13'!J11</f>
        <v>907</v>
      </c>
      <c r="K11" s="74">
        <f>I11+'13'!K11</f>
        <v>4042</v>
      </c>
      <c r="L11" s="77">
        <f t="shared" si="0"/>
        <v>1740.92</v>
      </c>
      <c r="M11" s="75">
        <f t="shared" si="1"/>
        <v>61</v>
      </c>
      <c r="N11" s="75">
        <f>(I11/I15)*100</f>
        <v>2.7171492204899774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(2)'!Q16</f>
        <v>3.999999999996362E-2</v>
      </c>
      <c r="F12" s="77">
        <f>'Mines (2)'!R16</f>
        <v>0</v>
      </c>
      <c r="G12" s="74">
        <f>F12+'13'!G12</f>
        <v>0</v>
      </c>
      <c r="H12" s="74">
        <f>F12+'13'!H12</f>
        <v>137.76</v>
      </c>
      <c r="I12" s="77">
        <f>'Mines (2)'!S16</f>
        <v>0</v>
      </c>
      <c r="J12" s="74">
        <f>I12+'13'!J12</f>
        <v>0</v>
      </c>
      <c r="K12" s="74">
        <f>I12+'13'!K12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24223.361932497937</v>
      </c>
      <c r="F15" s="127">
        <f t="shared" si="2"/>
        <v>3809.98</v>
      </c>
      <c r="G15" s="127">
        <f t="shared" si="2"/>
        <v>43241.920000000006</v>
      </c>
      <c r="H15" s="127">
        <f t="shared" si="2"/>
        <v>205933.64000000007</v>
      </c>
      <c r="I15" s="127">
        <f t="shared" si="2"/>
        <v>2245</v>
      </c>
      <c r="J15" s="127">
        <f t="shared" si="2"/>
        <v>36749</v>
      </c>
      <c r="K15" s="127">
        <f t="shared" si="2"/>
        <v>183135</v>
      </c>
      <c r="L15" s="127">
        <f t="shared" si="0"/>
        <v>25788.341932497937</v>
      </c>
      <c r="M15" s="128">
        <f>SUM(M9:M12)</f>
        <v>2245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Clinker!EB16</f>
        <v>3321.0569999999907</v>
      </c>
      <c r="F16" s="77">
        <f>Clinker!EC16</f>
        <v>0</v>
      </c>
      <c r="G16" s="77">
        <f>F16+'13'!G16</f>
        <v>2162.86</v>
      </c>
      <c r="H16" s="77">
        <f>F16+'13'!H16</f>
        <v>2968.1000000000004</v>
      </c>
      <c r="I16" s="77">
        <f>Clinker!ED16</f>
        <v>227.78</v>
      </c>
      <c r="J16" s="77">
        <f>I16+'13'!J16</f>
        <v>3697.66</v>
      </c>
      <c r="K16" s="77">
        <f>I16+'13'!K16</f>
        <v>18414.970000000005</v>
      </c>
      <c r="L16" s="77">
        <f>E16+F16-Clinker!N16-Clinker!Z16-Clinker!AS16-Clinker!AX16-Clinker!BC16-Clinker!BW16-Clinker!DP16</f>
        <v>3321.0569999999907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Clinker!EF16</f>
        <v>3911.0699999999933</v>
      </c>
      <c r="F17" s="77">
        <f>Clinker!EG16</f>
        <v>0</v>
      </c>
      <c r="G17" s="77">
        <f>F17+'13'!G17</f>
        <v>1660.3500000000001</v>
      </c>
      <c r="H17" s="77">
        <f>F17+'13'!H17</f>
        <v>3801.2999999999997</v>
      </c>
      <c r="I17" s="77">
        <f>Clinker!EH16</f>
        <v>130</v>
      </c>
      <c r="J17" s="77">
        <f>I17+'13'!J17</f>
        <v>1928</v>
      </c>
      <c r="K17" s="77">
        <f>I17+'13'!K17</f>
        <v>10100</v>
      </c>
      <c r="L17" s="77">
        <f>E17+F17-Clinker!AE16-Clinker!AJ16-Clinker!CL16-Clinker!CQ16-Clinker!CG16-Clinker!AI16</f>
        <v>3781.0699999999933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7232.126999999984</v>
      </c>
      <c r="F18" s="125">
        <f>F16+F17</f>
        <v>0</v>
      </c>
      <c r="G18" s="125">
        <f t="shared" ref="G18:K18" si="3">G16+G17</f>
        <v>3823.21</v>
      </c>
      <c r="H18" s="125">
        <f t="shared" si="3"/>
        <v>6769.4</v>
      </c>
      <c r="I18" s="125">
        <f>I16+I17</f>
        <v>357.78</v>
      </c>
      <c r="J18" s="125">
        <f>J16+J17</f>
        <v>5625.66</v>
      </c>
      <c r="K18" s="125">
        <f t="shared" si="3"/>
        <v>28514.970000000005</v>
      </c>
      <c r="L18" s="125">
        <f t="shared" si="0"/>
        <v>6874.3469999999843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Clinker!EJ16</f>
        <v>22535.836579623363</v>
      </c>
      <c r="F20" s="74">
        <f>Clinker!EK16</f>
        <v>1305</v>
      </c>
      <c r="G20" s="74">
        <f>F20+'13'!G20</f>
        <v>21397</v>
      </c>
      <c r="H20" s="74">
        <f>F20+'13'!H20</f>
        <v>106923</v>
      </c>
      <c r="I20" s="74">
        <f>Clinker!EL16</f>
        <v>2083.5799999910705</v>
      </c>
      <c r="J20" s="74">
        <f>I20+'13'!J20</f>
        <v>25585.552506129392</v>
      </c>
      <c r="K20" s="74">
        <f>I20+'13'!K20</f>
        <v>88447.283519994424</v>
      </c>
      <c r="L20" s="74">
        <f>E20+F20-I20-I22</f>
        <v>21757.256579632292</v>
      </c>
      <c r="M20" s="75">
        <f>((I20+I21)/(J42+J48))*100</f>
        <v>78.477589453524317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Clinker!EO16</f>
        <v>5306.1090080001359</v>
      </c>
      <c r="F21" s="74">
        <f>Clinker!EP16</f>
        <v>0</v>
      </c>
      <c r="G21" s="74">
        <f>F21+'13'!G21</f>
        <v>0</v>
      </c>
      <c r="H21" s="74">
        <f>F21+'13'!H21</f>
        <v>13390.660000000003</v>
      </c>
      <c r="I21" s="74">
        <f>Clinker!EQ16</f>
        <v>0</v>
      </c>
      <c r="J21" s="74">
        <f>I21+'13'!J21</f>
        <v>0</v>
      </c>
      <c r="K21" s="74">
        <f>I21+'13'!K21</f>
        <v>16934.099999999999</v>
      </c>
      <c r="L21" s="74">
        <f>E21+F21-I21</f>
        <v>5306.1090080001359</v>
      </c>
      <c r="M21" s="75"/>
      <c r="N21" s="525"/>
      <c r="O21" s="527"/>
      <c r="P21" s="535"/>
      <c r="Q21" s="536"/>
      <c r="R21" s="20"/>
      <c r="S21" s="20"/>
    </row>
    <row r="22" spans="2:19" ht="30">
      <c r="B22" s="512"/>
      <c r="C22" s="524"/>
      <c r="D22" s="86" t="s">
        <v>270</v>
      </c>
      <c r="E22" s="77"/>
      <c r="F22" s="77">
        <f>Clinker!EN16</f>
        <v>0</v>
      </c>
      <c r="G22" s="74">
        <f>F22+'13'!G22</f>
        <v>0</v>
      </c>
      <c r="H22" s="74">
        <f>F22+'13'!H22</f>
        <v>0</v>
      </c>
      <c r="I22" s="77">
        <f>Clinker!EN16</f>
        <v>0</v>
      </c>
      <c r="J22" s="74">
        <f>I22+'13'!J22</f>
        <v>0</v>
      </c>
      <c r="K22" s="74">
        <f>I22+'13'!K22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Cement!S16</f>
        <v>487.35555555469938</v>
      </c>
      <c r="J23" s="74">
        <f>I23+'13'!J23</f>
        <v>6219.1338853879315</v>
      </c>
      <c r="K23" s="74">
        <f>I23+'13'!K23</f>
        <v>26692.485320240612</v>
      </c>
      <c r="L23" s="74"/>
      <c r="M23" s="78">
        <f>(I23/(J42+J48))*100</f>
        <v>18.3561414521544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Cement!C16</f>
        <v>3044.7915931017242</v>
      </c>
      <c r="F24" s="77">
        <f>Cement!D16</f>
        <v>0</v>
      </c>
      <c r="G24" s="74">
        <f>F24+'13'!G24</f>
        <v>432.7</v>
      </c>
      <c r="H24" s="74">
        <f>F24+'13'!H24</f>
        <v>2559.3199999999997</v>
      </c>
      <c r="I24" s="77">
        <f>Cement!F16</f>
        <v>139.78947369442105</v>
      </c>
      <c r="J24" s="74">
        <f>I24+'13'!J24</f>
        <v>1736.028417917337</v>
      </c>
      <c r="K24" s="74">
        <f>I24+'13'!K24</f>
        <v>7099.6979397424802</v>
      </c>
      <c r="L24" s="74">
        <f>E24+F24-I24</f>
        <v>2905.0021194073033</v>
      </c>
      <c r="M24" s="78">
        <f>(I24/(J42+J48))*100</f>
        <v>5.2651402521439188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Cement!H16</f>
        <v>0.23999999999796273</v>
      </c>
      <c r="F25" s="77">
        <f>Cement!I16</f>
        <v>0</v>
      </c>
      <c r="G25" s="74">
        <f>F25+'13'!G25</f>
        <v>0</v>
      </c>
      <c r="H25" s="74">
        <f>F25+'13'!H25</f>
        <v>0</v>
      </c>
      <c r="I25" s="77">
        <f>Cement!J16</f>
        <v>0</v>
      </c>
      <c r="J25" s="74">
        <f>I25+'13'!J25</f>
        <v>0</v>
      </c>
      <c r="K25" s="74">
        <f>I25+'13'!K25</f>
        <v>0</v>
      </c>
      <c r="L25" s="74">
        <f t="shared" ref="L25:L26" si="4">E25+F25-I25</f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Cement!L16</f>
        <v>0</v>
      </c>
      <c r="F26" s="77">
        <f>Cement!M16</f>
        <v>0</v>
      </c>
      <c r="G26" s="74">
        <f>F26+'13'!G26</f>
        <v>0</v>
      </c>
      <c r="H26" s="74">
        <f>F26+'13'!H26</f>
        <v>0</v>
      </c>
      <c r="I26" s="77">
        <f>Cement!N16</f>
        <v>0</v>
      </c>
      <c r="J26" s="74">
        <f>I26+'13'!J26</f>
        <v>0</v>
      </c>
      <c r="K26" s="74">
        <f>I26+'13'!K26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30886.977180725222</v>
      </c>
      <c r="F27" s="122">
        <f t="shared" ref="F27:L27" si="5">F20+F21+F23+F24+F25+F26</f>
        <v>1305</v>
      </c>
      <c r="G27" s="122">
        <f t="shared" si="5"/>
        <v>21829.7</v>
      </c>
      <c r="H27" s="122">
        <f t="shared" si="5"/>
        <v>122872.98000000001</v>
      </c>
      <c r="I27" s="122">
        <f t="shared" si="5"/>
        <v>2710.7250292401909</v>
      </c>
      <c r="J27" s="122">
        <f t="shared" si="5"/>
        <v>33540.714809434663</v>
      </c>
      <c r="K27" s="122">
        <f t="shared" si="5"/>
        <v>139173.5667799775</v>
      </c>
      <c r="L27" s="122">
        <f t="shared" si="5"/>
        <v>29968.60770703973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Production2!C16</f>
        <v>19.420000000000002</v>
      </c>
      <c r="G32" s="75">
        <f>F32+'13'!G32</f>
        <v>258.33000000000004</v>
      </c>
      <c r="H32" s="75">
        <f>F32+'13'!H32</f>
        <v>1227.46</v>
      </c>
      <c r="I32" s="74">
        <f>'Mines (2)'!C16+'Mines (2)'!H16+'Mines (2)'!V16+'Mines (2)'!Z16+'Mines (2)'!AD16</f>
        <v>19295.54193249793</v>
      </c>
      <c r="J32" s="74">
        <f>Production2!D16</f>
        <v>3809.98</v>
      </c>
      <c r="K32" s="74">
        <f>J32+'13'!K32</f>
        <v>42384.500000000007</v>
      </c>
      <c r="L32" s="74">
        <f>J32+'13'!L32</f>
        <v>199251.78000000006</v>
      </c>
      <c r="M32" s="74">
        <f>I9+I23</f>
        <v>2622.3555555546995</v>
      </c>
      <c r="N32" s="74">
        <f>M32+'13'!N32</f>
        <v>41369.133885387928</v>
      </c>
      <c r="O32" s="74">
        <f>M32+'13'!O32</f>
        <v>201873.48532024064</v>
      </c>
      <c r="P32" s="74">
        <f>I32+J32-M32</f>
        <v>20483.166376943231</v>
      </c>
      <c r="Q32" s="93">
        <f>J32/F32</f>
        <v>196.18846549948506</v>
      </c>
      <c r="R32" s="94"/>
      <c r="S32" s="94"/>
    </row>
    <row r="33" spans="2:21">
      <c r="B33" s="79">
        <v>2</v>
      </c>
      <c r="C33" s="501" t="s">
        <v>322</v>
      </c>
      <c r="D33" s="502"/>
      <c r="E33" s="95">
        <v>120</v>
      </c>
      <c r="F33" s="78">
        <f>Production2!G16</f>
        <v>16.48</v>
      </c>
      <c r="G33" s="75">
        <f>F33+'13'!G33</f>
        <v>256.21999999999997</v>
      </c>
      <c r="H33" s="75">
        <f>F33+'13'!H33</f>
        <v>1325.76</v>
      </c>
      <c r="I33" s="541">
        <f>Production2!H16</f>
        <v>1204.0200168375188</v>
      </c>
      <c r="J33" s="78">
        <f>Production2!N16</f>
        <v>1862</v>
      </c>
      <c r="K33" s="74">
        <f>J33+'13'!K33</f>
        <v>30719</v>
      </c>
      <c r="L33" s="74">
        <f>J33+'13'!L33</f>
        <v>157004.59</v>
      </c>
      <c r="M33" s="541">
        <f>Production2!K16</f>
        <v>2022.75</v>
      </c>
      <c r="N33" s="541">
        <f>M33+'13'!N33</f>
        <v>33165.350000000006</v>
      </c>
      <c r="O33" s="541">
        <f>M33+'13'!O33</f>
        <v>165730.65</v>
      </c>
      <c r="P33" s="541">
        <f>I33+J33+J34-M33</f>
        <v>1203.6000168375185</v>
      </c>
      <c r="Q33" s="96">
        <f t="shared" ref="Q33:Q48" si="6">J33/F33</f>
        <v>112.98543689320388</v>
      </c>
      <c r="R33" s="94"/>
      <c r="S33" s="94"/>
    </row>
    <row r="34" spans="2:21">
      <c r="B34" s="91">
        <v>3</v>
      </c>
      <c r="C34" s="501" t="s">
        <v>283</v>
      </c>
      <c r="D34" s="502"/>
      <c r="E34" s="95">
        <v>20</v>
      </c>
      <c r="F34" s="78">
        <f>Production2!P16</f>
        <v>20.97</v>
      </c>
      <c r="G34" s="75">
        <f>F34+'13'!G34</f>
        <v>261.48</v>
      </c>
      <c r="H34" s="75">
        <f>F34+'13'!H34</f>
        <v>877.15</v>
      </c>
      <c r="I34" s="473"/>
      <c r="J34" s="78">
        <f>Production2!Q16</f>
        <v>160.33000000000001</v>
      </c>
      <c r="K34" s="74">
        <f>J34+'13'!K34</f>
        <v>2382.31</v>
      </c>
      <c r="L34" s="74">
        <f>J34+'13'!L34</f>
        <v>7935.93</v>
      </c>
      <c r="M34" s="473"/>
      <c r="N34" s="473"/>
      <c r="O34" s="473"/>
      <c r="P34" s="473"/>
      <c r="Q34" s="96">
        <f>J34/F34</f>
        <v>7.6456843109203634</v>
      </c>
      <c r="R34" s="94"/>
      <c r="S34" s="94"/>
    </row>
    <row r="35" spans="2:21">
      <c r="B35" s="79">
        <v>4</v>
      </c>
      <c r="C35" s="501" t="s">
        <v>157</v>
      </c>
      <c r="D35" s="502"/>
      <c r="E35" s="95">
        <v>10</v>
      </c>
      <c r="F35" s="78">
        <f>Production2!S16</f>
        <v>16</v>
      </c>
      <c r="G35" s="75">
        <f>F35+'13'!G35</f>
        <v>239.04</v>
      </c>
      <c r="H35" s="75">
        <f>F35+'13'!H35</f>
        <v>1192.3699999999999</v>
      </c>
      <c r="I35" s="77">
        <f>Production2!T16</f>
        <v>49.709999999999809</v>
      </c>
      <c r="J35" s="77">
        <f>Production2!U16</f>
        <v>205</v>
      </c>
      <c r="K35" s="74">
        <f>J35+'13'!K35</f>
        <v>3302.6</v>
      </c>
      <c r="L35" s="74">
        <f>J35+'13'!L35</f>
        <v>16548.199999999997</v>
      </c>
      <c r="M35" s="77">
        <f>Production2!V16</f>
        <v>202</v>
      </c>
      <c r="N35" s="74">
        <f>M35+'13'!N35</f>
        <v>3292</v>
      </c>
      <c r="O35" s="74">
        <f>M35+'13'!O35</f>
        <v>16511</v>
      </c>
      <c r="P35" s="74">
        <f t="shared" ref="P35" si="7">I35+J35-M35</f>
        <v>52.709999999999809</v>
      </c>
      <c r="Q35" s="96">
        <f t="shared" si="6"/>
        <v>12.8125</v>
      </c>
      <c r="R35" s="94"/>
      <c r="S35" s="94"/>
    </row>
    <row r="36" spans="2:21">
      <c r="B36" s="91">
        <v>5</v>
      </c>
      <c r="C36" s="501" t="s">
        <v>63</v>
      </c>
      <c r="D36" s="502"/>
      <c r="E36" s="95">
        <v>50</v>
      </c>
      <c r="F36" s="78">
        <f>Production2!Y16</f>
        <v>24</v>
      </c>
      <c r="G36" s="75">
        <f>F36+'13'!G36</f>
        <v>329.52000000000004</v>
      </c>
      <c r="H36" s="75">
        <f>F36+'13'!H36</f>
        <v>1644.33</v>
      </c>
      <c r="I36" s="77">
        <f>Clinker!EJ16</f>
        <v>22535.836579623363</v>
      </c>
      <c r="J36" s="77">
        <f>Clinker!EK16</f>
        <v>1305</v>
      </c>
      <c r="K36" s="74">
        <f>J36+'13'!K36</f>
        <v>21397</v>
      </c>
      <c r="L36" s="74">
        <f>J36+'13'!L36</f>
        <v>106923</v>
      </c>
      <c r="M36" s="77">
        <f>Clinker!EL16</f>
        <v>2083.5799999910705</v>
      </c>
      <c r="N36" s="74">
        <f>M36+'13'!N36</f>
        <v>25585.552506129392</v>
      </c>
      <c r="O36" s="74">
        <f>M36+'13'!O36</f>
        <v>88447.283519994424</v>
      </c>
      <c r="P36" s="74">
        <f>I36+J36-M36-I22</f>
        <v>21757.256579632292</v>
      </c>
      <c r="Q36" s="96">
        <f t="shared" si="6"/>
        <v>54.375</v>
      </c>
      <c r="R36" s="94"/>
      <c r="S36" s="94"/>
    </row>
    <row r="37" spans="2:21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Production2!AE16</f>
        <v>1</v>
      </c>
      <c r="G37" s="75">
        <f>F37+'13'!G37</f>
        <v>10</v>
      </c>
      <c r="H37" s="75">
        <f>F37+'13'!H37</f>
        <v>49.7</v>
      </c>
      <c r="I37" s="77">
        <f>Production2!BJ16</f>
        <v>77.299999999999955</v>
      </c>
      <c r="J37" s="77">
        <f>Production2!AF16</f>
        <v>68</v>
      </c>
      <c r="K37" s="74">
        <f>J37+'13'!K37</f>
        <v>697</v>
      </c>
      <c r="L37" s="74">
        <f>J37+'13'!L37</f>
        <v>3331</v>
      </c>
      <c r="M37" s="77">
        <f>Production2!BL16</f>
        <v>32</v>
      </c>
      <c r="N37" s="74">
        <f>M37+'13'!N37</f>
        <v>1382</v>
      </c>
      <c r="O37" s="75">
        <f>M37+'13'!O37</f>
        <v>6420</v>
      </c>
      <c r="P37" s="74">
        <f>I37+J37+J43-M37-F61</f>
        <v>113.29999999999995</v>
      </c>
      <c r="Q37" s="96">
        <f t="shared" si="6"/>
        <v>68</v>
      </c>
      <c r="R37" s="94"/>
      <c r="S37" s="94"/>
    </row>
    <row r="38" spans="2:21">
      <c r="B38" s="564"/>
      <c r="C38" s="477"/>
      <c r="D38" s="80" t="s">
        <v>286</v>
      </c>
      <c r="E38" s="97">
        <v>78</v>
      </c>
      <c r="F38" s="78">
        <f>Production2!AB16</f>
        <v>18.329999999999998</v>
      </c>
      <c r="G38" s="75">
        <f>F38+'13'!G38</f>
        <v>253</v>
      </c>
      <c r="H38" s="75">
        <f>F38+'13'!H38</f>
        <v>751.47</v>
      </c>
      <c r="I38" s="77">
        <f>Production2!BF16</f>
        <v>449.27799999997796</v>
      </c>
      <c r="J38" s="77">
        <f>Production2!AC16</f>
        <v>1178</v>
      </c>
      <c r="K38" s="74">
        <f>J38+'13'!K38</f>
        <v>16665</v>
      </c>
      <c r="L38" s="74">
        <f>J38+'13'!L38</f>
        <v>47995</v>
      </c>
      <c r="M38" s="77">
        <f>Production2!BH16</f>
        <v>2426.25</v>
      </c>
      <c r="N38" s="74">
        <f>M38+'13'!N38</f>
        <v>30038.699999999997</v>
      </c>
      <c r="O38" s="75">
        <f>M38+'13'!O38</f>
        <v>110781.52999999998</v>
      </c>
      <c r="P38" s="74">
        <f>I38+J38+J44-M38-F59</f>
        <v>471.02799999997796</v>
      </c>
      <c r="Q38" s="96">
        <f t="shared" si="6"/>
        <v>64.266230223677042</v>
      </c>
      <c r="R38" s="94"/>
      <c r="S38" s="94"/>
    </row>
    <row r="39" spans="2:21">
      <c r="B39" s="564"/>
      <c r="C39" s="477"/>
      <c r="D39" s="80" t="s">
        <v>287</v>
      </c>
      <c r="E39" s="97">
        <v>78</v>
      </c>
      <c r="F39" s="78">
        <f>Production2!AH16</f>
        <v>0</v>
      </c>
      <c r="G39" s="75">
        <f>F39+'13'!G39</f>
        <v>0</v>
      </c>
      <c r="H39" s="75">
        <f>F39+'13'!H39</f>
        <v>0</v>
      </c>
      <c r="I39" s="77">
        <f>Production2!BN16</f>
        <v>9.0000000000849845E-2</v>
      </c>
      <c r="J39" s="77">
        <f>Production2!AI16</f>
        <v>0</v>
      </c>
      <c r="K39" s="74">
        <f>J39+'13'!K39</f>
        <v>0</v>
      </c>
      <c r="L39" s="74">
        <f>J39+'13'!L39</f>
        <v>0</v>
      </c>
      <c r="M39" s="77">
        <f>Production2!BP16</f>
        <v>0</v>
      </c>
      <c r="N39" s="74">
        <f>M39+'13'!N39</f>
        <v>0</v>
      </c>
      <c r="O39" s="74">
        <f>M39+'13'!O39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21">
      <c r="B40" s="564"/>
      <c r="C40" s="477"/>
      <c r="D40" s="194" t="s">
        <v>187</v>
      </c>
      <c r="E40" s="97">
        <v>65</v>
      </c>
      <c r="F40" s="84">
        <f>Production2!AK16</f>
        <v>0</v>
      </c>
      <c r="G40" s="75">
        <f>F40+'13'!G40</f>
        <v>1</v>
      </c>
      <c r="H40" s="75">
        <f>F40+'13'!H40</f>
        <v>6</v>
      </c>
      <c r="I40" s="195">
        <f>Production2!BR16</f>
        <v>97.600000000000051</v>
      </c>
      <c r="J40" s="195">
        <v>0</v>
      </c>
      <c r="K40" s="74">
        <f>J40+'13'!K40</f>
        <v>65</v>
      </c>
      <c r="L40" s="74">
        <f>J40+'13'!L40</f>
        <v>365</v>
      </c>
      <c r="M40" s="195">
        <f>Production2!BT16</f>
        <v>0</v>
      </c>
      <c r="N40" s="74">
        <f>M40+'13'!N40</f>
        <v>968</v>
      </c>
      <c r="O40" s="75">
        <f>M40+'13'!O40</f>
        <v>4000.5</v>
      </c>
      <c r="P40" s="74">
        <f>I40+J40+J46-M40-F63</f>
        <v>97.600000000000051</v>
      </c>
      <c r="Q40" s="96" t="e">
        <f t="shared" si="6"/>
        <v>#DIV/0!</v>
      </c>
      <c r="R40" s="94"/>
      <c r="S40" s="94"/>
    </row>
    <row r="41" spans="2:21">
      <c r="B41" s="564"/>
      <c r="C41" s="477"/>
      <c r="D41" s="80" t="s">
        <v>288</v>
      </c>
      <c r="E41" s="97">
        <v>78</v>
      </c>
      <c r="F41" s="84">
        <f>Production2!AN16</f>
        <v>2</v>
      </c>
      <c r="G41" s="75">
        <f>F41+'13'!G41</f>
        <v>31.5</v>
      </c>
      <c r="H41" s="75">
        <f>F41+'13'!H41</f>
        <v>157.66999999999999</v>
      </c>
      <c r="I41" s="195">
        <f>Production2!BV16</f>
        <v>109.76000000000022</v>
      </c>
      <c r="J41" s="195">
        <f>Production2!AO16</f>
        <v>139</v>
      </c>
      <c r="K41" s="74">
        <f>J41+'13'!K41</f>
        <v>2164</v>
      </c>
      <c r="L41" s="74">
        <f>J41+'13'!L41</f>
        <v>10342</v>
      </c>
      <c r="M41" s="77">
        <f>Production2!BX16</f>
        <v>179.74</v>
      </c>
      <c r="N41" s="74">
        <f>M41+'13'!N41</f>
        <v>3382.3799999999992</v>
      </c>
      <c r="O41" s="75">
        <f>M41+'13'!O41</f>
        <v>17377.689999999999</v>
      </c>
      <c r="P41" s="74">
        <f>I41+J41+J47-M41</f>
        <v>69.020000000000209</v>
      </c>
      <c r="Q41" s="96">
        <f t="shared" si="6"/>
        <v>69.5</v>
      </c>
      <c r="R41" s="94"/>
      <c r="S41" s="94"/>
    </row>
    <row r="42" spans="2:21" ht="15.75" thickBot="1">
      <c r="B42" s="565"/>
      <c r="C42" s="478"/>
      <c r="D42" s="120" t="s">
        <v>162</v>
      </c>
      <c r="E42" s="121">
        <v>70</v>
      </c>
      <c r="F42" s="132">
        <f>F37+F38+F39+F40+F41</f>
        <v>21.33</v>
      </c>
      <c r="G42" s="132">
        <f t="shared" ref="G42:H42" si="8">G37+G38+G39+G40+G41</f>
        <v>295.5</v>
      </c>
      <c r="H42" s="132">
        <f t="shared" si="8"/>
        <v>964.84</v>
      </c>
      <c r="I42" s="122">
        <f>I37+I38+I39+I40+I41</f>
        <v>734.02799999997899</v>
      </c>
      <c r="J42" s="122">
        <f t="shared" ref="J42:P42" si="9">J37+J38+J39+J40+J41</f>
        <v>1385</v>
      </c>
      <c r="K42" s="122">
        <f t="shared" si="9"/>
        <v>19591</v>
      </c>
      <c r="L42" s="122">
        <f t="shared" si="9"/>
        <v>62033</v>
      </c>
      <c r="M42" s="122">
        <f t="shared" si="9"/>
        <v>2637.99</v>
      </c>
      <c r="N42" s="122">
        <f t="shared" si="9"/>
        <v>35771.079999999994</v>
      </c>
      <c r="O42" s="122">
        <f t="shared" si="9"/>
        <v>138579.56999999998</v>
      </c>
      <c r="P42" s="122">
        <f t="shared" si="9"/>
        <v>751.03799999997898</v>
      </c>
      <c r="Q42" s="123">
        <f t="shared" si="6"/>
        <v>64.932020628223171</v>
      </c>
      <c r="R42" s="94"/>
      <c r="S42" s="94"/>
      <c r="T42" s="176"/>
      <c r="U42" s="176"/>
    </row>
    <row r="43" spans="2:21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Production2!AT16</f>
        <v>0</v>
      </c>
      <c r="G43" s="75">
        <f>F43+'13'!G43</f>
        <v>3.5</v>
      </c>
      <c r="H43" s="75">
        <f>F43+'13'!H43</f>
        <v>48.929999999999993</v>
      </c>
      <c r="I43" s="471"/>
      <c r="J43" s="77">
        <f>Production2!AU16</f>
        <v>0</v>
      </c>
      <c r="K43" s="74">
        <f>J43+'13'!K43</f>
        <v>220</v>
      </c>
      <c r="L43" s="74">
        <f>J43+'13'!L43</f>
        <v>2970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21">
      <c r="B44" s="564"/>
      <c r="C44" s="477"/>
      <c r="D44" s="80" t="s">
        <v>286</v>
      </c>
      <c r="E44" s="97">
        <v>70</v>
      </c>
      <c r="F44" s="78">
        <f>Production2!AQ16</f>
        <v>20.82</v>
      </c>
      <c r="G44" s="75">
        <f>F44+'13'!G44</f>
        <v>202.87</v>
      </c>
      <c r="H44" s="75">
        <f>F44+'13'!H44</f>
        <v>1053.28</v>
      </c>
      <c r="I44" s="472"/>
      <c r="J44" s="77">
        <f>Production2!AR16</f>
        <v>1270</v>
      </c>
      <c r="K44" s="74">
        <f>J44+'13'!K44</f>
        <v>12028</v>
      </c>
      <c r="L44" s="74">
        <f>J44+'13'!L44</f>
        <v>61989</v>
      </c>
      <c r="M44" s="545"/>
      <c r="N44" s="546"/>
      <c r="O44" s="546"/>
      <c r="P44" s="547"/>
      <c r="Q44" s="96">
        <f t="shared" si="6"/>
        <v>60.99903938520653</v>
      </c>
      <c r="R44" s="94"/>
      <c r="S44" s="94"/>
    </row>
    <row r="45" spans="2:21">
      <c r="B45" s="564"/>
      <c r="C45" s="477"/>
      <c r="D45" s="80" t="s">
        <v>287</v>
      </c>
      <c r="E45" s="97">
        <v>70</v>
      </c>
      <c r="F45" s="78">
        <f>Production2!AW16</f>
        <v>0</v>
      </c>
      <c r="G45" s="75">
        <f>F45+'13'!G45</f>
        <v>0</v>
      </c>
      <c r="H45" s="75">
        <f>F45+'13'!H45</f>
        <v>0</v>
      </c>
      <c r="I45" s="472"/>
      <c r="J45" s="77">
        <f>Production2!AX16</f>
        <v>0</v>
      </c>
      <c r="K45" s="74">
        <f>J45+'13'!K45</f>
        <v>0</v>
      </c>
      <c r="L45" s="74">
        <f>J45+'13'!L45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21">
      <c r="B46" s="564"/>
      <c r="C46" s="477"/>
      <c r="D46" s="194" t="s">
        <v>187</v>
      </c>
      <c r="E46" s="97">
        <v>60</v>
      </c>
      <c r="F46" s="84">
        <f>Production2!AZ16</f>
        <v>0</v>
      </c>
      <c r="G46" s="75">
        <f>F46+'13'!G46</f>
        <v>15.47</v>
      </c>
      <c r="H46" s="75">
        <f>F46+'13'!H46</f>
        <v>63.35</v>
      </c>
      <c r="I46" s="472"/>
      <c r="J46" s="195">
        <f>Production2!BA16</f>
        <v>0</v>
      </c>
      <c r="K46" s="74">
        <f>J46+'13'!K46</f>
        <v>873</v>
      </c>
      <c r="L46" s="74">
        <f>J46+'13'!L46</f>
        <v>3520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21">
      <c r="B47" s="564"/>
      <c r="C47" s="477"/>
      <c r="D47" s="80" t="s">
        <v>288</v>
      </c>
      <c r="E47" s="97">
        <v>70</v>
      </c>
      <c r="F47" s="84">
        <f>Production2!BC16</f>
        <v>0</v>
      </c>
      <c r="G47" s="75">
        <f>F47+'13'!G47</f>
        <v>2</v>
      </c>
      <c r="H47" s="75">
        <f>F47+'13'!H47</f>
        <v>110.67</v>
      </c>
      <c r="I47" s="473"/>
      <c r="J47" s="195">
        <f>Production2!BD16</f>
        <v>0</v>
      </c>
      <c r="K47" s="74">
        <f>J47+'13'!K47</f>
        <v>120</v>
      </c>
      <c r="L47" s="74">
        <f>J47+'13'!L47</f>
        <v>6735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21" ht="15.75" thickBot="1">
      <c r="B48" s="565"/>
      <c r="C48" s="478"/>
      <c r="D48" s="120" t="s">
        <v>162</v>
      </c>
      <c r="E48" s="121">
        <v>70</v>
      </c>
      <c r="F48" s="132">
        <f>F43+F44+F45+F46+F47</f>
        <v>20.82</v>
      </c>
      <c r="G48" s="132">
        <f t="shared" ref="G48:H48" si="10">G43+G44+G45+G46+G47</f>
        <v>223.84</v>
      </c>
      <c r="H48" s="132">
        <f t="shared" si="10"/>
        <v>1276.23</v>
      </c>
      <c r="I48" s="122"/>
      <c r="J48" s="122">
        <f>J43+J44+J45+J46+J47</f>
        <v>1270</v>
      </c>
      <c r="K48" s="122">
        <f t="shared" ref="K48:L48" si="11">K43+K44+K45+K46+K47</f>
        <v>13241</v>
      </c>
      <c r="L48" s="122">
        <f t="shared" si="11"/>
        <v>75214</v>
      </c>
      <c r="M48" s="574"/>
      <c r="N48" s="575"/>
      <c r="O48" s="575"/>
      <c r="P48" s="576"/>
      <c r="Q48" s="123">
        <f t="shared" si="6"/>
        <v>60.99903938520653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0.71365204016818984</v>
      </c>
      <c r="F52" s="99">
        <f>F55/(J33+J34)</f>
        <v>27.129103558766374</v>
      </c>
      <c r="G52" s="99">
        <v>0</v>
      </c>
      <c r="H52" s="99">
        <f>H55/J36</f>
        <v>38.040613026819926</v>
      </c>
      <c r="I52" s="99">
        <f>I55/J35</f>
        <v>61.112195121951217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15.478927203065135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1.1675456749111766</v>
      </c>
      <c r="F53" s="102">
        <f>F52*1.55</f>
        <v>42.050110516087884</v>
      </c>
      <c r="G53" s="102">
        <f>G52*1.55</f>
        <v>0</v>
      </c>
      <c r="H53" s="102">
        <f>H52</f>
        <v>38.040613026819926</v>
      </c>
      <c r="I53" s="102">
        <f>I52*(Q52/100)</f>
        <v>9.4595121951219507</v>
      </c>
      <c r="J53" s="102"/>
      <c r="K53" s="102"/>
      <c r="L53" s="102"/>
      <c r="M53" s="96"/>
      <c r="N53" s="103"/>
      <c r="O53" s="516" t="s">
        <v>298</v>
      </c>
      <c r="P53" s="516"/>
      <c r="Q53" s="104">
        <v>5472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0.91626170143917274</v>
      </c>
      <c r="F54" s="102">
        <f>F53*M20/100</f>
        <v>32.999913095568701</v>
      </c>
      <c r="G54" s="102">
        <f>G53*M20/100</f>
        <v>0</v>
      </c>
      <c r="H54" s="102">
        <f>H53*M20/100</f>
        <v>29.853356116791634</v>
      </c>
      <c r="I54" s="102">
        <f>I53*M20/100</f>
        <v>7.4235971447938711</v>
      </c>
      <c r="J54" s="99">
        <f>J55/(J42+J48)</f>
        <v>38.916007532956684</v>
      </c>
      <c r="K54" s="99">
        <f>K55/(J48+J42)</f>
        <v>0.75367231638418075</v>
      </c>
      <c r="L54" s="99">
        <f>L55/(M42)</f>
        <v>2.1285145129435672</v>
      </c>
      <c r="M54" s="96">
        <f>M55/(J48+J42)</f>
        <v>1.3657250470809792</v>
      </c>
      <c r="N54" s="306">
        <f>SUM(E54:M54)</f>
        <v>114.35704746795881</v>
      </c>
      <c r="O54" s="516" t="s">
        <v>300</v>
      </c>
      <c r="P54" s="516"/>
      <c r="Q54" s="104">
        <f>Q53*Q52/100</f>
        <v>847.00689655172425</v>
      </c>
    </row>
    <row r="55" spans="2:19" ht="15" customHeight="1" thickBot="1">
      <c r="B55" s="199" t="s">
        <v>262</v>
      </c>
      <c r="C55" s="659" t="s">
        <v>301</v>
      </c>
      <c r="D55" s="659"/>
      <c r="E55" s="118">
        <f>'Daily unit'!B16</f>
        <v>2719</v>
      </c>
      <c r="F55" s="118">
        <f>'Daily unit'!C16</f>
        <v>54864</v>
      </c>
      <c r="G55" s="118">
        <f>'Daily unit'!D16</f>
        <v>0</v>
      </c>
      <c r="H55" s="118">
        <f>'Daily unit'!E16</f>
        <v>49643</v>
      </c>
      <c r="I55" s="118">
        <f>'Daily unit'!F16</f>
        <v>12528</v>
      </c>
      <c r="J55" s="118">
        <f>'Daily unit'!G16</f>
        <v>103322</v>
      </c>
      <c r="K55" s="118">
        <f>'Daily unit'!H16</f>
        <v>2001</v>
      </c>
      <c r="L55" s="118">
        <f>'Daily unit'!I16</f>
        <v>5615</v>
      </c>
      <c r="M55" s="119">
        <f>'Daily unit'!J16</f>
        <v>3626</v>
      </c>
      <c r="N55" s="317">
        <f>SUM(E55:M55)</f>
        <v>234318</v>
      </c>
      <c r="O55" s="206"/>
      <c r="P55" s="84"/>
      <c r="Q55" s="207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680" t="s">
        <v>302</v>
      </c>
      <c r="C57" s="580"/>
      <c r="D57" s="580"/>
      <c r="E57" s="580"/>
      <c r="F57" s="580"/>
      <c r="G57" s="580"/>
      <c r="H57" s="580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187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69">
        <v>1</v>
      </c>
      <c r="C59" s="660" t="s">
        <v>306</v>
      </c>
      <c r="D59" s="661"/>
      <c r="E59" s="80">
        <v>42.5</v>
      </c>
      <c r="F59" s="53">
        <f>'Internal use cement'!F16</f>
        <v>0</v>
      </c>
      <c r="G59" s="53">
        <f>F59+'13'!G59</f>
        <v>0</v>
      </c>
      <c r="H59" s="77">
        <f>F59+'13'!H59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64"/>
      <c r="C60" s="662"/>
      <c r="D60" s="663"/>
      <c r="E60" s="80" t="s">
        <v>211</v>
      </c>
      <c r="F60" s="53">
        <f>'Internal use cement'!Q16</f>
        <v>0</v>
      </c>
      <c r="G60" s="53">
        <f>F60+'13'!G60</f>
        <v>0</v>
      </c>
      <c r="H60" s="77">
        <f>F60+'13'!H60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64"/>
      <c r="C61" s="662"/>
      <c r="D61" s="663"/>
      <c r="E61" s="80">
        <v>32.5</v>
      </c>
      <c r="F61" s="53">
        <f>'Internal use cement'!AB16</f>
        <v>0</v>
      </c>
      <c r="G61" s="53">
        <f>F61+'13'!G61</f>
        <v>0</v>
      </c>
      <c r="H61" s="78">
        <f>F61+'13'!H61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565"/>
      <c r="C62" s="664"/>
      <c r="D62" s="665"/>
      <c r="E62" s="112" t="s">
        <v>187</v>
      </c>
      <c r="F62" s="113">
        <f>'Internal use cement'!AJ16</f>
        <v>0</v>
      </c>
      <c r="G62" s="113">
        <f>F62+'13'!G62</f>
        <v>0.1</v>
      </c>
      <c r="H62" s="212">
        <f>F62+'13'!H62</f>
        <v>0.2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5"/>
      <c r="S65" s="115"/>
    </row>
    <row r="66" spans="2:19">
      <c r="R66" s="116"/>
      <c r="S66" s="116"/>
    </row>
    <row r="67" spans="2:19">
      <c r="R67" s="94"/>
      <c r="S67" s="94"/>
    </row>
    <row r="68" spans="2:19">
      <c r="R68" s="94"/>
      <c r="S68" s="94"/>
    </row>
    <row r="69" spans="2:19">
      <c r="R69" s="94"/>
      <c r="S69" s="94"/>
    </row>
    <row r="70" spans="2:19">
      <c r="R70" s="109"/>
      <c r="S70" s="109"/>
    </row>
    <row r="71" spans="2:19">
      <c r="R71" s="94"/>
      <c r="S71" s="94"/>
    </row>
    <row r="72" spans="2:19">
      <c r="R72" s="117"/>
      <c r="S72" s="117"/>
    </row>
    <row r="73" spans="2:19">
      <c r="R73" s="117"/>
      <c r="S73" s="117"/>
    </row>
    <row r="74" spans="2:19">
      <c r="R74" s="117"/>
      <c r="S74" s="117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2:19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</sheetData>
  <mergeCells count="85">
    <mergeCell ref="P33:P34"/>
    <mergeCell ref="B50:N50"/>
    <mergeCell ref="O50:Q50"/>
    <mergeCell ref="C34:D34"/>
    <mergeCell ref="I33:I34"/>
    <mergeCell ref="M33:M34"/>
    <mergeCell ref="N33:N34"/>
    <mergeCell ref="O33:O34"/>
    <mergeCell ref="C35:D35"/>
    <mergeCell ref="C36:D36"/>
    <mergeCell ref="I43:I47"/>
    <mergeCell ref="M43:P47"/>
    <mergeCell ref="B2:Q2"/>
    <mergeCell ref="B3:Q3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B37:B42"/>
    <mergeCell ref="C37:C42"/>
    <mergeCell ref="B28:Q28"/>
    <mergeCell ref="C32:D32"/>
    <mergeCell ref="C33:D33"/>
    <mergeCell ref="B20:B22"/>
    <mergeCell ref="C20:C22"/>
    <mergeCell ref="B25:B26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N20:N22"/>
    <mergeCell ref="O20:O27"/>
    <mergeCell ref="P20:Q22"/>
    <mergeCell ref="Q23:Q24"/>
    <mergeCell ref="C24:D24"/>
    <mergeCell ref="C25:C26"/>
    <mergeCell ref="M25:N26"/>
    <mergeCell ref="P25:Q27"/>
    <mergeCell ref="C27:D27"/>
    <mergeCell ref="M27:N27"/>
    <mergeCell ref="C23:D23"/>
    <mergeCell ref="P15:Q15"/>
    <mergeCell ref="O9:O18"/>
    <mergeCell ref="C10:D10"/>
    <mergeCell ref="C9:D9"/>
    <mergeCell ref="C19:Q19"/>
    <mergeCell ref="P6:P7"/>
    <mergeCell ref="Q6:Q7"/>
    <mergeCell ref="C8:Q8"/>
    <mergeCell ref="C11:D11"/>
    <mergeCell ref="C12:D12"/>
    <mergeCell ref="B16:B18"/>
    <mergeCell ref="C16:C1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5:D15"/>
    <mergeCell ref="I57:Q62"/>
    <mergeCell ref="B43:B48"/>
    <mergeCell ref="C43:C48"/>
    <mergeCell ref="M48:P48"/>
    <mergeCell ref="O53:P53"/>
    <mergeCell ref="C54:D54"/>
    <mergeCell ref="O54:P54"/>
    <mergeCell ref="C55:D55"/>
    <mergeCell ref="C59:D62"/>
    <mergeCell ref="B59:B62"/>
  </mergeCells>
  <pageMargins left="0.25" right="0.25" top="0.75" bottom="0.75" header="0.3" footer="0.3"/>
  <pageSetup paperSize="9" scale="5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B2:U155"/>
  <sheetViews>
    <sheetView zoomScale="90" zoomScaleNormal="90" workbookViewId="0">
      <pane xSplit="4" ySplit="1" topLeftCell="E50" activePane="bottomRight" state="frozen"/>
      <selection pane="bottomRight" activeCell="A63" sqref="A63:XFD63"/>
      <selection pane="bottomLeft" activeCell="B27" sqref="B27:Q27"/>
      <selection pane="topRight" activeCell="B27" sqref="B27:Q27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3.8554687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331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474" t="s">
        <v>263</v>
      </c>
      <c r="D9" s="475"/>
      <c r="E9" s="74">
        <f>'14'!L9</f>
        <v>20483.166376943238</v>
      </c>
      <c r="F9" s="74">
        <f>Production2!D17</f>
        <v>3691.98</v>
      </c>
      <c r="G9" s="74">
        <f>F9+'14'!G9</f>
        <v>46076.48000000001</v>
      </c>
      <c r="H9" s="74">
        <f>F9+'14'!H9</f>
        <v>202943.76000000007</v>
      </c>
      <c r="I9" s="74">
        <f>Production2!E17</f>
        <v>2455</v>
      </c>
      <c r="J9" s="74">
        <f>I9+'14'!J9</f>
        <v>37605</v>
      </c>
      <c r="K9" s="74">
        <f>I9+'14'!K9</f>
        <v>177636</v>
      </c>
      <c r="L9" s="74">
        <f>E9+F9-I9-I23</f>
        <v>21285.379710276571</v>
      </c>
      <c r="M9" s="75">
        <f>I9</f>
        <v>2455</v>
      </c>
      <c r="N9" s="75">
        <f>(I9/I15)*100</f>
        <v>95.674201091192515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(2)'!L17</f>
        <v>3076.86</v>
      </c>
      <c r="F10" s="77">
        <f>'Mines (2)'!M17</f>
        <v>182.56</v>
      </c>
      <c r="G10" s="74">
        <f>F10+'14'!G10</f>
        <v>1039.98</v>
      </c>
      <c r="H10" s="74">
        <f>F10+'14'!H10</f>
        <v>6309.380000000001</v>
      </c>
      <c r="I10" s="77">
        <f>'Mines (2)'!N17</f>
        <v>48</v>
      </c>
      <c r="J10" s="74">
        <f>I10+'14'!J10</f>
        <v>740</v>
      </c>
      <c r="K10" s="74">
        <f>I10+'14'!K10</f>
        <v>3222</v>
      </c>
      <c r="L10" s="77">
        <f t="shared" ref="L10:L18" si="0">E10+F10-I10</f>
        <v>3211.42</v>
      </c>
      <c r="M10" s="75">
        <f t="shared" ref="M10:M12" si="1">I10</f>
        <v>48</v>
      </c>
      <c r="N10" s="75">
        <f>(I10/I15)*100</f>
        <v>1.8706157443491818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Clinker!C17</f>
        <v>1740.92</v>
      </c>
      <c r="F11" s="77">
        <f>Clinker!D17</f>
        <v>0</v>
      </c>
      <c r="G11" s="74">
        <f>F11+'14'!G11</f>
        <v>0</v>
      </c>
      <c r="H11" s="74">
        <f>F11+'14'!H11</f>
        <v>417.28000000000003</v>
      </c>
      <c r="I11" s="77">
        <f>Clinker!E17</f>
        <v>63</v>
      </c>
      <c r="J11" s="74">
        <f>I11+'14'!J11</f>
        <v>970</v>
      </c>
      <c r="K11" s="74">
        <f>I11+'14'!K11</f>
        <v>4105</v>
      </c>
      <c r="L11" s="77">
        <f t="shared" si="0"/>
        <v>1677.92</v>
      </c>
      <c r="M11" s="75">
        <f t="shared" si="1"/>
        <v>63</v>
      </c>
      <c r="N11" s="75">
        <f>(I11/I15)*100</f>
        <v>2.4551831644583006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(2)'!Q17</f>
        <v>3.999999999996362E-2</v>
      </c>
      <c r="F12" s="77">
        <f>'Mines (2)'!R17</f>
        <v>0</v>
      </c>
      <c r="G12" s="74">
        <f>F12+'14'!G12</f>
        <v>0</v>
      </c>
      <c r="H12" s="74">
        <f>F12+'14'!H12</f>
        <v>137.76</v>
      </c>
      <c r="I12" s="77">
        <f>'Mines (2)'!S17</f>
        <v>0</v>
      </c>
      <c r="J12" s="74">
        <f>I12+'14'!J12</f>
        <v>0</v>
      </c>
      <c r="K12" s="74">
        <f>I12+'14'!K12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25300.986376943241</v>
      </c>
      <c r="F15" s="127">
        <f t="shared" si="2"/>
        <v>3874.54</v>
      </c>
      <c r="G15" s="127">
        <f t="shared" si="2"/>
        <v>47116.460000000014</v>
      </c>
      <c r="H15" s="127">
        <f t="shared" si="2"/>
        <v>209808.18000000008</v>
      </c>
      <c r="I15" s="127">
        <f t="shared" si="2"/>
        <v>2566</v>
      </c>
      <c r="J15" s="127">
        <f t="shared" si="2"/>
        <v>39315</v>
      </c>
      <c r="K15" s="127">
        <f t="shared" si="2"/>
        <v>185701</v>
      </c>
      <c r="L15" s="127">
        <f t="shared" si="0"/>
        <v>26609.526376943242</v>
      </c>
      <c r="M15" s="128">
        <f>SUM(M9:M12)</f>
        <v>2566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Clinker!EB17</f>
        <v>3093.2769999999905</v>
      </c>
      <c r="F16" s="77">
        <f>Clinker!EC17</f>
        <v>155.24</v>
      </c>
      <c r="G16" s="77">
        <f>F16+'14'!G16</f>
        <v>2318.1000000000004</v>
      </c>
      <c r="H16" s="77">
        <f>F16+'14'!H16</f>
        <v>3123.34</v>
      </c>
      <c r="I16" s="77">
        <f>Clinker!ED17</f>
        <v>205.23</v>
      </c>
      <c r="J16" s="77">
        <f>I16+'14'!J16</f>
        <v>3902.89</v>
      </c>
      <c r="K16" s="77">
        <f>I16+'14'!K16</f>
        <v>18620.200000000004</v>
      </c>
      <c r="L16" s="77">
        <f>E16+F16-Clinker!N17-Clinker!Z17-Clinker!AS17-Clinker!AX17-Clinker!BC17-Clinker!BW17-Clinker!BH17-Clinker!BM17-Clinker!BR17-Clinker!CV17-Clinker!DP17</f>
        <v>3248.5169999999907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Clinker!EF17</f>
        <v>3781.0699999999933</v>
      </c>
      <c r="F17" s="77">
        <f>Clinker!EG17</f>
        <v>764.75</v>
      </c>
      <c r="G17" s="77">
        <f>F17+'14'!G17</f>
        <v>2425.1000000000004</v>
      </c>
      <c r="H17" s="77">
        <f>F17+'14'!H17</f>
        <v>4566.0499999999993</v>
      </c>
      <c r="I17" s="77">
        <f>Clinker!EH17</f>
        <v>147</v>
      </c>
      <c r="J17" s="77">
        <f>I17+'14'!J17</f>
        <v>2075</v>
      </c>
      <c r="K17" s="77">
        <f>I17+'14'!K17</f>
        <v>10247</v>
      </c>
      <c r="L17" s="77">
        <f>E17+F17-Clinker!T17-Clinker!AE17-Clinker!AJ17-Clinker!CG17-Clinker!CL17-Clinker!CQ17-Clinker!CG17-Clinker!AI17</f>
        <v>4398.8199999999933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6874.3469999999834</v>
      </c>
      <c r="F18" s="125">
        <f>F16+F17</f>
        <v>919.99</v>
      </c>
      <c r="G18" s="125">
        <f t="shared" ref="G18:K18" si="3">G16+G17</f>
        <v>4743.2000000000007</v>
      </c>
      <c r="H18" s="125">
        <f t="shared" si="3"/>
        <v>7689.3899999999994</v>
      </c>
      <c r="I18" s="125">
        <f>I16+I17</f>
        <v>352.23</v>
      </c>
      <c r="J18" s="125">
        <f>J16+J17</f>
        <v>5977.8899999999994</v>
      </c>
      <c r="K18" s="125">
        <f t="shared" si="3"/>
        <v>28867.200000000004</v>
      </c>
      <c r="L18" s="125">
        <f t="shared" si="0"/>
        <v>7442.1069999999836</v>
      </c>
      <c r="M18" s="126"/>
      <c r="N18" s="126"/>
      <c r="O18" s="515"/>
      <c r="P18" s="53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Clinker!EJ17</f>
        <v>21757.256579632292</v>
      </c>
      <c r="F20" s="74">
        <f>Clinker!EK17</f>
        <v>1350</v>
      </c>
      <c r="G20" s="74">
        <f>F20+'14'!G20</f>
        <v>22747</v>
      </c>
      <c r="H20" s="74">
        <f>F20+'14'!H20</f>
        <v>108273</v>
      </c>
      <c r="I20" s="74">
        <f>Clinker!EL17</f>
        <v>1585.1330100003695</v>
      </c>
      <c r="J20" s="74">
        <f>I20+'14'!J20</f>
        <v>27170.685516129761</v>
      </c>
      <c r="K20" s="74">
        <f>I20+'14'!K20</f>
        <v>90032.416529994793</v>
      </c>
      <c r="L20" s="74">
        <f>E20+F20-I20-I22</f>
        <v>21522.123569631924</v>
      </c>
      <c r="M20" s="75">
        <f>((I20+I21)/(J42+J48))*100</f>
        <v>79.100691182461176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Clinker!EO17</f>
        <v>5306.1090080001359</v>
      </c>
      <c r="F21" s="74">
        <f>Clinker!EP17</f>
        <v>0</v>
      </c>
      <c r="G21" s="74">
        <f>F21+'14'!G21</f>
        <v>0</v>
      </c>
      <c r="H21" s="74">
        <f>F21+'14'!H21</f>
        <v>13390.660000000003</v>
      </c>
      <c r="I21" s="74">
        <f>Clinker!EQ17</f>
        <v>361.53500000000003</v>
      </c>
      <c r="J21" s="75">
        <f>I21+'14'!J21</f>
        <v>361.53500000000003</v>
      </c>
      <c r="K21" s="74">
        <f>I21+'14'!K21</f>
        <v>17295.634999999998</v>
      </c>
      <c r="L21" s="74">
        <f>E21+F21-I21</f>
        <v>4944.574008000136</v>
      </c>
      <c r="M21" s="75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f>Clinker!EN17</f>
        <v>0</v>
      </c>
      <c r="G22" s="74">
        <f>F22+'14'!G22</f>
        <v>0</v>
      </c>
      <c r="H22" s="74">
        <f>F22+'14'!H22</f>
        <v>0</v>
      </c>
      <c r="I22" s="77">
        <f>Clinker!EN17</f>
        <v>0</v>
      </c>
      <c r="J22" s="74">
        <f>I22+'14'!J22</f>
        <v>0</v>
      </c>
      <c r="K22" s="74">
        <f>I22+'14'!K22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/>
      <c r="C23" s="474" t="s">
        <v>263</v>
      </c>
      <c r="D23" s="475"/>
      <c r="E23" s="77"/>
      <c r="F23" s="77"/>
      <c r="G23" s="74"/>
      <c r="H23" s="74"/>
      <c r="I23" s="77">
        <f>Cement!S17</f>
        <v>434.76666666666495</v>
      </c>
      <c r="J23" s="75">
        <f>I23+'14'!J23</f>
        <v>6653.9005520545961</v>
      </c>
      <c r="K23" s="74">
        <f>I23+'14'!K23</f>
        <v>27127.251986907278</v>
      </c>
      <c r="L23" s="74"/>
      <c r="M23" s="78">
        <f>(I23/(J42+J48))*100</f>
        <v>17.666260327779966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Cement!C17</f>
        <v>2905.0021194073033</v>
      </c>
      <c r="F24" s="77">
        <f>Cement!D17</f>
        <v>87.28</v>
      </c>
      <c r="G24" s="74">
        <f>F24+'14'!G24</f>
        <v>519.98</v>
      </c>
      <c r="H24" s="74">
        <f>F24+'14'!H24</f>
        <v>2646.6</v>
      </c>
      <c r="I24" s="77">
        <f>Cement!F17</f>
        <v>129.51788421013896</v>
      </c>
      <c r="J24" s="74">
        <f>I24+'14'!J24</f>
        <v>1865.5463021274759</v>
      </c>
      <c r="K24" s="74">
        <f>I24+'14'!K24</f>
        <v>7229.2158239526188</v>
      </c>
      <c r="L24" s="74">
        <f t="shared" ref="L24:L26" si="4">E24+F24-I24</f>
        <v>2862.7642351971645</v>
      </c>
      <c r="M24" s="78">
        <f>(I24/(J42+J48))*100</f>
        <v>5.2628152868809002</v>
      </c>
      <c r="N24" s="78"/>
      <c r="O24" s="527"/>
      <c r="P24" s="87"/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Cement!H17</f>
        <v>0.23999999999796273</v>
      </c>
      <c r="F25" s="77">
        <f>Cement!I17</f>
        <v>0</v>
      </c>
      <c r="G25" s="74">
        <f>F25+'14'!G25</f>
        <v>0</v>
      </c>
      <c r="H25" s="74">
        <f>F25+'14'!H25</f>
        <v>0</v>
      </c>
      <c r="I25" s="77">
        <f>Cement!J17</f>
        <v>0</v>
      </c>
      <c r="J25" s="74">
        <f>I25+'14'!J25</f>
        <v>0</v>
      </c>
      <c r="K25" s="74">
        <f>I25+'14'!K25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Cement!L17</f>
        <v>0</v>
      </c>
      <c r="F26" s="77">
        <f>Cement!M17</f>
        <v>0</v>
      </c>
      <c r="G26" s="74">
        <f>F26+'14'!G26</f>
        <v>0</v>
      </c>
      <c r="H26" s="74">
        <f>F26+'14'!H26</f>
        <v>0</v>
      </c>
      <c r="I26" s="77">
        <f>Cement!N17</f>
        <v>0</v>
      </c>
      <c r="J26" s="74">
        <f>I26+'14'!J26</f>
        <v>0</v>
      </c>
      <c r="K26" s="74">
        <f>I26+'14'!K26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29968.60770703973</v>
      </c>
      <c r="F27" s="122">
        <f t="shared" ref="F27:L27" si="5">F20+F21+F23+F24+F25+F26</f>
        <v>1437.28</v>
      </c>
      <c r="G27" s="122">
        <f t="shared" si="5"/>
        <v>23266.98</v>
      </c>
      <c r="H27" s="122">
        <f t="shared" si="5"/>
        <v>124310.26000000001</v>
      </c>
      <c r="I27" s="122">
        <f>I20+I21+I23+I24+I25+I26</f>
        <v>2510.9525608771737</v>
      </c>
      <c r="J27" s="122">
        <f t="shared" si="5"/>
        <v>36051.667370311836</v>
      </c>
      <c r="K27" s="122">
        <f t="shared" si="5"/>
        <v>141684.51934085469</v>
      </c>
      <c r="L27" s="122">
        <f t="shared" si="5"/>
        <v>29329.701812829226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Production2!C17</f>
        <v>20.75</v>
      </c>
      <c r="G32" s="75">
        <f>F32+'14'!G32</f>
        <v>279.08000000000004</v>
      </c>
      <c r="H32" s="75">
        <f>F32+'14'!H32</f>
        <v>1248.21</v>
      </c>
      <c r="I32" s="74">
        <f>'Mines (2)'!C17+'Mines (2)'!H17+'Mines (2)'!V17+'Mines (2)'!Z17+'Mines (2)'!AD17</f>
        <v>20483.166376943231</v>
      </c>
      <c r="J32" s="74">
        <f>Production2!D17</f>
        <v>3691.98</v>
      </c>
      <c r="K32" s="74">
        <f>J32+'14'!K32</f>
        <v>46076.48000000001</v>
      </c>
      <c r="L32" s="74">
        <f>J32+'14'!L32</f>
        <v>202943.76000000007</v>
      </c>
      <c r="M32" s="74">
        <f>I9+I23</f>
        <v>2889.7666666666651</v>
      </c>
      <c r="N32" s="75">
        <f>M32+'14'!N32</f>
        <v>44258.900552054591</v>
      </c>
      <c r="O32" s="74">
        <f>M32+'14'!O32</f>
        <v>204763.2519869073</v>
      </c>
      <c r="P32" s="74">
        <f>I32+J32-M32</f>
        <v>21285.379710276564</v>
      </c>
      <c r="Q32" s="93">
        <f>J32/F32</f>
        <v>177.92674698795182</v>
      </c>
      <c r="R32" s="94"/>
      <c r="S32" s="94"/>
    </row>
    <row r="33" spans="2:19">
      <c r="B33" s="79">
        <v>2</v>
      </c>
      <c r="C33" s="501" t="s">
        <v>328</v>
      </c>
      <c r="D33" s="502"/>
      <c r="E33" s="95">
        <v>120</v>
      </c>
      <c r="F33" s="78">
        <f>Production2!G17</f>
        <v>21</v>
      </c>
      <c r="G33" s="75">
        <f>F33+'14'!G33</f>
        <v>277.21999999999997</v>
      </c>
      <c r="H33" s="75">
        <f>F33+'14'!H33</f>
        <v>1346.76</v>
      </c>
      <c r="I33" s="541">
        <f>Production2!H17</f>
        <v>1203.6000168375185</v>
      </c>
      <c r="J33" s="78">
        <f>Production2!N17</f>
        <v>2247</v>
      </c>
      <c r="K33" s="74">
        <f>J33+'14'!K33</f>
        <v>32966</v>
      </c>
      <c r="L33" s="74">
        <f>J33+'14'!L33</f>
        <v>159251.59</v>
      </c>
      <c r="M33" s="541">
        <f>Production2!K17</f>
        <v>2092.5</v>
      </c>
      <c r="N33" s="541">
        <f>M33+'14'!N33</f>
        <v>35257.850000000006</v>
      </c>
      <c r="O33" s="541">
        <f>M33+'14'!O33</f>
        <v>167823.15</v>
      </c>
      <c r="P33" s="541">
        <f>I33+J33+J34-M33</f>
        <v>1422.3900168375185</v>
      </c>
      <c r="Q33" s="96">
        <f t="shared" ref="Q33:Q48" si="6">J33/F33</f>
        <v>107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Production2!P17</f>
        <v>8.4</v>
      </c>
      <c r="G34" s="75">
        <f>F34+'14'!G34</f>
        <v>269.88</v>
      </c>
      <c r="H34" s="75">
        <f>F34+'14'!H34</f>
        <v>885.55</v>
      </c>
      <c r="I34" s="473"/>
      <c r="J34" s="78">
        <f>Production2!Q17</f>
        <v>64.290000000000006</v>
      </c>
      <c r="K34" s="74">
        <f>J34+'14'!K34</f>
        <v>2446.6</v>
      </c>
      <c r="L34" s="74">
        <f>J34+'14'!L34</f>
        <v>8000.22</v>
      </c>
      <c r="M34" s="473"/>
      <c r="N34" s="473"/>
      <c r="O34" s="473"/>
      <c r="P34" s="473"/>
      <c r="Q34" s="96">
        <f>J34/F34</f>
        <v>7.6535714285714294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Production2!S17</f>
        <v>16.5</v>
      </c>
      <c r="G35" s="75">
        <f>F35+'14'!G35</f>
        <v>255.54</v>
      </c>
      <c r="H35" s="75">
        <f>F35+'14'!H35</f>
        <v>1208.8699999999999</v>
      </c>
      <c r="I35" s="77">
        <f>'14'!P35</f>
        <v>52.709999999999809</v>
      </c>
      <c r="J35" s="77">
        <f>Production2!U17</f>
        <v>210</v>
      </c>
      <c r="K35" s="74">
        <f>J35+'14'!K35</f>
        <v>3512.6</v>
      </c>
      <c r="L35" s="74">
        <f>J35+'14'!L35</f>
        <v>16758.199999999997</v>
      </c>
      <c r="M35" s="77">
        <f>Production2!V17</f>
        <v>211</v>
      </c>
      <c r="N35" s="74">
        <f>M35+'14'!N35</f>
        <v>3503</v>
      </c>
      <c r="O35" s="74">
        <f>M35+'14'!O35</f>
        <v>16722</v>
      </c>
      <c r="P35" s="74">
        <f>I35+J35-M35</f>
        <v>51.709999999999809</v>
      </c>
      <c r="Q35" s="96">
        <f t="shared" si="6"/>
        <v>12.727272727272727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Production2!Y17</f>
        <v>24</v>
      </c>
      <c r="G36" s="75">
        <f>F36+'14'!G36</f>
        <v>353.52000000000004</v>
      </c>
      <c r="H36" s="75">
        <f>F36+'14'!H36</f>
        <v>1668.33</v>
      </c>
      <c r="I36" s="77">
        <f>Clinker!EJ17</f>
        <v>21757.256579632292</v>
      </c>
      <c r="J36" s="77">
        <f>Clinker!EK17</f>
        <v>1350</v>
      </c>
      <c r="K36" s="74">
        <f>J36+'14'!K36</f>
        <v>22747</v>
      </c>
      <c r="L36" s="74">
        <f>J36+'14'!L36</f>
        <v>108273</v>
      </c>
      <c r="M36" s="77">
        <f>Clinker!EL17</f>
        <v>1585.1330100003695</v>
      </c>
      <c r="N36" s="74">
        <f>M36+'14'!N36</f>
        <v>27170.685516129761</v>
      </c>
      <c r="O36" s="74">
        <f>M36+'14'!O36</f>
        <v>90032.416529994793</v>
      </c>
      <c r="P36" s="74">
        <f>I36+J36-M36-I22</f>
        <v>21522.123569631924</v>
      </c>
      <c r="Q36" s="96">
        <f t="shared" si="6"/>
        <v>56.25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Production2!AE17</f>
        <v>0</v>
      </c>
      <c r="G37" s="75">
        <f>F37+'14'!G37</f>
        <v>10</v>
      </c>
      <c r="H37" s="75">
        <f>F37+'14'!H37</f>
        <v>49.7</v>
      </c>
      <c r="I37" s="77">
        <f>Production2!BJ17</f>
        <v>113.29999999999995</v>
      </c>
      <c r="J37" s="77">
        <f>Production2!AF17</f>
        <v>0</v>
      </c>
      <c r="K37" s="74">
        <f>J37+'14'!K37</f>
        <v>697</v>
      </c>
      <c r="L37" s="74">
        <f>J37+'14'!L37</f>
        <v>3331</v>
      </c>
      <c r="M37" s="77">
        <f>Production2!BL17</f>
        <v>90</v>
      </c>
      <c r="N37" s="74">
        <f>M37+'14'!N37</f>
        <v>1472</v>
      </c>
      <c r="O37" s="74">
        <f>M37+'14'!O37</f>
        <v>6510</v>
      </c>
      <c r="P37" s="74">
        <f>I37+J37+J43-M37-F61</f>
        <v>83.299999999999955</v>
      </c>
      <c r="Q37" s="96" t="e">
        <f t="shared" si="6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Production2!AB17</f>
        <v>16</v>
      </c>
      <c r="G38" s="75">
        <f>F38+'14'!G38</f>
        <v>269</v>
      </c>
      <c r="H38" s="75">
        <f>F38+'14'!H38</f>
        <v>767.47</v>
      </c>
      <c r="I38" s="77">
        <f>Production2!BF17</f>
        <v>471.02799999997796</v>
      </c>
      <c r="J38" s="77">
        <f>Production2!AC17</f>
        <v>1055</v>
      </c>
      <c r="K38" s="74">
        <f>J38+'14'!K38</f>
        <v>17720</v>
      </c>
      <c r="L38" s="74">
        <f>J38+'14'!L38</f>
        <v>49050</v>
      </c>
      <c r="M38" s="77">
        <f>Production2!BH17</f>
        <v>2083.9</v>
      </c>
      <c r="N38" s="74">
        <f>M38+'14'!N38</f>
        <v>32122.6</v>
      </c>
      <c r="O38" s="74">
        <f>M38+'14'!O38</f>
        <v>112865.42999999998</v>
      </c>
      <c r="P38" s="74">
        <f>I38+J38+J44-M38-F59</f>
        <v>540.12799999997787</v>
      </c>
      <c r="Q38" s="96">
        <f t="shared" si="6"/>
        <v>65.9375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Production2!AH17</f>
        <v>0</v>
      </c>
      <c r="G39" s="75">
        <f>F39+'14'!G39</f>
        <v>0</v>
      </c>
      <c r="H39" s="75">
        <f>F39+'14'!H39</f>
        <v>0</v>
      </c>
      <c r="I39" s="77">
        <f>Production2!BN17</f>
        <v>9.0000000000849845E-2</v>
      </c>
      <c r="J39" s="77">
        <f>Production2!AI17</f>
        <v>0</v>
      </c>
      <c r="K39" s="74">
        <f>J39+'14'!K39</f>
        <v>0</v>
      </c>
      <c r="L39" s="74">
        <f>J39+'14'!L39</f>
        <v>0</v>
      </c>
      <c r="M39" s="77">
        <f>Production2!BP17</f>
        <v>0</v>
      </c>
      <c r="N39" s="74">
        <f>M39+'14'!N39</f>
        <v>0</v>
      </c>
      <c r="O39" s="74">
        <f>M39+'14'!O39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Production2!AK17</f>
        <v>0</v>
      </c>
      <c r="G40" s="75">
        <f>F40+'14'!G40</f>
        <v>1</v>
      </c>
      <c r="H40" s="75">
        <f>F40+'14'!H40</f>
        <v>6</v>
      </c>
      <c r="I40" s="195">
        <f>Production2!BR17</f>
        <v>97.600000000000051</v>
      </c>
      <c r="J40" s="77">
        <f>Production2!AL17</f>
        <v>0</v>
      </c>
      <c r="K40" s="74">
        <f>J40+'14'!K40</f>
        <v>65</v>
      </c>
      <c r="L40" s="74">
        <f>J40+'14'!L40</f>
        <v>365</v>
      </c>
      <c r="M40" s="195">
        <f>Production2!BT17</f>
        <v>60</v>
      </c>
      <c r="N40" s="74">
        <f>M40+'14'!N40</f>
        <v>1028</v>
      </c>
      <c r="O40" s="74">
        <f>M40+'14'!O40</f>
        <v>4060.5</v>
      </c>
      <c r="P40" s="74">
        <f>I40+J40+J46-M40-F62</f>
        <v>149.60000000000005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Production2!AN17</f>
        <v>2</v>
      </c>
      <c r="G41" s="75">
        <f>F41+'14'!G41</f>
        <v>33.5</v>
      </c>
      <c r="H41" s="75">
        <f>F41+'14'!H41</f>
        <v>159.66999999999999</v>
      </c>
      <c r="I41" s="195">
        <f>Production2!BV17</f>
        <v>69.020000000000209</v>
      </c>
      <c r="J41" s="195">
        <f>Production2!AO17</f>
        <v>136</v>
      </c>
      <c r="K41" s="74">
        <f>J41+'14'!K41</f>
        <v>2300</v>
      </c>
      <c r="L41" s="74">
        <f>J41+'14'!L41</f>
        <v>10478</v>
      </c>
      <c r="M41" s="77">
        <f>Production2!BX17</f>
        <v>117.34</v>
      </c>
      <c r="N41" s="74">
        <f>M41+'14'!N41</f>
        <v>3499.7199999999993</v>
      </c>
      <c r="O41" s="74">
        <f>M41+'14'!O41</f>
        <v>17495.03</v>
      </c>
      <c r="P41" s="74">
        <f>I41+J41+J47-M41</f>
        <v>87.680000000000206</v>
      </c>
      <c r="Q41" s="96">
        <f t="shared" si="6"/>
        <v>68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18</v>
      </c>
      <c r="G42" s="132">
        <f t="shared" ref="G42:H42" si="7">G37+G38+G39+G40+G41</f>
        <v>313.5</v>
      </c>
      <c r="H42" s="132">
        <f t="shared" si="7"/>
        <v>982.84</v>
      </c>
      <c r="I42" s="122">
        <f>I37+I38+I39+I40+I41</f>
        <v>751.03799999997898</v>
      </c>
      <c r="J42" s="122">
        <f t="shared" ref="J42:P42" si="8">J37+J38+J39+J40+J41</f>
        <v>1191</v>
      </c>
      <c r="K42" s="122">
        <f t="shared" si="8"/>
        <v>20782</v>
      </c>
      <c r="L42" s="122">
        <f t="shared" si="8"/>
        <v>63224</v>
      </c>
      <c r="M42" s="122">
        <f t="shared" si="8"/>
        <v>2351.2400000000002</v>
      </c>
      <c r="N42" s="122">
        <f t="shared" si="8"/>
        <v>38122.32</v>
      </c>
      <c r="O42" s="122">
        <f t="shared" si="8"/>
        <v>140930.81</v>
      </c>
      <c r="P42" s="122">
        <f t="shared" si="8"/>
        <v>860.79799999997886</v>
      </c>
      <c r="Q42" s="123">
        <f t="shared" si="6"/>
        <v>66.166666666666671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Production2!AT17</f>
        <v>1</v>
      </c>
      <c r="G43" s="75">
        <f>F43+'14'!G43</f>
        <v>4.5</v>
      </c>
      <c r="H43" s="75">
        <f>F43+'14'!H43</f>
        <v>49.929999999999993</v>
      </c>
      <c r="I43" s="471"/>
      <c r="J43" s="77">
        <f>Production2!AU17</f>
        <v>60</v>
      </c>
      <c r="K43" s="74">
        <f>J43+'14'!K43</f>
        <v>280</v>
      </c>
      <c r="L43" s="74">
        <f>J43+'14'!L43</f>
        <v>3030</v>
      </c>
      <c r="M43" s="542"/>
      <c r="N43" s="543"/>
      <c r="O43" s="543"/>
      <c r="P43" s="544"/>
      <c r="Q43" s="96">
        <f t="shared" si="6"/>
        <v>60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Production2!AQ17</f>
        <v>18.23</v>
      </c>
      <c r="G44" s="75">
        <f>F44+'14'!G44</f>
        <v>221.1</v>
      </c>
      <c r="H44" s="75">
        <f>F44+'14'!H44</f>
        <v>1071.51</v>
      </c>
      <c r="I44" s="472"/>
      <c r="J44" s="77">
        <f>Production2!AR17</f>
        <v>1098</v>
      </c>
      <c r="K44" s="74">
        <f>J44+'14'!K44</f>
        <v>13126</v>
      </c>
      <c r="L44" s="74">
        <f>J44+'14'!L44</f>
        <v>63087</v>
      </c>
      <c r="M44" s="545"/>
      <c r="N44" s="546"/>
      <c r="O44" s="546"/>
      <c r="P44" s="547"/>
      <c r="Q44" s="96">
        <f t="shared" si="6"/>
        <v>60.230389467910037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Production2!AW17</f>
        <v>0</v>
      </c>
      <c r="G45" s="75">
        <f>F45+'14'!G45</f>
        <v>0</v>
      </c>
      <c r="H45" s="75">
        <f>F45+'14'!H45</f>
        <v>0</v>
      </c>
      <c r="I45" s="472"/>
      <c r="J45" s="77">
        <f>Production2!AX17</f>
        <v>0</v>
      </c>
      <c r="K45" s="74">
        <f>J45+'14'!K45</f>
        <v>0</v>
      </c>
      <c r="L45" s="74">
        <f>J45+'14'!L45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Production2!AZ17</f>
        <v>2</v>
      </c>
      <c r="G46" s="75">
        <f>F46+'14'!G46</f>
        <v>17.47</v>
      </c>
      <c r="H46" s="75">
        <f>F46+'14'!H46</f>
        <v>65.349999999999994</v>
      </c>
      <c r="I46" s="473"/>
      <c r="J46" s="195">
        <f>Production2!BA17</f>
        <v>112</v>
      </c>
      <c r="K46" s="74">
        <f>J46+'14'!K46</f>
        <v>985</v>
      </c>
      <c r="L46" s="74">
        <f>J46+'14'!L46</f>
        <v>3632</v>
      </c>
      <c r="M46" s="548"/>
      <c r="N46" s="549"/>
      <c r="O46" s="549"/>
      <c r="P46" s="550"/>
      <c r="Q46" s="96">
        <f t="shared" si="6"/>
        <v>56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Production2!BC17</f>
        <v>0</v>
      </c>
      <c r="G47" s="75">
        <f>F47+'14'!G47</f>
        <v>2</v>
      </c>
      <c r="H47" s="75">
        <f>F47+'14'!H47</f>
        <v>110.67</v>
      </c>
      <c r="I47" s="425"/>
      <c r="J47" s="195">
        <f>Production2!BD17</f>
        <v>0</v>
      </c>
      <c r="K47" s="74">
        <f>J47+'14'!K47</f>
        <v>120</v>
      </c>
      <c r="L47" s="74">
        <f>J47+'14'!L47</f>
        <v>6735</v>
      </c>
      <c r="M47" s="426"/>
      <c r="N47" s="109"/>
      <c r="O47" s="109"/>
      <c r="P47" s="427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21.23</v>
      </c>
      <c r="G48" s="132">
        <f t="shared" ref="G48:L48" si="9">G43+G44+G45+G46+G47</f>
        <v>245.07</v>
      </c>
      <c r="H48" s="132">
        <f t="shared" si="9"/>
        <v>1297.46</v>
      </c>
      <c r="I48" s="132">
        <f t="shared" si="9"/>
        <v>0</v>
      </c>
      <c r="J48" s="132">
        <f>J43+J44+J45+J46+J47</f>
        <v>1270</v>
      </c>
      <c r="K48" s="132">
        <f>K43+K44+K45+K46+K47</f>
        <v>14511</v>
      </c>
      <c r="L48" s="132">
        <f t="shared" si="9"/>
        <v>76484</v>
      </c>
      <c r="M48" s="574"/>
      <c r="N48" s="575"/>
      <c r="O48" s="575"/>
      <c r="P48" s="576"/>
      <c r="Q48" s="123">
        <f t="shared" si="6"/>
        <v>59.821008007536506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0.56907133841461766</v>
      </c>
      <c r="F52" s="99">
        <f>F55/J33</f>
        <v>27.517578994214507</v>
      </c>
      <c r="G52" s="99">
        <v>0</v>
      </c>
      <c r="H52" s="99">
        <f>H55/J36</f>
        <v>38.432592592592592</v>
      </c>
      <c r="I52" s="99">
        <f>I55/J35</f>
        <v>59.728571428571428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15.62962962962963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1.0348667672651009</v>
      </c>
      <c r="F53" s="102">
        <f>F52*1.55</f>
        <v>42.652247441032486</v>
      </c>
      <c r="G53" s="102">
        <f>G52*1.55</f>
        <v>0</v>
      </c>
      <c r="H53" s="102">
        <f>H52</f>
        <v>38.432592592592592</v>
      </c>
      <c r="I53" s="102">
        <f>I52*(Q52/100)</f>
        <v>9.3353544973544977</v>
      </c>
      <c r="J53" s="102"/>
      <c r="K53" s="102"/>
      <c r="L53" s="102"/>
      <c r="M53" s="96"/>
      <c r="N53" s="306">
        <f>SUM(E53:I53)</f>
        <v>91.455061298244686</v>
      </c>
      <c r="O53" s="516" t="s">
        <v>298</v>
      </c>
      <c r="P53" s="516"/>
      <c r="Q53" s="104">
        <v>5741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0.81858676572428668</v>
      </c>
      <c r="F54" s="102">
        <f>F53*M20/100</f>
        <v>33.738222530710303</v>
      </c>
      <c r="G54" s="102">
        <f>G53*M20/100</f>
        <v>0</v>
      </c>
      <c r="H54" s="102">
        <f>H53*M20/100</f>
        <v>30.400446380080115</v>
      </c>
      <c r="I54" s="102">
        <f>I53*M20/100</f>
        <v>7.3843299317403819</v>
      </c>
      <c r="J54" s="99">
        <f>J55/(J42+J48)</f>
        <v>39.374644453474197</v>
      </c>
      <c r="K54" s="99">
        <f>K55/(J48+J42)</f>
        <v>0.80942706216984961</v>
      </c>
      <c r="L54" s="99">
        <f>L55/(M42)</f>
        <v>2.4574267195182116</v>
      </c>
      <c r="M54" s="96">
        <f>M55/(J48+J42)</f>
        <v>1.6143843965867533</v>
      </c>
      <c r="N54" s="306">
        <f>SUM(E54:M54)</f>
        <v>116.59746824000409</v>
      </c>
      <c r="O54" s="516" t="s">
        <v>300</v>
      </c>
      <c r="P54" s="516"/>
      <c r="Q54" s="104">
        <f>Q53*Q52/100</f>
        <v>897.29703703703706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unit'!B17</f>
        <v>2101</v>
      </c>
      <c r="F55" s="118">
        <f>'Daily unit'!C17</f>
        <v>61832</v>
      </c>
      <c r="G55" s="118">
        <f>'Daily unit'!D17</f>
        <v>0</v>
      </c>
      <c r="H55" s="118">
        <f>'Daily unit'!E17</f>
        <v>51884</v>
      </c>
      <c r="I55" s="118">
        <f>'Daily unit'!F17</f>
        <v>12543</v>
      </c>
      <c r="J55" s="118">
        <f>'Daily unit'!G17</f>
        <v>96901</v>
      </c>
      <c r="K55" s="118">
        <f>'Daily unit'!H17</f>
        <v>1992</v>
      </c>
      <c r="L55" s="118">
        <f>'Daily unit'!I17</f>
        <v>5778</v>
      </c>
      <c r="M55" s="119">
        <f>'Daily unit'!J17</f>
        <v>3973</v>
      </c>
      <c r="N55" s="317">
        <f>SUM(E55:M55)</f>
        <v>237004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700">
        <v>1</v>
      </c>
      <c r="C59" s="626" t="s">
        <v>306</v>
      </c>
      <c r="D59" s="661"/>
      <c r="E59" s="80">
        <v>42.5</v>
      </c>
      <c r="F59" s="53">
        <f>'Internal use cement'!F17</f>
        <v>0</v>
      </c>
      <c r="G59" s="53">
        <f>F59+'14'!G59</f>
        <v>0</v>
      </c>
      <c r="H59" s="104">
        <f>F59+'14'!H59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469"/>
      <c r="C60" s="466"/>
      <c r="D60" s="663"/>
      <c r="E60" s="80" t="s">
        <v>211</v>
      </c>
      <c r="F60" s="53">
        <f>'Internal use cement'!Q17</f>
        <v>0</v>
      </c>
      <c r="G60" s="53">
        <f>F60+'14'!G60</f>
        <v>0</v>
      </c>
      <c r="H60" s="104">
        <f>F60+'14'!H60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.75" customHeight="1">
      <c r="B61" s="469"/>
      <c r="C61" s="466"/>
      <c r="D61" s="663"/>
      <c r="E61" s="80">
        <v>32.5</v>
      </c>
      <c r="F61" s="53">
        <f>'Internal use cement'!AB17</f>
        <v>0</v>
      </c>
      <c r="G61" s="53">
        <f>F61+'14'!G61</f>
        <v>0</v>
      </c>
      <c r="H61" s="104">
        <f>F61+'14'!H61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470"/>
      <c r="C62" s="467"/>
      <c r="D62" s="665"/>
      <c r="E62" s="112" t="s">
        <v>187</v>
      </c>
      <c r="F62" s="113">
        <f>'Internal use cement'!AJ17</f>
        <v>0</v>
      </c>
      <c r="G62" s="113">
        <f>F62+'14'!G62</f>
        <v>0.1</v>
      </c>
      <c r="H62" s="114">
        <f>F62+'14'!H62</f>
        <v>0.2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94"/>
      <c r="S65" s="94"/>
    </row>
    <row r="66" spans="2:19">
      <c r="R66" s="109"/>
      <c r="S66" s="109"/>
    </row>
    <row r="67" spans="2:19">
      <c r="R67" s="94"/>
      <c r="S67" s="94"/>
    </row>
    <row r="68" spans="2:19">
      <c r="R68" s="117"/>
      <c r="S68" s="117"/>
    </row>
    <row r="69" spans="2:19">
      <c r="R69" s="117"/>
      <c r="S69" s="117"/>
    </row>
    <row r="70" spans="2:19">
      <c r="R70" s="117"/>
      <c r="S70" s="117"/>
    </row>
    <row r="71" spans="2:19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5">
    <mergeCell ref="O54:P54"/>
    <mergeCell ref="C55:D55"/>
    <mergeCell ref="C33:D33"/>
    <mergeCell ref="C35:D35"/>
    <mergeCell ref="C36:D36"/>
    <mergeCell ref="C34:D34"/>
    <mergeCell ref="I33:I34"/>
    <mergeCell ref="M33:M34"/>
    <mergeCell ref="N33:N34"/>
    <mergeCell ref="O33:O34"/>
    <mergeCell ref="P33:P34"/>
    <mergeCell ref="B50:N50"/>
    <mergeCell ref="O50:Q50"/>
    <mergeCell ref="B37:B42"/>
    <mergeCell ref="C37:C42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C23:D23"/>
    <mergeCell ref="B16:B18"/>
    <mergeCell ref="C16:C18"/>
    <mergeCell ref="C9:D9"/>
    <mergeCell ref="C8:Q8"/>
    <mergeCell ref="C11:D11"/>
    <mergeCell ref="C12:D12"/>
    <mergeCell ref="C15:D15"/>
    <mergeCell ref="P15:Q15"/>
    <mergeCell ref="O6:O7"/>
    <mergeCell ref="P6:P7"/>
    <mergeCell ref="Q6:Q7"/>
    <mergeCell ref="O9:O18"/>
    <mergeCell ref="C10:D10"/>
    <mergeCell ref="C32:D32"/>
    <mergeCell ref="I43:I46"/>
    <mergeCell ref="M43:P46"/>
    <mergeCell ref="M48:P48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I57:Q62"/>
    <mergeCell ref="C59:D62"/>
    <mergeCell ref="B59:B62"/>
    <mergeCell ref="B43:B48"/>
    <mergeCell ref="C43:C48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</mergeCells>
  <pageMargins left="0.25" right="0.25" top="0.75" bottom="0.75" header="0.3" footer="0.3"/>
  <pageSetup paperSize="9" scale="55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B2:U157"/>
  <sheetViews>
    <sheetView zoomScale="90" zoomScaleNormal="90" workbookViewId="0">
      <pane xSplit="4" ySplit="1" topLeftCell="E51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18.42578125" style="68" bestFit="1" customWidth="1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332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'15'!L9</f>
        <v>21285.379710276571</v>
      </c>
      <c r="F9" s="74">
        <f>Production2!D18</f>
        <v>2201.7600000000002</v>
      </c>
      <c r="G9" s="74">
        <f>F9+'15'!G9</f>
        <v>48278.240000000013</v>
      </c>
      <c r="H9" s="74">
        <f>F9+'15'!H9</f>
        <v>205145.52000000008</v>
      </c>
      <c r="I9" s="74">
        <f>Production2!E18</f>
        <v>2547</v>
      </c>
      <c r="J9" s="74">
        <f>I9+'15'!J9</f>
        <v>40152</v>
      </c>
      <c r="K9" s="74">
        <f>I9+'15'!K9</f>
        <v>180183</v>
      </c>
      <c r="L9" s="74">
        <f>E9+F9-I9-I23</f>
        <v>20432.295265832126</v>
      </c>
      <c r="M9" s="75">
        <f>I9</f>
        <v>2547</v>
      </c>
      <c r="N9" s="75">
        <f>(I9/I15)*100</f>
        <v>95.214953271028037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(2)'!L18</f>
        <v>3211.42</v>
      </c>
      <c r="F10" s="77">
        <f>'Mines (2)'!M18</f>
        <v>133.88</v>
      </c>
      <c r="G10" s="74">
        <f>F10+'15'!G10</f>
        <v>1173.8600000000001</v>
      </c>
      <c r="H10" s="74">
        <f>F10+'15'!H10</f>
        <v>6443.2600000000011</v>
      </c>
      <c r="I10" s="77">
        <f>'Mines (2)'!N18</f>
        <v>56</v>
      </c>
      <c r="J10" s="74">
        <f>I10+'15'!J10</f>
        <v>796</v>
      </c>
      <c r="K10" s="74">
        <f>I10+'15'!K10</f>
        <v>3278</v>
      </c>
      <c r="L10" s="77">
        <f t="shared" ref="L10:L18" si="0">E10+F10-I10</f>
        <v>3289.3</v>
      </c>
      <c r="M10" s="75">
        <f t="shared" ref="M10:M12" si="1">I10</f>
        <v>56</v>
      </c>
      <c r="N10" s="75">
        <f>(I10/I15)*100</f>
        <v>2.0934579439252339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Clinker!C18</f>
        <v>1677.92</v>
      </c>
      <c r="F11" s="77">
        <f>Clinker!D18</f>
        <v>0</v>
      </c>
      <c r="G11" s="74">
        <f>F11+'15'!G11</f>
        <v>0</v>
      </c>
      <c r="H11" s="74">
        <f>F11+'15'!H11</f>
        <v>417.28000000000003</v>
      </c>
      <c r="I11" s="77">
        <f>Clinker!E18</f>
        <v>72</v>
      </c>
      <c r="J11" s="74">
        <f>I11+'15'!J11</f>
        <v>1042</v>
      </c>
      <c r="K11" s="74">
        <f>I11+'15'!K11</f>
        <v>4177</v>
      </c>
      <c r="L11" s="77">
        <f t="shared" si="0"/>
        <v>1605.92</v>
      </c>
      <c r="M11" s="75">
        <f t="shared" si="1"/>
        <v>72</v>
      </c>
      <c r="N11" s="75">
        <f>(I11/I15)*100</f>
        <v>2.6915887850467288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(2)'!Q18</f>
        <v>3.999999999996362E-2</v>
      </c>
      <c r="F12" s="77">
        <f>'Mines (2)'!R18</f>
        <v>0</v>
      </c>
      <c r="G12" s="74">
        <f>F12+'15'!G12</f>
        <v>0</v>
      </c>
      <c r="H12" s="74">
        <f>F12+'15'!H12</f>
        <v>137.76</v>
      </c>
      <c r="I12" s="77">
        <f>'Mines (2)'!S18</f>
        <v>0</v>
      </c>
      <c r="J12" s="74">
        <f>I12+'15'!J12</f>
        <v>0</v>
      </c>
      <c r="K12" s="74">
        <f>I12+'15'!K12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26174.759710276572</v>
      </c>
      <c r="F15" s="127">
        <f t="shared" si="2"/>
        <v>2335.6400000000003</v>
      </c>
      <c r="G15" s="127">
        <f t="shared" si="2"/>
        <v>49452.100000000013</v>
      </c>
      <c r="H15" s="127">
        <f t="shared" si="2"/>
        <v>212143.82000000009</v>
      </c>
      <c r="I15" s="127">
        <f t="shared" si="2"/>
        <v>2675</v>
      </c>
      <c r="J15" s="127">
        <f t="shared" si="2"/>
        <v>41990</v>
      </c>
      <c r="K15" s="127">
        <f t="shared" si="2"/>
        <v>188376</v>
      </c>
      <c r="L15" s="127">
        <f t="shared" si="0"/>
        <v>25835.399710276572</v>
      </c>
      <c r="M15" s="128">
        <f>SUM(M9:M12)</f>
        <v>2675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Clinker!EB18</f>
        <v>3043.2869999999907</v>
      </c>
      <c r="F16" s="77">
        <f>Clinker!EC18</f>
        <v>123.28</v>
      </c>
      <c r="G16" s="77">
        <f>F16+'15'!G16</f>
        <v>2441.3800000000006</v>
      </c>
      <c r="H16" s="77">
        <f>F16+'15'!H16</f>
        <v>3246.6200000000003</v>
      </c>
      <c r="I16" s="77">
        <f>Clinker!ED18</f>
        <v>244.44</v>
      </c>
      <c r="J16" s="77">
        <f>I16+'15'!J16</f>
        <v>4147.33</v>
      </c>
      <c r="K16" s="77">
        <f>I16+'15'!K16</f>
        <v>18864.640000000003</v>
      </c>
      <c r="L16" s="77">
        <f>E16+F16-Clinker!N18-Clinker!Z18-Clinker!AS18-Clinker!AX18-Clinker!BC18-Clinker!BW18-Clinker!BH18-Clinker!BM18-Clinker!BR18-Clinker!CV18-Clinker!DP18</f>
        <v>3166.5669999999909</v>
      </c>
      <c r="M16" s="81"/>
      <c r="N16" s="81"/>
      <c r="O16" s="515"/>
      <c r="P16" s="82">
        <v>10</v>
      </c>
      <c r="Q16" s="264">
        <v>0.1</v>
      </c>
      <c r="R16" s="83"/>
      <c r="S16" s="83"/>
    </row>
    <row r="17" spans="2:19">
      <c r="B17" s="512"/>
      <c r="C17" s="517"/>
      <c r="D17" s="80" t="s">
        <v>62</v>
      </c>
      <c r="E17" s="77">
        <f>Clinker!EF18</f>
        <v>4398.8199999999933</v>
      </c>
      <c r="F17" s="77">
        <f>Clinker!EG18</f>
        <v>124.25</v>
      </c>
      <c r="G17" s="77">
        <f>F17+'15'!G17</f>
        <v>2549.3500000000004</v>
      </c>
      <c r="H17" s="77">
        <f>F17+'15'!H17</f>
        <v>4690.2999999999993</v>
      </c>
      <c r="I17" s="77">
        <f>Clinker!EH18</f>
        <v>172</v>
      </c>
      <c r="J17" s="77">
        <f>I17+'15'!J17</f>
        <v>2247</v>
      </c>
      <c r="K17" s="77">
        <f>I17+'15'!K17</f>
        <v>10419</v>
      </c>
      <c r="L17" s="77">
        <f>E17+F17-Clinker!T18-Clinker!AE18-Clinker!AJ18-Clinker!CG18-Clinker!CG18-Clinker!DU18-Clinker!AI18</f>
        <v>4351.0699999999933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7442.1069999999836</v>
      </c>
      <c r="F18" s="125">
        <f>F16+F17</f>
        <v>247.53</v>
      </c>
      <c r="G18" s="125">
        <f t="shared" ref="G18:K18" si="3">G16+G17</f>
        <v>4990.7300000000014</v>
      </c>
      <c r="H18" s="125">
        <f t="shared" si="3"/>
        <v>7936.92</v>
      </c>
      <c r="I18" s="125">
        <f>I16+I17</f>
        <v>416.44</v>
      </c>
      <c r="J18" s="125">
        <f>J16+J17</f>
        <v>6394.33</v>
      </c>
      <c r="K18" s="125">
        <f t="shared" si="3"/>
        <v>29283.640000000003</v>
      </c>
      <c r="L18" s="125">
        <f t="shared" si="0"/>
        <v>7273.1969999999837</v>
      </c>
      <c r="M18" s="126"/>
      <c r="N18" s="126"/>
      <c r="O18" s="515"/>
      <c r="P18" s="53"/>
      <c r="Q18" s="131"/>
      <c r="R18" s="240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19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Clinker!EJ18</f>
        <v>21522.123569631924</v>
      </c>
      <c r="F20" s="74">
        <f>Clinker!EK18</f>
        <v>1390</v>
      </c>
      <c r="G20" s="74">
        <f>F20+'15'!G20</f>
        <v>24137</v>
      </c>
      <c r="H20" s="74">
        <f>F20+'15'!H20</f>
        <v>109663</v>
      </c>
      <c r="I20" s="74">
        <f>Clinker!EL18</f>
        <v>1039.4349999570004</v>
      </c>
      <c r="J20" s="74">
        <f>I20+'15'!J20</f>
        <v>28210.120516086761</v>
      </c>
      <c r="K20" s="74">
        <f>I20+'15'!K20</f>
        <v>91071.851529951789</v>
      </c>
      <c r="L20" s="74">
        <f>E20+F20-I20-I22</f>
        <v>21872.688569674923</v>
      </c>
      <c r="M20" s="641">
        <f>((I20+I21)/(J42+J48))*100</f>
        <v>79.259620688172433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Clinker!EO18</f>
        <v>4944.574008000136</v>
      </c>
      <c r="F21" s="74">
        <f>Clinker!EP18</f>
        <v>0</v>
      </c>
      <c r="G21" s="74">
        <f>F21+'15'!G21</f>
        <v>0</v>
      </c>
      <c r="H21" s="74">
        <f>F21+'15'!H21</f>
        <v>13390.660000000003</v>
      </c>
      <c r="I21" s="74">
        <f>Clinker!EQ18</f>
        <v>1259.0940000000001</v>
      </c>
      <c r="J21" s="74">
        <f>I21+'15'!J21</f>
        <v>1620.6290000000001</v>
      </c>
      <c r="K21" s="74">
        <f>I21+'15'!K21</f>
        <v>18554.728999999999</v>
      </c>
      <c r="L21" s="74">
        <f>E21+F21-I21</f>
        <v>3685.480008000136</v>
      </c>
      <c r="M21" s="642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f>Clinker!EN18</f>
        <v>0</v>
      </c>
      <c r="G22" s="74">
        <f>F22+'15'!G22</f>
        <v>0</v>
      </c>
      <c r="H22" s="74">
        <f>F22+'15'!H22</f>
        <v>0</v>
      </c>
      <c r="I22" s="77">
        <f>Clinker!EN18</f>
        <v>0</v>
      </c>
      <c r="J22" s="74">
        <f>I22+'15'!J22</f>
        <v>0</v>
      </c>
      <c r="K22" s="74">
        <f>I22+'15'!K22</f>
        <v>0</v>
      </c>
      <c r="L22" s="74"/>
      <c r="M22" s="78"/>
      <c r="N22" s="526"/>
      <c r="O22" s="527"/>
      <c r="P22" s="570"/>
      <c r="Q22" s="571"/>
      <c r="R22" s="241"/>
      <c r="S22" s="20"/>
    </row>
    <row r="23" spans="2:19">
      <c r="B23" s="89">
        <v>8</v>
      </c>
      <c r="C23" s="474" t="s">
        <v>263</v>
      </c>
      <c r="D23" s="475"/>
      <c r="E23" s="77"/>
      <c r="F23" s="77"/>
      <c r="G23" s="74"/>
      <c r="H23" s="74"/>
      <c r="I23" s="77">
        <f>Cement!S18</f>
        <v>507.84444444444375</v>
      </c>
      <c r="J23" s="74">
        <f>I23+'15'!J23</f>
        <v>7161.7449964990401</v>
      </c>
      <c r="K23" s="74">
        <f>I23+'15'!K23</f>
        <v>27635.096431351722</v>
      </c>
      <c r="L23" s="74"/>
      <c r="M23" s="78">
        <f>(I23/(J42+J48))*100</f>
        <v>17.511877394635992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Cement!C18</f>
        <v>2862.7642351971645</v>
      </c>
      <c r="F24" s="77">
        <f>Cement!D18</f>
        <v>0</v>
      </c>
      <c r="G24" s="74">
        <f>F24+'15'!G24</f>
        <v>519.98</v>
      </c>
      <c r="H24" s="74">
        <f>F24+'15'!H24</f>
        <v>2646.6</v>
      </c>
      <c r="I24" s="77">
        <f>Cement!F18</f>
        <v>152.63013268826296</v>
      </c>
      <c r="J24" s="74">
        <f>I24+'15'!J24</f>
        <v>2018.176434815739</v>
      </c>
      <c r="K24" s="74">
        <f>I24+'15'!K24</f>
        <v>7381.8459566408819</v>
      </c>
      <c r="L24" s="74">
        <f t="shared" ref="L24:L26" si="4">E24+F24-I24</f>
        <v>2710.1341025089014</v>
      </c>
      <c r="M24" s="78">
        <f>(I24/(J42+J48))*100</f>
        <v>5.2631080237332055</v>
      </c>
      <c r="N24" s="78"/>
      <c r="O24" s="527"/>
      <c r="P24" s="87"/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Cement!H18</f>
        <v>0.23999999999796273</v>
      </c>
      <c r="F25" s="77">
        <f>Cement!I18</f>
        <v>0</v>
      </c>
      <c r="G25" s="74">
        <f>F25+'15'!G25</f>
        <v>0</v>
      </c>
      <c r="H25" s="74">
        <f>F25+'15'!H25</f>
        <v>0</v>
      </c>
      <c r="I25" s="77">
        <f>Cement!J18</f>
        <v>0</v>
      </c>
      <c r="J25" s="74">
        <f>I25+'15'!J25</f>
        <v>0</v>
      </c>
      <c r="K25" s="74">
        <f>I25+'15'!K25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Cement!L18</f>
        <v>0</v>
      </c>
      <c r="F26" s="77">
        <f>Cement!M18</f>
        <v>0</v>
      </c>
      <c r="G26" s="74">
        <f>F26+'15'!G26</f>
        <v>0</v>
      </c>
      <c r="H26" s="74">
        <f>F26+'15'!H26</f>
        <v>0</v>
      </c>
      <c r="I26" s="77">
        <f>Cement!N18</f>
        <v>0</v>
      </c>
      <c r="J26" s="74">
        <f>I26+'15'!J26</f>
        <v>0</v>
      </c>
      <c r="K26" s="74">
        <f>I26+'15'!K26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29329.701812829226</v>
      </c>
      <c r="F27" s="122">
        <f t="shared" ref="F27:L27" si="5">F20+F21+F23+F24+F25+F26</f>
        <v>1390</v>
      </c>
      <c r="G27" s="122">
        <f t="shared" si="5"/>
        <v>24656.98</v>
      </c>
      <c r="H27" s="122">
        <f t="shared" si="5"/>
        <v>125700.26000000001</v>
      </c>
      <c r="I27" s="122">
        <f t="shared" si="5"/>
        <v>2959.0035770897075</v>
      </c>
      <c r="J27" s="122">
        <f t="shared" si="5"/>
        <v>39010.670947401537</v>
      </c>
      <c r="K27" s="122">
        <f t="shared" si="5"/>
        <v>144643.52291794438</v>
      </c>
      <c r="L27" s="122">
        <f t="shared" si="5"/>
        <v>28268.54268018396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Production2!C18</f>
        <v>19.43</v>
      </c>
      <c r="G32" s="75">
        <f>F32+'15'!G32</f>
        <v>298.51000000000005</v>
      </c>
      <c r="H32" s="75">
        <f>F32+'15'!H32</f>
        <v>1267.6400000000001</v>
      </c>
      <c r="I32" s="74">
        <f>'Mines (2)'!C18+'Mines (2)'!H18+'Mines (2)'!V18+'Mines (2)'!Z18+'Mines (2)'!AD18</f>
        <v>21285.379710276567</v>
      </c>
      <c r="J32" s="74">
        <f>Production2!D18</f>
        <v>2201.7600000000002</v>
      </c>
      <c r="K32" s="74">
        <f>J32+'15'!K32</f>
        <v>48278.240000000013</v>
      </c>
      <c r="L32" s="74">
        <f>J32+'15'!L32</f>
        <v>205145.52000000008</v>
      </c>
      <c r="M32" s="74">
        <f>I9+I23</f>
        <v>3054.844444444444</v>
      </c>
      <c r="N32" s="74">
        <f>M32+'15'!N32</f>
        <v>47313.744996499037</v>
      </c>
      <c r="O32" s="74">
        <f>M32+'15'!O32</f>
        <v>207818.09643135173</v>
      </c>
      <c r="P32" s="74">
        <f>I32+J32-M32</f>
        <v>20432.295265832126</v>
      </c>
      <c r="Q32" s="93">
        <f>J32/F32</f>
        <v>113.31755018013382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Production2!G18</f>
        <v>21.37</v>
      </c>
      <c r="G33" s="75">
        <f>F33+'15'!G33</f>
        <v>298.58999999999997</v>
      </c>
      <c r="H33" s="75">
        <f>F33+'15'!H33</f>
        <v>1368.1299999999999</v>
      </c>
      <c r="I33" s="541">
        <f>Production2!H18</f>
        <v>1422.3900168375185</v>
      </c>
      <c r="J33" s="78">
        <f>Production2!N18</f>
        <v>2409.66</v>
      </c>
      <c r="K33" s="74">
        <f>J33+'15'!K33</f>
        <v>35375.660000000003</v>
      </c>
      <c r="L33" s="74">
        <f>J33+'15'!L33</f>
        <v>161661.25</v>
      </c>
      <c r="M33" s="541">
        <f>Production2!K18</f>
        <v>2154.5</v>
      </c>
      <c r="N33" s="541">
        <f>M33+'15'!N33</f>
        <v>37412.350000000006</v>
      </c>
      <c r="O33" s="541">
        <f>M33+'15'!O33</f>
        <v>169977.65</v>
      </c>
      <c r="P33" s="541">
        <f>I33+J33+J34-M33</f>
        <v>1677.5500168375183</v>
      </c>
      <c r="Q33" s="96">
        <f t="shared" ref="Q33:Q48" si="6">J33/F33</f>
        <v>112.75900795507719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Production2!P18</f>
        <v>0</v>
      </c>
      <c r="G34" s="75">
        <f>F34+'15'!G34</f>
        <v>269.88</v>
      </c>
      <c r="H34" s="75">
        <f>F34+'15'!H34</f>
        <v>885.55</v>
      </c>
      <c r="I34" s="473"/>
      <c r="J34" s="78">
        <f>Production2!Q18</f>
        <v>0</v>
      </c>
      <c r="K34" s="74">
        <f>J34+'15'!K34</f>
        <v>2446.6</v>
      </c>
      <c r="L34" s="74">
        <f>J34+'15'!L34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Production2!S18</f>
        <v>17.5</v>
      </c>
      <c r="G35" s="75">
        <f>F35+'15'!G35</f>
        <v>273.03999999999996</v>
      </c>
      <c r="H35" s="75">
        <f>F35+'15'!H35</f>
        <v>1226.3699999999999</v>
      </c>
      <c r="I35" s="77">
        <f>Production2!T18</f>
        <v>51.709999999999809</v>
      </c>
      <c r="J35" s="77">
        <f>Production2!U18</f>
        <v>220</v>
      </c>
      <c r="K35" s="74">
        <f>J35+'15'!K35</f>
        <v>3732.6</v>
      </c>
      <c r="L35" s="74">
        <f>J35+'15'!L35</f>
        <v>16978.199999999997</v>
      </c>
      <c r="M35" s="77">
        <f>Production2!V18</f>
        <v>220</v>
      </c>
      <c r="N35" s="74">
        <f>M35+'15'!N35</f>
        <v>3723</v>
      </c>
      <c r="O35" s="74">
        <f>M35+'15'!O35</f>
        <v>16942</v>
      </c>
      <c r="P35" s="74">
        <f>I35+J35-M35</f>
        <v>51.709999999999809</v>
      </c>
      <c r="Q35" s="96">
        <f t="shared" si="6"/>
        <v>12.571428571428571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Production2!Y18</f>
        <v>23.5</v>
      </c>
      <c r="G36" s="75">
        <f>F36+'15'!G36</f>
        <v>377.02000000000004</v>
      </c>
      <c r="H36" s="75">
        <f>F36+'15'!H36</f>
        <v>1691.83</v>
      </c>
      <c r="I36" s="77">
        <f>Clinker!EJ18</f>
        <v>21522.123569631924</v>
      </c>
      <c r="J36" s="77">
        <f>Clinker!EK18</f>
        <v>1390</v>
      </c>
      <c r="K36" s="74">
        <f>J36+'15'!K36</f>
        <v>24137</v>
      </c>
      <c r="L36" s="74">
        <f>J36+'15'!L36</f>
        <v>109663</v>
      </c>
      <c r="M36" s="77">
        <f>Clinker!EL18</f>
        <v>1039.4349999570004</v>
      </c>
      <c r="N36" s="74">
        <f>M36+'15'!N36</f>
        <v>28210.120516086761</v>
      </c>
      <c r="O36" s="74">
        <f>M36+'15'!O36</f>
        <v>91071.851529951789</v>
      </c>
      <c r="P36" s="74">
        <f>I36+J36-M36-I22</f>
        <v>21872.688569674923</v>
      </c>
      <c r="Q36" s="96">
        <f t="shared" si="6"/>
        <v>59.148936170212764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Production2!AE18</f>
        <v>2</v>
      </c>
      <c r="G37" s="75">
        <f>F37+'15'!G37</f>
        <v>12</v>
      </c>
      <c r="H37" s="75">
        <f>F37+'15'!H37</f>
        <v>51.7</v>
      </c>
      <c r="I37" s="77">
        <f>Production2!BJ18</f>
        <v>83.299999999999955</v>
      </c>
      <c r="J37" s="77">
        <f>Production2!AF18</f>
        <v>140</v>
      </c>
      <c r="K37" s="74">
        <f>J37+'15'!K37</f>
        <v>837</v>
      </c>
      <c r="L37" s="74">
        <f>J37+'15'!L37</f>
        <v>3471</v>
      </c>
      <c r="M37" s="77">
        <f>Production2!BL18</f>
        <v>120</v>
      </c>
      <c r="N37" s="74">
        <f>M37+'15'!N37</f>
        <v>1592</v>
      </c>
      <c r="O37" s="74">
        <f>M37+'15'!O37</f>
        <v>6630</v>
      </c>
      <c r="P37" s="74">
        <f>I37+J37+J43-M37-F61</f>
        <v>103.29999999999995</v>
      </c>
      <c r="Q37" s="96">
        <f t="shared" si="6"/>
        <v>70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Production2!AB18</f>
        <v>22</v>
      </c>
      <c r="G38" s="75">
        <f>F38+'15'!G38</f>
        <v>291</v>
      </c>
      <c r="H38" s="75">
        <f>F38+'15'!H38</f>
        <v>789.47</v>
      </c>
      <c r="I38" s="77">
        <f>Production2!BF18</f>
        <v>540.12799999997787</v>
      </c>
      <c r="J38" s="77">
        <f>Production2!AC18</f>
        <v>1432</v>
      </c>
      <c r="K38" s="74">
        <f>J38+'15'!K38</f>
        <v>19152</v>
      </c>
      <c r="L38" s="74">
        <f>J38+'15'!L38</f>
        <v>50482</v>
      </c>
      <c r="M38" s="77">
        <f>Production2!BH18</f>
        <v>1866</v>
      </c>
      <c r="N38" s="74">
        <f>M38+'15'!N38</f>
        <v>33988.6</v>
      </c>
      <c r="O38" s="74">
        <f>M38+'15'!O38</f>
        <v>114731.42999999998</v>
      </c>
      <c r="P38" s="74">
        <f>I38+J38+J44-M38-F59</f>
        <v>1118.1279999999779</v>
      </c>
      <c r="Q38" s="96">
        <f t="shared" si="6"/>
        <v>65.090909090909093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Production2!AH18</f>
        <v>0</v>
      </c>
      <c r="G39" s="75">
        <f>F39+'15'!G39</f>
        <v>0</v>
      </c>
      <c r="H39" s="75">
        <f>F39+'15'!H39</f>
        <v>0</v>
      </c>
      <c r="I39" s="77">
        <f>Production2!BN18</f>
        <v>9.0000000000849845E-2</v>
      </c>
      <c r="J39" s="77">
        <f>Production2!AI18</f>
        <v>0</v>
      </c>
      <c r="K39" s="74">
        <f>J39+'15'!K39</f>
        <v>0</v>
      </c>
      <c r="L39" s="74">
        <f>J39+'15'!L39</f>
        <v>0</v>
      </c>
      <c r="M39" s="77">
        <f>Production2!BP18</f>
        <v>0</v>
      </c>
      <c r="N39" s="74">
        <f>M39+'15'!N39</f>
        <v>0</v>
      </c>
      <c r="O39" s="74">
        <f>M39+'15'!O39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Production2!AK18</f>
        <v>0</v>
      </c>
      <c r="G40" s="75">
        <f>F40+'15'!G40</f>
        <v>1</v>
      </c>
      <c r="H40" s="75">
        <f>F40+'15'!H40</f>
        <v>6</v>
      </c>
      <c r="I40" s="195">
        <f>Production2!BR18</f>
        <v>149.60000000000005</v>
      </c>
      <c r="J40" s="195">
        <v>0</v>
      </c>
      <c r="K40" s="74">
        <f>J40+'15'!K40</f>
        <v>65</v>
      </c>
      <c r="L40" s="74">
        <f>J40+'15'!L40</f>
        <v>365</v>
      </c>
      <c r="M40" s="195">
        <f>Production2!BT18</f>
        <v>90</v>
      </c>
      <c r="N40" s="74">
        <f>M40+'15'!N40</f>
        <v>1118</v>
      </c>
      <c r="O40" s="74">
        <f>M40+'15'!O40</f>
        <v>4150.5</v>
      </c>
      <c r="P40" s="74">
        <f>I40+J40+J46-M40-F62</f>
        <v>189.35000000000002</v>
      </c>
      <c r="Q40" s="96" t="e">
        <f t="shared" si="6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Production2!AN18</f>
        <v>0</v>
      </c>
      <c r="G41" s="75">
        <f>F41+'15'!G41</f>
        <v>33.5</v>
      </c>
      <c r="H41" s="75">
        <f>F41+'15'!H41</f>
        <v>159.66999999999999</v>
      </c>
      <c r="I41" s="195">
        <f>Production2!BV18</f>
        <v>87.680000000000206</v>
      </c>
      <c r="J41" s="195">
        <f>Production2!AO18</f>
        <v>0</v>
      </c>
      <c r="K41" s="74">
        <f>J41+'15'!K41</f>
        <v>2300</v>
      </c>
      <c r="L41" s="74">
        <f>J41+'15'!L41</f>
        <v>10478</v>
      </c>
      <c r="M41" s="77">
        <f>Production2!BX18</f>
        <v>94.56</v>
      </c>
      <c r="N41" s="74">
        <f>M41+'15'!N41</f>
        <v>3594.2799999999993</v>
      </c>
      <c r="O41" s="74">
        <f>M41+'15'!O41</f>
        <v>17589.59</v>
      </c>
      <c r="P41" s="74">
        <f>I41+J41+J47-M41</f>
        <v>179.12000000000018</v>
      </c>
      <c r="Q41" s="96" t="e">
        <f t="shared" si="6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7">G37+G38+G39+G40+G41</f>
        <v>337.5</v>
      </c>
      <c r="H42" s="132">
        <f t="shared" si="7"/>
        <v>1006.84</v>
      </c>
      <c r="I42" s="122">
        <f>I37+I38+I39+I40+I41</f>
        <v>860.79799999997886</v>
      </c>
      <c r="J42" s="122">
        <f t="shared" ref="J42:P42" si="8">J37+J38+J39+J40+J41</f>
        <v>1572</v>
      </c>
      <c r="K42" s="122">
        <f t="shared" si="8"/>
        <v>22354</v>
      </c>
      <c r="L42" s="122">
        <f t="shared" si="8"/>
        <v>64796</v>
      </c>
      <c r="M42" s="122">
        <f t="shared" si="8"/>
        <v>2170.56</v>
      </c>
      <c r="N42" s="122">
        <f t="shared" si="8"/>
        <v>40292.879999999997</v>
      </c>
      <c r="O42" s="122">
        <f t="shared" si="8"/>
        <v>143101.37</v>
      </c>
      <c r="P42" s="122">
        <f t="shared" si="8"/>
        <v>1589.9879999999787</v>
      </c>
      <c r="Q42" s="123">
        <f t="shared" si="6"/>
        <v>65.5</v>
      </c>
      <c r="R42" s="94"/>
      <c r="S42" s="94"/>
    </row>
    <row r="43" spans="2:19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Production2!AT18</f>
        <v>0</v>
      </c>
      <c r="G43" s="75">
        <f>F43+'15'!G43</f>
        <v>4.5</v>
      </c>
      <c r="H43" s="75">
        <f>F43+'15'!H43</f>
        <v>49.929999999999993</v>
      </c>
      <c r="I43" s="471"/>
      <c r="J43" s="77">
        <f>Production2!AU18</f>
        <v>0</v>
      </c>
      <c r="K43" s="74">
        <f>J43+'15'!K43</f>
        <v>280</v>
      </c>
      <c r="L43" s="74">
        <f>J43+'15'!L43</f>
        <v>3030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Production2!AQ18</f>
        <v>17.48</v>
      </c>
      <c r="G44" s="75">
        <f>F44+'15'!G44</f>
        <v>238.57999999999998</v>
      </c>
      <c r="H44" s="75">
        <f>F44+'15'!H44</f>
        <v>1088.99</v>
      </c>
      <c r="I44" s="472"/>
      <c r="J44" s="77">
        <f>Production2!AR18</f>
        <v>1012</v>
      </c>
      <c r="K44" s="74">
        <f>J44+'15'!K44</f>
        <v>14138</v>
      </c>
      <c r="L44" s="74">
        <f>J44+'15'!L44</f>
        <v>64099</v>
      </c>
      <c r="M44" s="545"/>
      <c r="N44" s="546"/>
      <c r="O44" s="546"/>
      <c r="P44" s="547"/>
      <c r="Q44" s="96">
        <f t="shared" si="6"/>
        <v>57.89473684210526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Production2!AW18</f>
        <v>0</v>
      </c>
      <c r="G45" s="75">
        <f>F45+'15'!G45</f>
        <v>0</v>
      </c>
      <c r="H45" s="75">
        <f>F45+'15'!H45</f>
        <v>0</v>
      </c>
      <c r="I45" s="472"/>
      <c r="J45" s="77">
        <f>Production2!AX18</f>
        <v>0</v>
      </c>
      <c r="K45" s="74">
        <f>J45+'15'!K45</f>
        <v>0</v>
      </c>
      <c r="L45" s="74">
        <f>J45+'15'!L45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Production2!AZ18</f>
        <v>2.2999999999999998</v>
      </c>
      <c r="G46" s="75">
        <f>F46+'15'!G46</f>
        <v>19.77</v>
      </c>
      <c r="H46" s="75">
        <f>F46+'15'!H46</f>
        <v>67.649999999999991</v>
      </c>
      <c r="I46" s="473"/>
      <c r="J46" s="195">
        <f>Production2!BA18</f>
        <v>130</v>
      </c>
      <c r="K46" s="74">
        <f>J46+'15'!K46</f>
        <v>1115</v>
      </c>
      <c r="L46" s="74">
        <f>J46+'15'!L46</f>
        <v>3762</v>
      </c>
      <c r="M46" s="548"/>
      <c r="N46" s="549"/>
      <c r="O46" s="549"/>
      <c r="P46" s="550"/>
      <c r="Q46" s="96">
        <f t="shared" si="6"/>
        <v>56.521739130434788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Production2!BC18</f>
        <v>3</v>
      </c>
      <c r="G47" s="75">
        <f>F47+'15'!G47</f>
        <v>5</v>
      </c>
      <c r="H47" s="75">
        <f>F47+'15'!H47</f>
        <v>113.67</v>
      </c>
      <c r="I47" s="425"/>
      <c r="J47" s="195">
        <f>Production2!BD18</f>
        <v>186</v>
      </c>
      <c r="K47" s="74">
        <f>J47+'15'!K47</f>
        <v>306</v>
      </c>
      <c r="L47" s="74">
        <f>J47+'15'!L47</f>
        <v>6921</v>
      </c>
      <c r="M47" s="426"/>
      <c r="N47" s="109"/>
      <c r="O47" s="109"/>
      <c r="P47" s="427"/>
      <c r="Q47" s="96">
        <f t="shared" si="6"/>
        <v>62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22.78</v>
      </c>
      <c r="G48" s="132">
        <f t="shared" ref="G48:H48" si="9">G43+G44+G45+G46+G47</f>
        <v>267.84999999999997</v>
      </c>
      <c r="H48" s="132">
        <f t="shared" si="9"/>
        <v>1320.2400000000002</v>
      </c>
      <c r="I48" s="132">
        <f>I43+I44+I45+I46</f>
        <v>0</v>
      </c>
      <c r="J48" s="122">
        <f>J43+J44+J45+J46+J47</f>
        <v>1328</v>
      </c>
      <c r="K48" s="122">
        <f t="shared" ref="K48:L48" si="10">K43+K44+K45+K46+K47</f>
        <v>15839</v>
      </c>
      <c r="L48" s="122">
        <f t="shared" si="10"/>
        <v>77812</v>
      </c>
      <c r="M48" s="574"/>
      <c r="N48" s="575"/>
      <c r="O48" s="575"/>
      <c r="P48" s="576"/>
      <c r="Q48" s="123">
        <f t="shared" si="6"/>
        <v>58.296751536435465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0.70897827192791218</v>
      </c>
      <c r="F52" s="99">
        <f>F55/(J33+J34)</f>
        <v>25.564187478731441</v>
      </c>
      <c r="G52" s="99">
        <v>0</v>
      </c>
      <c r="H52" s="99">
        <f>H55/J36</f>
        <v>36.569784172661869</v>
      </c>
      <c r="I52" s="99">
        <f>I55/J35</f>
        <v>60.759090909090908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15.827338129496402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1.2991134234535198</v>
      </c>
      <c r="F53" s="102">
        <f>F52*1.55</f>
        <v>39.624490592033737</v>
      </c>
      <c r="G53" s="102">
        <f>G52*1.55</f>
        <v>0</v>
      </c>
      <c r="H53" s="102">
        <f>H52</f>
        <v>36.569784172661869</v>
      </c>
      <c r="I53" s="102">
        <f>I52*(Q52/100)</f>
        <v>9.6165467625899268</v>
      </c>
      <c r="J53" s="102"/>
      <c r="K53" s="102"/>
      <c r="L53" s="102"/>
      <c r="M53" s="96"/>
      <c r="N53" s="103"/>
      <c r="O53" s="516" t="s">
        <v>298</v>
      </c>
      <c r="P53" s="516"/>
      <c r="Q53" s="104">
        <v>5423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1.0296723717383911</v>
      </c>
      <c r="F54" s="102">
        <f>F53*M20/100</f>
        <v>31.406220942866511</v>
      </c>
      <c r="G54" s="102">
        <f>G53*M20/100</f>
        <v>0</v>
      </c>
      <c r="H54" s="102">
        <f>H53*M20/100</f>
        <v>28.985072221735113</v>
      </c>
      <c r="I54" s="102">
        <f>I53*M20/100</f>
        <v>7.622038487329502</v>
      </c>
      <c r="J54" s="99">
        <f>J55/(J42+J48)</f>
        <v>39.865862068965519</v>
      </c>
      <c r="K54" s="99">
        <f>K55/(J48+J42)</f>
        <v>0.7693103448275862</v>
      </c>
      <c r="L54" s="99">
        <f>L55/(M42)</f>
        <v>2.5836650449653544</v>
      </c>
      <c r="M54" s="96">
        <f>M55/(J48+J42)</f>
        <v>1.3117241379310345</v>
      </c>
      <c r="N54" s="306">
        <f>SUM(E54:M54)</f>
        <v>113.57356562035902</v>
      </c>
      <c r="O54" s="516" t="s">
        <v>300</v>
      </c>
      <c r="P54" s="516"/>
      <c r="Q54" s="104">
        <f>Q53*Q52/100</f>
        <v>858.31654676258984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unit'!B18</f>
        <v>1561</v>
      </c>
      <c r="F55" s="118">
        <f>'Daily unit'!C18</f>
        <v>61601</v>
      </c>
      <c r="G55" s="118">
        <f>'Daily unit'!D18</f>
        <v>0</v>
      </c>
      <c r="H55" s="118">
        <f>'Daily unit'!E18</f>
        <v>50832</v>
      </c>
      <c r="I55" s="118">
        <f>'Daily unit'!F18</f>
        <v>13367</v>
      </c>
      <c r="J55" s="118">
        <f>'Daily unit'!G18</f>
        <v>115611</v>
      </c>
      <c r="K55" s="118">
        <f>'Daily unit'!H18</f>
        <v>2231</v>
      </c>
      <c r="L55" s="118">
        <f>'Daily unit'!I18</f>
        <v>5608</v>
      </c>
      <c r="M55" s="119">
        <f>'Daily unit'!J18</f>
        <v>3804</v>
      </c>
      <c r="N55" s="317">
        <f>SUM(E55:M55)</f>
        <v>254615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701">
        <v>1</v>
      </c>
      <c r="C59" s="526" t="s">
        <v>306</v>
      </c>
      <c r="D59" s="526"/>
      <c r="E59" s="80">
        <v>42.5</v>
      </c>
      <c r="F59" s="53">
        <f>'Internal use cement'!F18</f>
        <v>0</v>
      </c>
      <c r="G59" s="53">
        <f>F59+'15'!G59</f>
        <v>0</v>
      </c>
      <c r="H59" s="104">
        <f>F59+'15'!H59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701"/>
      <c r="C60" s="526"/>
      <c r="D60" s="526"/>
      <c r="E60" s="80" t="s">
        <v>211</v>
      </c>
      <c r="F60" s="53">
        <f>'Internal use cement'!Q18</f>
        <v>0</v>
      </c>
      <c r="G60" s="53">
        <f>F60+'15'!G60</f>
        <v>0</v>
      </c>
      <c r="H60" s="104">
        <f>F60+'15'!H60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701"/>
      <c r="C61" s="526"/>
      <c r="D61" s="526"/>
      <c r="E61" s="80">
        <v>32.5</v>
      </c>
      <c r="F61" s="53">
        <f>'Internal use cement'!AB18</f>
        <v>0</v>
      </c>
      <c r="G61" s="53">
        <f>F61+'15'!G61</f>
        <v>0</v>
      </c>
      <c r="H61" s="104">
        <f>F61+'15'!H61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702"/>
      <c r="C62" s="689"/>
      <c r="D62" s="689"/>
      <c r="E62" s="112" t="s">
        <v>187</v>
      </c>
      <c r="F62" s="113">
        <f>'Internal use cement'!AJ18</f>
        <v>0.25</v>
      </c>
      <c r="G62" s="113">
        <f>F62+'15'!G62</f>
        <v>0.35</v>
      </c>
      <c r="H62" s="114">
        <f>F62+'15'!H62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6"/>
      <c r="S64" s="116"/>
    </row>
    <row r="65" spans="2:19">
      <c r="R65" s="94"/>
      <c r="S65" s="94"/>
    </row>
    <row r="66" spans="2:19">
      <c r="R66" s="94"/>
      <c r="S66" s="94"/>
    </row>
    <row r="67" spans="2:19">
      <c r="R67" s="94"/>
      <c r="S67" s="94"/>
    </row>
    <row r="68" spans="2:19">
      <c r="R68" s="109"/>
      <c r="S68" s="109"/>
    </row>
    <row r="69" spans="2:19">
      <c r="R69" s="94"/>
      <c r="S69" s="94"/>
    </row>
    <row r="70" spans="2:19">
      <c r="R70" s="117"/>
      <c r="S70" s="117"/>
    </row>
    <row r="71" spans="2:19">
      <c r="R71" s="117"/>
      <c r="S71" s="117"/>
    </row>
    <row r="72" spans="2:19">
      <c r="R72" s="117"/>
      <c r="S72" s="117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6">
    <mergeCell ref="B2:Q2"/>
    <mergeCell ref="B3:Q3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C54:D54"/>
    <mergeCell ref="C19:Q19"/>
    <mergeCell ref="B20:B22"/>
    <mergeCell ref="C20:C22"/>
    <mergeCell ref="N20:N22"/>
    <mergeCell ref="B25:B26"/>
    <mergeCell ref="C25:C26"/>
    <mergeCell ref="M25:N26"/>
    <mergeCell ref="P25:Q27"/>
    <mergeCell ref="C27:D27"/>
    <mergeCell ref="M27:N27"/>
    <mergeCell ref="O20:O27"/>
    <mergeCell ref="P20:Q22"/>
    <mergeCell ref="Q23:Q24"/>
    <mergeCell ref="C24:D24"/>
    <mergeCell ref="M20:M21"/>
    <mergeCell ref="C23:D23"/>
    <mergeCell ref="P6:P7"/>
    <mergeCell ref="C8:Q8"/>
    <mergeCell ref="C12:D12"/>
    <mergeCell ref="C15:D15"/>
    <mergeCell ref="P15:Q15"/>
    <mergeCell ref="O9:O18"/>
    <mergeCell ref="C10:D10"/>
    <mergeCell ref="C9:D9"/>
    <mergeCell ref="Q6:Q7"/>
    <mergeCell ref="C11:D11"/>
    <mergeCell ref="B16:B18"/>
    <mergeCell ref="C16:C1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32:D32"/>
    <mergeCell ref="C33:D33"/>
    <mergeCell ref="C35:D35"/>
    <mergeCell ref="C36:D36"/>
    <mergeCell ref="Q30:Q31"/>
    <mergeCell ref="C34:D34"/>
    <mergeCell ref="I33:I34"/>
    <mergeCell ref="M33:M34"/>
    <mergeCell ref="N33:N34"/>
    <mergeCell ref="O33:O34"/>
    <mergeCell ref="P33:P34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O53:P53"/>
    <mergeCell ref="B37:B42"/>
    <mergeCell ref="C37:C42"/>
    <mergeCell ref="C59:D62"/>
    <mergeCell ref="B59:B62"/>
    <mergeCell ref="O54:P54"/>
    <mergeCell ref="C55:D55"/>
    <mergeCell ref="I43:I46"/>
    <mergeCell ref="M43:P46"/>
    <mergeCell ref="M48:P48"/>
    <mergeCell ref="B43:B48"/>
    <mergeCell ref="C43:C48"/>
    <mergeCell ref="I57:Q62"/>
    <mergeCell ref="B50:N50"/>
    <mergeCell ref="O50:Q50"/>
  </mergeCells>
  <pageMargins left="0" right="0" top="0.75" bottom="0.75" header="0.3" footer="0.3"/>
  <pageSetup paperSize="9" scale="5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B2:U158"/>
  <sheetViews>
    <sheetView zoomScale="90" zoomScaleNormal="90" workbookViewId="0">
      <pane xSplit="4" ySplit="1" topLeftCell="E50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0.7109375" style="68" customWidth="1"/>
    <col min="4" max="4" width="14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0" width="9.140625" style="68"/>
    <col min="21" max="21" width="11.5703125" style="68" bestFit="1" customWidth="1"/>
    <col min="22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333</v>
      </c>
      <c r="R4" s="67"/>
      <c r="S4" s="67"/>
    </row>
    <row r="5" spans="2:21" s="70" customFormat="1" ht="16.5" customHeigh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 ht="30">
      <c r="B9" s="199">
        <v>1</v>
      </c>
      <c r="C9" s="225" t="s">
        <v>263</v>
      </c>
      <c r="D9" s="226"/>
      <c r="E9" s="74">
        <f>'16'!L9</f>
        <v>20432.295265832126</v>
      </c>
      <c r="F9" s="74">
        <f>Production2!D19</f>
        <v>1964.7</v>
      </c>
      <c r="G9" s="74">
        <f>F9+'16'!G9</f>
        <v>50242.94000000001</v>
      </c>
      <c r="H9" s="74">
        <f>F9+'16'!H9</f>
        <v>207110.22000000009</v>
      </c>
      <c r="I9" s="74">
        <f>Production2!E19</f>
        <v>1727</v>
      </c>
      <c r="J9" s="74">
        <f>I9+'16'!J9</f>
        <v>41879</v>
      </c>
      <c r="K9" s="74">
        <f>I9+'16'!K9</f>
        <v>181910</v>
      </c>
      <c r="L9" s="74">
        <f>E9+F9-I9-I23</f>
        <v>20109.373043610078</v>
      </c>
      <c r="M9" s="75">
        <f>I9</f>
        <v>1727</v>
      </c>
      <c r="N9" s="75">
        <f>(I9/I15)*100</f>
        <v>96.051167964404897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(2)'!L19</f>
        <v>3289.3</v>
      </c>
      <c r="F10" s="77">
        <f>'Mines (2)'!M19</f>
        <v>0</v>
      </c>
      <c r="G10" s="74">
        <f>F10+'16'!G10</f>
        <v>1173.8600000000001</v>
      </c>
      <c r="H10" s="74">
        <f>F10+'16'!H10</f>
        <v>6443.2600000000011</v>
      </c>
      <c r="I10" s="77">
        <f>'Mines (2)'!N19</f>
        <v>24</v>
      </c>
      <c r="J10" s="74">
        <f>I10+'16'!J10</f>
        <v>820</v>
      </c>
      <c r="K10" s="74">
        <f>I10+'16'!K10</f>
        <v>3302</v>
      </c>
      <c r="L10" s="77">
        <f t="shared" ref="L10:L18" si="0">E10+F10-I10</f>
        <v>3265.3</v>
      </c>
      <c r="M10" s="75">
        <f t="shared" ref="M10:M12" si="1">I10</f>
        <v>24</v>
      </c>
      <c r="N10" s="75">
        <f>(I10/I15)*100</f>
        <v>1.3348164627363739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Clinker!C19</f>
        <v>1605.92</v>
      </c>
      <c r="F11" s="77">
        <f>Clinker!D19</f>
        <v>0</v>
      </c>
      <c r="G11" s="74">
        <f>F11+'16'!G11</f>
        <v>0</v>
      </c>
      <c r="H11" s="74">
        <f>F11+'16'!H11</f>
        <v>417.28000000000003</v>
      </c>
      <c r="I11" s="77">
        <f>Clinker!E19</f>
        <v>47</v>
      </c>
      <c r="J11" s="74">
        <f>I11+'16'!J11</f>
        <v>1089</v>
      </c>
      <c r="K11" s="74">
        <f>I11+'16'!K11</f>
        <v>4224</v>
      </c>
      <c r="L11" s="77">
        <f t="shared" si="0"/>
        <v>1558.92</v>
      </c>
      <c r="M11" s="75">
        <f t="shared" si="1"/>
        <v>47</v>
      </c>
      <c r="N11" s="75">
        <f>(I11/I15)*100</f>
        <v>2.6140155728587322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(2)'!Q19</f>
        <v>3.999999999996362E-2</v>
      </c>
      <c r="F12" s="77">
        <f>'Mines (2)'!R19</f>
        <v>0</v>
      </c>
      <c r="G12" s="74">
        <f>F12+'16'!G12</f>
        <v>0</v>
      </c>
      <c r="H12" s="74">
        <f>F12+'16'!H12</f>
        <v>137.76</v>
      </c>
      <c r="I12" s="77">
        <f>'Mines (2)'!S19</f>
        <v>0</v>
      </c>
      <c r="J12" s="74">
        <f>I12+'16'!J12</f>
        <v>0</v>
      </c>
      <c r="K12" s="74">
        <f>I12+'16'!K12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5" customHeight="1">
      <c r="B15" s="79" t="s">
        <v>262</v>
      </c>
      <c r="C15" s="521" t="s">
        <v>265</v>
      </c>
      <c r="D15" s="521"/>
      <c r="E15" s="127">
        <f t="shared" ref="E15:K15" si="2">SUM(E9:E12)</f>
        <v>25327.555265832125</v>
      </c>
      <c r="F15" s="127">
        <f t="shared" si="2"/>
        <v>1964.7</v>
      </c>
      <c r="G15" s="127">
        <f t="shared" si="2"/>
        <v>51416.80000000001</v>
      </c>
      <c r="H15" s="127">
        <f t="shared" si="2"/>
        <v>214108.52000000011</v>
      </c>
      <c r="I15" s="127">
        <f t="shared" si="2"/>
        <v>1798</v>
      </c>
      <c r="J15" s="127">
        <f t="shared" si="2"/>
        <v>43788</v>
      </c>
      <c r="K15" s="127">
        <f t="shared" si="2"/>
        <v>190174</v>
      </c>
      <c r="L15" s="127">
        <f t="shared" si="0"/>
        <v>25494.255265832126</v>
      </c>
      <c r="M15" s="128">
        <f>SUM(M9:M12)</f>
        <v>1798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Clinker!EB19</f>
        <v>2922.1269999999909</v>
      </c>
      <c r="F16" s="77">
        <f>Clinker!EC19</f>
        <v>64.14</v>
      </c>
      <c r="G16" s="77">
        <f>F16+'16'!G16</f>
        <v>2505.5200000000004</v>
      </c>
      <c r="H16" s="77">
        <f>F16+'16'!H16</f>
        <v>3310.76</v>
      </c>
      <c r="I16" s="77">
        <f>Clinker!ED19</f>
        <v>244.44</v>
      </c>
      <c r="J16" s="77">
        <f>I16+'16'!J16</f>
        <v>4391.7699999999995</v>
      </c>
      <c r="K16" s="77">
        <f>I16+'16'!K16</f>
        <v>19109.080000000002</v>
      </c>
      <c r="L16" s="77">
        <f>E16+F16-Clinker!N19-Clinker!Z19-Clinker!AS19-Clinker!AX19-Clinker!BC19-Clinker!BW19-Clinker!BH19-Clinker!BM19-Clinker!BR19-Clinker!CV19-Clinker!DP19</f>
        <v>2986.2669999999907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  <c r="U16" s="83"/>
    </row>
    <row r="17" spans="2:21">
      <c r="B17" s="512"/>
      <c r="C17" s="517"/>
      <c r="D17" s="80" t="s">
        <v>62</v>
      </c>
      <c r="E17" s="77">
        <f>Clinker!EF19</f>
        <v>4351.0699999999933</v>
      </c>
      <c r="F17" s="77">
        <f>Clinker!EG19</f>
        <v>32</v>
      </c>
      <c r="G17" s="77">
        <f>F17+'16'!G17</f>
        <v>2581.3500000000004</v>
      </c>
      <c r="H17" s="77">
        <f>F17+'16'!H17</f>
        <v>4722.2999999999993</v>
      </c>
      <c r="I17" s="77">
        <f>Clinker!EH19</f>
        <v>155</v>
      </c>
      <c r="J17" s="77">
        <f>I17+'16'!J17</f>
        <v>2402</v>
      </c>
      <c r="K17" s="77">
        <f>I17+'16'!K17</f>
        <v>10574</v>
      </c>
      <c r="L17" s="77">
        <f>E17+F17-Clinker!T19-Clinker!AE19-Clinker!AJ19-Clinker!CG19- Clinker!CQ19-Clinker!CG19-Clinker!DU19-Clinker!AI19</f>
        <v>4228.0699999999933</v>
      </c>
      <c r="M17" s="81"/>
      <c r="N17" s="81"/>
      <c r="O17" s="515"/>
      <c r="P17" s="53"/>
      <c r="Q17" s="82"/>
      <c r="R17" s="83"/>
      <c r="S17" s="83"/>
    </row>
    <row r="18" spans="2:21">
      <c r="B18" s="512"/>
      <c r="C18" s="476"/>
      <c r="D18" s="124" t="s">
        <v>162</v>
      </c>
      <c r="E18" s="125">
        <f>E16+E17</f>
        <v>7273.1969999999837</v>
      </c>
      <c r="F18" s="125">
        <f>F16+F17</f>
        <v>96.14</v>
      </c>
      <c r="G18" s="419">
        <f t="shared" ref="G18:K18" si="3">G16+G17</f>
        <v>5086.8700000000008</v>
      </c>
      <c r="H18" s="125">
        <f t="shared" si="3"/>
        <v>8033.0599999999995</v>
      </c>
      <c r="I18" s="125">
        <f>I16+I17</f>
        <v>399.44</v>
      </c>
      <c r="J18" s="125">
        <f>J16+J17</f>
        <v>6793.7699999999995</v>
      </c>
      <c r="K18" s="125">
        <f t="shared" si="3"/>
        <v>29683.08</v>
      </c>
      <c r="L18" s="125">
        <f t="shared" si="0"/>
        <v>6969.8969999999845</v>
      </c>
      <c r="M18" s="126"/>
      <c r="N18" s="126"/>
      <c r="O18" s="515"/>
      <c r="P18" s="53"/>
      <c r="Q18" s="131"/>
      <c r="R18" s="83"/>
      <c r="S18" s="83"/>
    </row>
    <row r="19" spans="2:21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  <c r="U19" s="177"/>
    </row>
    <row r="20" spans="2:21">
      <c r="B20" s="512">
        <v>7</v>
      </c>
      <c r="C20" s="477" t="s">
        <v>268</v>
      </c>
      <c r="D20" s="85" t="s">
        <v>269</v>
      </c>
      <c r="E20" s="74">
        <f>Clinker!EJ19</f>
        <v>21872.688569674923</v>
      </c>
      <c r="F20" s="74">
        <f>Clinker!EK19</f>
        <v>1425</v>
      </c>
      <c r="G20" s="74">
        <f>F20+'16'!G20</f>
        <v>25562</v>
      </c>
      <c r="H20" s="74">
        <f>F20+'16'!H20</f>
        <v>111088</v>
      </c>
      <c r="I20" s="74">
        <f>Clinker!EL19</f>
        <v>976.72800000015513</v>
      </c>
      <c r="J20" s="74">
        <f>I20+'16'!J20</f>
        <v>29186.848516086917</v>
      </c>
      <c r="K20" s="74">
        <f>I20+'16'!K20</f>
        <v>92048.579529951938</v>
      </c>
      <c r="L20" s="74">
        <f>E20+F20-I20-I22</f>
        <v>22320.960569674768</v>
      </c>
      <c r="M20" s="641">
        <f>((I20+I21)/(J42+J48))*100</f>
        <v>77.076021314392719</v>
      </c>
      <c r="N20" s="525"/>
      <c r="O20" s="527"/>
      <c r="P20" s="535"/>
      <c r="Q20" s="536"/>
      <c r="R20" s="20"/>
      <c r="S20" s="20"/>
    </row>
    <row r="21" spans="2:21" ht="29.25" customHeight="1">
      <c r="B21" s="512"/>
      <c r="C21" s="477"/>
      <c r="D21" s="85" t="s">
        <v>70</v>
      </c>
      <c r="E21" s="74">
        <f>Clinker!EO19</f>
        <v>3685.480008000136</v>
      </c>
      <c r="F21" s="74">
        <f>Clinker!EP19</f>
        <v>0</v>
      </c>
      <c r="G21" s="74">
        <f>F21+'16'!G21</f>
        <v>0</v>
      </c>
      <c r="H21" s="74">
        <f>F21+'16'!H21</f>
        <v>13390.660000000003</v>
      </c>
      <c r="I21" s="74">
        <f>Clinker!EQ19</f>
        <v>1192.962</v>
      </c>
      <c r="J21" s="74">
        <f>I21+'16'!J21</f>
        <v>2813.5910000000003</v>
      </c>
      <c r="K21" s="74">
        <f>I21+'16'!K21</f>
        <v>19747.690999999999</v>
      </c>
      <c r="L21" s="74">
        <f>E21+F21-I21</f>
        <v>2492.518008000136</v>
      </c>
      <c r="M21" s="642"/>
      <c r="N21" s="525"/>
      <c r="O21" s="527"/>
      <c r="P21" s="535"/>
      <c r="Q21" s="536"/>
      <c r="R21" s="20"/>
      <c r="S21" s="20"/>
    </row>
    <row r="22" spans="2:21" ht="30" customHeight="1">
      <c r="B22" s="512"/>
      <c r="C22" s="524"/>
      <c r="D22" s="86" t="s">
        <v>270</v>
      </c>
      <c r="E22" s="77"/>
      <c r="F22" s="77">
        <f>Clinker!EN19</f>
        <v>0</v>
      </c>
      <c r="G22" s="74">
        <f>F22+'16'!G22</f>
        <v>0</v>
      </c>
      <c r="H22" s="74">
        <f>F22+'16'!H22</f>
        <v>0</v>
      </c>
      <c r="I22" s="77">
        <f>Clinker!EN19</f>
        <v>0</v>
      </c>
      <c r="J22" s="74">
        <f>I22+'16'!J22</f>
        <v>0</v>
      </c>
      <c r="K22" s="74">
        <f>I22+'16'!K22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21" ht="30">
      <c r="B23" s="89">
        <v>8</v>
      </c>
      <c r="C23" s="421" t="s">
        <v>263</v>
      </c>
      <c r="D23" s="421"/>
      <c r="E23" s="77"/>
      <c r="F23" s="77"/>
      <c r="G23" s="74"/>
      <c r="H23" s="74"/>
      <c r="I23" s="77">
        <f>Cement!S19</f>
        <v>560.62222222205003</v>
      </c>
      <c r="J23" s="74">
        <f>I23+'16'!J23</f>
        <v>7722.3672187210905</v>
      </c>
      <c r="K23" s="74">
        <f>I23+'16'!K23</f>
        <v>28195.718653573771</v>
      </c>
      <c r="L23" s="74"/>
      <c r="M23" s="78">
        <f>(I23/(J42+J48))*100</f>
        <v>19.915531872896981</v>
      </c>
      <c r="N23" s="78"/>
      <c r="O23" s="527"/>
      <c r="P23" s="87">
        <v>10</v>
      </c>
      <c r="Q23" s="572"/>
      <c r="R23" s="20"/>
      <c r="S23" s="20"/>
    </row>
    <row r="24" spans="2:21">
      <c r="B24" s="89">
        <v>9</v>
      </c>
      <c r="C24" s="517" t="s">
        <v>271</v>
      </c>
      <c r="D24" s="517"/>
      <c r="E24" s="77">
        <f>Cement!C19</f>
        <v>2710.1341025089014</v>
      </c>
      <c r="F24" s="77">
        <f>Cement!D19</f>
        <v>121.7</v>
      </c>
      <c r="G24" s="74">
        <f>F24+'16'!G24</f>
        <v>641.68000000000006</v>
      </c>
      <c r="H24" s="74">
        <f>F24+'16'!H24</f>
        <v>2768.2999999999997</v>
      </c>
      <c r="I24" s="77">
        <f>Cement!F19</f>
        <v>148.15789473684211</v>
      </c>
      <c r="J24" s="74">
        <f>I24+'16'!J24</f>
        <v>2166.334329552581</v>
      </c>
      <c r="K24" s="74">
        <f>I24+'16'!K24</f>
        <v>7530.0038513777245</v>
      </c>
      <c r="L24" s="74">
        <f t="shared" ref="L24:L26" si="4">E24+F24-I24</f>
        <v>2683.6762077720591</v>
      </c>
      <c r="M24" s="78">
        <f>(I24/(J42+J48))*100</f>
        <v>5.2631578947368425</v>
      </c>
      <c r="N24" s="78"/>
      <c r="O24" s="527"/>
      <c r="P24" s="87">
        <v>5</v>
      </c>
      <c r="Q24" s="573"/>
      <c r="R24" s="20"/>
      <c r="S24" s="20"/>
    </row>
    <row r="25" spans="2:21">
      <c r="B25" s="512">
        <v>10</v>
      </c>
      <c r="C25" s="476" t="s">
        <v>272</v>
      </c>
      <c r="D25" s="76" t="s">
        <v>82</v>
      </c>
      <c r="E25" s="77">
        <f>Cement!H19</f>
        <v>0.23999999999796273</v>
      </c>
      <c r="F25" s="77">
        <f>Cement!I19</f>
        <v>0</v>
      </c>
      <c r="G25" s="74">
        <f>F25+'16'!G25</f>
        <v>0</v>
      </c>
      <c r="H25" s="74">
        <f>F25+'16'!H25</f>
        <v>0</v>
      </c>
      <c r="I25" s="77">
        <f>Cement!J19</f>
        <v>0</v>
      </c>
      <c r="J25" s="74">
        <f>I25+'16'!J25</f>
        <v>0</v>
      </c>
      <c r="K25" s="74">
        <f>I25+'16'!K25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21">
      <c r="B26" s="512"/>
      <c r="C26" s="524"/>
      <c r="D26" s="76" t="s">
        <v>273</v>
      </c>
      <c r="E26" s="77">
        <f>Cement!L19</f>
        <v>0</v>
      </c>
      <c r="F26" s="77">
        <f>Cement!M19</f>
        <v>0</v>
      </c>
      <c r="G26" s="74">
        <f>F26+'16'!G26</f>
        <v>0</v>
      </c>
      <c r="H26" s="74">
        <f>F26+'16'!H26</f>
        <v>0</v>
      </c>
      <c r="I26" s="77">
        <f>Cement!N19</f>
        <v>0</v>
      </c>
      <c r="J26" s="74">
        <f>I26+'16'!J26</f>
        <v>0</v>
      </c>
      <c r="K26" s="74">
        <f>I26+'16'!K26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21" ht="14.45" customHeight="1" thickBot="1">
      <c r="B27" s="90" t="s">
        <v>262</v>
      </c>
      <c r="C27" s="539" t="s">
        <v>274</v>
      </c>
      <c r="D27" s="539"/>
      <c r="E27" s="122">
        <f>E20+E21+E23+E24+E25+E26</f>
        <v>28268.54268018396</v>
      </c>
      <c r="F27" s="122">
        <f t="shared" ref="F27:L27" si="5">F20+F21+F23+F24+F25+F26</f>
        <v>1546.7</v>
      </c>
      <c r="G27" s="122">
        <f t="shared" si="5"/>
        <v>26203.68</v>
      </c>
      <c r="H27" s="122">
        <f t="shared" si="5"/>
        <v>127246.96</v>
      </c>
      <c r="I27" s="122">
        <f t="shared" si="5"/>
        <v>2878.4701169590471</v>
      </c>
      <c r="J27" s="122">
        <f t="shared" si="5"/>
        <v>41889.141064360592</v>
      </c>
      <c r="K27" s="122">
        <f t="shared" si="5"/>
        <v>147521.99303490343</v>
      </c>
      <c r="L27" s="122">
        <f t="shared" si="5"/>
        <v>27497.394785446962</v>
      </c>
      <c r="M27" s="540"/>
      <c r="N27" s="540"/>
      <c r="O27" s="528"/>
      <c r="P27" s="537"/>
      <c r="Q27" s="538"/>
      <c r="R27" s="83"/>
      <c r="S27" s="83"/>
    </row>
    <row r="28" spans="2:21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21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21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21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21">
      <c r="B32" s="91">
        <v>1</v>
      </c>
      <c r="C32" s="567" t="s">
        <v>281</v>
      </c>
      <c r="D32" s="568"/>
      <c r="E32" s="92">
        <v>250</v>
      </c>
      <c r="F32" s="75">
        <f>Production2!C19</f>
        <v>14.8</v>
      </c>
      <c r="G32" s="75">
        <f>F32+'16'!G32</f>
        <v>313.31000000000006</v>
      </c>
      <c r="H32" s="75">
        <f>F32+'16'!H32</f>
        <v>1282.44</v>
      </c>
      <c r="I32" s="74">
        <f>'Mines (2)'!C19+'Mines (2)'!H19+'Mines (2)'!V19+'Mines (2)'!Z19+'Mines (2)'!AD19</f>
        <v>20432.295265832123</v>
      </c>
      <c r="J32" s="74">
        <f>Production2!D19</f>
        <v>1964.7</v>
      </c>
      <c r="K32" s="74">
        <f>J32+'16'!K32</f>
        <v>50242.94000000001</v>
      </c>
      <c r="L32" s="74">
        <f>J32+'16'!L32</f>
        <v>207110.22000000009</v>
      </c>
      <c r="M32" s="74">
        <f>I9+I23</f>
        <v>2287.6222222220499</v>
      </c>
      <c r="N32" s="75">
        <f>M32+'16'!N32</f>
        <v>49601.36721872109</v>
      </c>
      <c r="O32" s="74">
        <f>M32+'16'!O32</f>
        <v>210105.71865357377</v>
      </c>
      <c r="P32" s="74">
        <f>I32+J32-M32</f>
        <v>20109.373043610074</v>
      </c>
      <c r="Q32" s="93">
        <f>J32/F32</f>
        <v>132.75</v>
      </c>
      <c r="R32" s="94"/>
      <c r="S32" s="94"/>
    </row>
    <row r="33" spans="2:21">
      <c r="B33" s="79">
        <v>2</v>
      </c>
      <c r="C33" s="501" t="s">
        <v>315</v>
      </c>
      <c r="D33" s="502"/>
      <c r="E33" s="95">
        <v>120</v>
      </c>
      <c r="F33" s="78">
        <f>Production2!G19</f>
        <v>15.07</v>
      </c>
      <c r="G33" s="75">
        <f>F33+'16'!G33</f>
        <v>313.65999999999997</v>
      </c>
      <c r="H33" s="75">
        <f>F33+'16'!H33</f>
        <v>1383.1999999999998</v>
      </c>
      <c r="I33" s="541">
        <f>Production2!H19</f>
        <v>1677.5500168375183</v>
      </c>
      <c r="J33" s="78">
        <f>Production2!N19</f>
        <v>1619.61</v>
      </c>
      <c r="K33" s="74">
        <f>J33+'16'!K33</f>
        <v>36995.270000000004</v>
      </c>
      <c r="L33" s="74">
        <f>J33+'16'!L33</f>
        <v>163280.85999999999</v>
      </c>
      <c r="M33" s="541">
        <f>Production2!K19</f>
        <v>2208.75</v>
      </c>
      <c r="N33" s="541">
        <f>M33+'16'!N33</f>
        <v>39621.100000000006</v>
      </c>
      <c r="O33" s="541">
        <f>M33+'16'!O33</f>
        <v>172186.4</v>
      </c>
      <c r="P33" s="541">
        <f>I33+J33+J34-M33</f>
        <v>1088.410016837518</v>
      </c>
      <c r="Q33" s="96">
        <f t="shared" ref="Q33:Q48" si="6">J33/F33</f>
        <v>107.47246184472461</v>
      </c>
      <c r="R33" s="94"/>
      <c r="S33" s="94"/>
    </row>
    <row r="34" spans="2:21">
      <c r="B34" s="91">
        <v>3</v>
      </c>
      <c r="C34" s="501" t="s">
        <v>283</v>
      </c>
      <c r="D34" s="502"/>
      <c r="E34" s="95">
        <v>20</v>
      </c>
      <c r="F34" s="78">
        <f>Production2!P19</f>
        <v>0</v>
      </c>
      <c r="G34" s="75">
        <f>F34+'16'!G34</f>
        <v>269.88</v>
      </c>
      <c r="H34" s="75">
        <f>F34+'16'!H34</f>
        <v>885.55</v>
      </c>
      <c r="I34" s="473"/>
      <c r="J34" s="78">
        <f>Production2!Q19</f>
        <v>0</v>
      </c>
      <c r="K34" s="74">
        <f>J34+'16'!K34</f>
        <v>2446.6</v>
      </c>
      <c r="L34" s="74">
        <f>J34+'16'!L34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21">
      <c r="B35" s="91">
        <v>4</v>
      </c>
      <c r="C35" s="501" t="s">
        <v>157</v>
      </c>
      <c r="D35" s="502"/>
      <c r="E35" s="95">
        <v>10</v>
      </c>
      <c r="F35" s="78">
        <f>Production2!S19</f>
        <v>17</v>
      </c>
      <c r="G35" s="75">
        <f>F35+'16'!G35</f>
        <v>290.03999999999996</v>
      </c>
      <c r="H35" s="75">
        <f>F35+'16'!H35</f>
        <v>1243.3699999999999</v>
      </c>
      <c r="I35" s="77">
        <f>Production2!T19</f>
        <v>51.709999999999809</v>
      </c>
      <c r="J35" s="77">
        <f>Production2!U19</f>
        <v>220</v>
      </c>
      <c r="K35" s="74">
        <f>J35+'16'!K35</f>
        <v>3952.6</v>
      </c>
      <c r="L35" s="74">
        <f>J35+'16'!L35</f>
        <v>17198.199999999997</v>
      </c>
      <c r="M35" s="77">
        <f>Production2!V19</f>
        <v>222</v>
      </c>
      <c r="N35" s="74">
        <f>M35+'16'!N35</f>
        <v>3945</v>
      </c>
      <c r="O35" s="74">
        <f>M35+'16'!O35</f>
        <v>17164</v>
      </c>
      <c r="P35" s="74">
        <f>I35+J35-M35</f>
        <v>49.709999999999809</v>
      </c>
      <c r="Q35" s="96">
        <f t="shared" si="6"/>
        <v>12.941176470588236</v>
      </c>
      <c r="R35" s="94"/>
      <c r="S35" s="94"/>
    </row>
    <row r="36" spans="2:21">
      <c r="B36" s="79">
        <v>5</v>
      </c>
      <c r="C36" s="501" t="s">
        <v>63</v>
      </c>
      <c r="D36" s="502"/>
      <c r="E36" s="95">
        <v>50</v>
      </c>
      <c r="F36" s="78">
        <f>Production2!Y19</f>
        <v>24</v>
      </c>
      <c r="G36" s="75">
        <f>F36+'16'!G36</f>
        <v>401.02000000000004</v>
      </c>
      <c r="H36" s="75">
        <f>F36+'16'!H36</f>
        <v>1715.83</v>
      </c>
      <c r="I36" s="77">
        <f>Clinker!EJ19</f>
        <v>21872.688569674923</v>
      </c>
      <c r="J36" s="77">
        <f>Clinker!EK19</f>
        <v>1425</v>
      </c>
      <c r="K36" s="74">
        <f>J36+'16'!K36</f>
        <v>25562</v>
      </c>
      <c r="L36" s="74">
        <f>J36+'16'!L36</f>
        <v>111088</v>
      </c>
      <c r="M36" s="77">
        <f>Clinker!EL19</f>
        <v>976.72800000015513</v>
      </c>
      <c r="N36" s="74">
        <f>M36+'16'!N36</f>
        <v>29186.848516086917</v>
      </c>
      <c r="O36" s="74">
        <f>M36+'16'!O36</f>
        <v>92048.579529951938</v>
      </c>
      <c r="P36" s="74">
        <f>I36+J36-M36-I22</f>
        <v>22320.960569674768</v>
      </c>
      <c r="Q36" s="96">
        <f t="shared" si="6"/>
        <v>59.375</v>
      </c>
      <c r="R36" s="94"/>
      <c r="S36" s="94"/>
    </row>
    <row r="37" spans="2:21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Production2!AE19</f>
        <v>0</v>
      </c>
      <c r="G37" s="75">
        <f>F37+'16'!G37</f>
        <v>12</v>
      </c>
      <c r="H37" s="75">
        <f>F37+'16'!H37</f>
        <v>51.7</v>
      </c>
      <c r="I37" s="77">
        <f>Production2!BJ19</f>
        <v>103.29999999999995</v>
      </c>
      <c r="J37" s="77">
        <f>Production2!AF19</f>
        <v>0</v>
      </c>
      <c r="K37" s="74">
        <f>J37+'16'!K37</f>
        <v>837</v>
      </c>
      <c r="L37" s="74">
        <f>J37+'16'!L37</f>
        <v>3471</v>
      </c>
      <c r="M37" s="77">
        <f>Production2!BL19</f>
        <v>199</v>
      </c>
      <c r="N37" s="74">
        <f>M37+'16'!N37</f>
        <v>1791</v>
      </c>
      <c r="O37" s="74">
        <f>M37+'16'!O37</f>
        <v>6829</v>
      </c>
      <c r="P37" s="74">
        <f>I37+J37+J43-M37-F61</f>
        <v>276.29999999999995</v>
      </c>
      <c r="Q37" s="96" t="e">
        <f t="shared" si="6"/>
        <v>#DIV/0!</v>
      </c>
      <c r="R37" s="94"/>
      <c r="S37" s="94"/>
    </row>
    <row r="38" spans="2:21">
      <c r="B38" s="564"/>
      <c r="C38" s="477"/>
      <c r="D38" s="80" t="s">
        <v>286</v>
      </c>
      <c r="E38" s="97">
        <v>78</v>
      </c>
      <c r="F38" s="78">
        <f>Production2!AB19</f>
        <v>17.649999999999999</v>
      </c>
      <c r="G38" s="75">
        <f>F38+'16'!G38</f>
        <v>308.64999999999998</v>
      </c>
      <c r="H38" s="75">
        <f>F38+'16'!H38</f>
        <v>807.12</v>
      </c>
      <c r="I38" s="77">
        <f>Production2!BF19</f>
        <v>1118.1279999999779</v>
      </c>
      <c r="J38" s="77">
        <f>Production2!AC19</f>
        <v>1140</v>
      </c>
      <c r="K38" s="74">
        <f>J38+'16'!K38</f>
        <v>20292</v>
      </c>
      <c r="L38" s="74">
        <f>J38+'16'!L38</f>
        <v>51622</v>
      </c>
      <c r="M38" s="77">
        <f>Production2!BH19</f>
        <v>1952.76</v>
      </c>
      <c r="N38" s="74">
        <f>M38+'16'!N38</f>
        <v>35941.360000000001</v>
      </c>
      <c r="O38" s="74">
        <f>M38+'16'!O38</f>
        <v>116684.18999999997</v>
      </c>
      <c r="P38" s="74">
        <f>I38+J38+J44-M38-F59</f>
        <v>1188.3679999999779</v>
      </c>
      <c r="Q38" s="96">
        <f t="shared" si="6"/>
        <v>64.589235127478759</v>
      </c>
      <c r="R38" s="94"/>
      <c r="S38" s="94"/>
    </row>
    <row r="39" spans="2:21">
      <c r="B39" s="564"/>
      <c r="C39" s="477"/>
      <c r="D39" s="80" t="s">
        <v>287</v>
      </c>
      <c r="E39" s="97">
        <v>78</v>
      </c>
      <c r="F39" s="78">
        <f>Production2!AH19</f>
        <v>0</v>
      </c>
      <c r="G39" s="75">
        <f>F39+'16'!G39</f>
        <v>0</v>
      </c>
      <c r="H39" s="75">
        <f>F39+'16'!H39</f>
        <v>0</v>
      </c>
      <c r="I39" s="77">
        <f>Production2!BN19</f>
        <v>9.0000000000849845E-2</v>
      </c>
      <c r="J39" s="77">
        <f>Production2!AI19</f>
        <v>0</v>
      </c>
      <c r="K39" s="74">
        <f>J39+'16'!K39</f>
        <v>0</v>
      </c>
      <c r="L39" s="74">
        <f>J39+'16'!L39</f>
        <v>0</v>
      </c>
      <c r="M39" s="77">
        <f>Production2!BP19</f>
        <v>0</v>
      </c>
      <c r="N39" s="74">
        <f>M39+'16'!N39</f>
        <v>0</v>
      </c>
      <c r="O39" s="74">
        <f>M39+'16'!O39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21">
      <c r="B40" s="564"/>
      <c r="C40" s="477"/>
      <c r="D40" s="194" t="s">
        <v>187</v>
      </c>
      <c r="E40" s="97">
        <v>65</v>
      </c>
      <c r="F40" s="84">
        <f>Production2!AK19</f>
        <v>0</v>
      </c>
      <c r="G40" s="75">
        <f>F40+'16'!G40</f>
        <v>1</v>
      </c>
      <c r="H40" s="75">
        <f>F40+'16'!H40</f>
        <v>6</v>
      </c>
      <c r="I40" s="195">
        <f>Production2!BR19</f>
        <v>189.35000000000002</v>
      </c>
      <c r="J40" s="195">
        <f>Production2!AL19</f>
        <v>0</v>
      </c>
      <c r="K40" s="74">
        <f>J40+'16'!K40</f>
        <v>65</v>
      </c>
      <c r="L40" s="74">
        <f>J40+'16'!L40</f>
        <v>365</v>
      </c>
      <c r="M40" s="195">
        <f>Production2!BT19</f>
        <v>120</v>
      </c>
      <c r="N40" s="74">
        <f>M40+'16'!N40</f>
        <v>1238</v>
      </c>
      <c r="O40" s="74">
        <f>M40+'16'!O40</f>
        <v>4270.5</v>
      </c>
      <c r="P40" s="74">
        <f>I40+J40+J46-M40-F62</f>
        <v>69.350000000000023</v>
      </c>
      <c r="Q40" s="96" t="e">
        <f t="shared" si="6"/>
        <v>#DIV/0!</v>
      </c>
      <c r="R40" s="94"/>
      <c r="S40" s="94"/>
    </row>
    <row r="41" spans="2:21">
      <c r="B41" s="564"/>
      <c r="C41" s="477"/>
      <c r="D41" s="80" t="s">
        <v>288</v>
      </c>
      <c r="E41" s="97">
        <v>78</v>
      </c>
      <c r="F41" s="84">
        <f>Production2!AN19</f>
        <v>6</v>
      </c>
      <c r="G41" s="75">
        <f>F41+'16'!G41</f>
        <v>39.5</v>
      </c>
      <c r="H41" s="75">
        <f>F41+'16'!H41</f>
        <v>165.67</v>
      </c>
      <c r="I41" s="195">
        <f>Production2!BV19</f>
        <v>179.12000000000018</v>
      </c>
      <c r="J41" s="195">
        <f>Production2!AO19</f>
        <v>420</v>
      </c>
      <c r="K41" s="74">
        <f>J41+'16'!K41</f>
        <v>2720</v>
      </c>
      <c r="L41" s="74">
        <f>J41+'16'!L41</f>
        <v>10898</v>
      </c>
      <c r="M41" s="77">
        <f>Production2!BX19</f>
        <v>271.04000000000002</v>
      </c>
      <c r="N41" s="74">
        <f>M41+'16'!N41</f>
        <v>3865.3199999999993</v>
      </c>
      <c r="O41" s="74">
        <f>M41+'16'!O41</f>
        <v>17860.63</v>
      </c>
      <c r="P41" s="74">
        <f>I41+J41+J47-M41</f>
        <v>328.0800000000001</v>
      </c>
      <c r="Q41" s="96">
        <f t="shared" si="6"/>
        <v>70</v>
      </c>
      <c r="R41" s="94"/>
      <c r="S41" s="94"/>
      <c r="T41" s="176"/>
      <c r="U41" s="176"/>
    </row>
    <row r="42" spans="2:21" ht="15.75" thickBot="1">
      <c r="B42" s="565"/>
      <c r="C42" s="478"/>
      <c r="D42" s="120" t="s">
        <v>162</v>
      </c>
      <c r="E42" s="121">
        <v>70</v>
      </c>
      <c r="F42" s="132">
        <f>F37+F38+F39+F40+F41</f>
        <v>23.65</v>
      </c>
      <c r="G42" s="132">
        <f t="shared" ref="G42:H42" si="7">G37+G38+G39+G40+G41</f>
        <v>361.15</v>
      </c>
      <c r="H42" s="132">
        <f t="shared" si="7"/>
        <v>1030.49</v>
      </c>
      <c r="I42" s="122">
        <f>SUM(I37:I40)+I41</f>
        <v>1589.9879999999787</v>
      </c>
      <c r="J42" s="122">
        <f t="shared" ref="J42:P42" si="8">SUM(J37:J40)+J41</f>
        <v>1560</v>
      </c>
      <c r="K42" s="122">
        <f t="shared" si="8"/>
        <v>23914</v>
      </c>
      <c r="L42" s="122">
        <f t="shared" si="8"/>
        <v>66356</v>
      </c>
      <c r="M42" s="122">
        <f t="shared" si="8"/>
        <v>2542.8000000000002</v>
      </c>
      <c r="N42" s="122">
        <f t="shared" si="8"/>
        <v>42835.68</v>
      </c>
      <c r="O42" s="122">
        <f t="shared" si="8"/>
        <v>145644.16999999998</v>
      </c>
      <c r="P42" s="122">
        <f t="shared" si="8"/>
        <v>1862.187999999979</v>
      </c>
      <c r="Q42" s="123">
        <f t="shared" si="6"/>
        <v>65.961945031712474</v>
      </c>
      <c r="R42" s="94"/>
      <c r="S42" s="94"/>
    </row>
    <row r="43" spans="2:21">
      <c r="B43" s="569">
        <v>7</v>
      </c>
      <c r="C43" s="476" t="s">
        <v>289</v>
      </c>
      <c r="D43" s="80" t="s">
        <v>285</v>
      </c>
      <c r="E43" s="97">
        <v>75</v>
      </c>
      <c r="F43" s="78">
        <f>Production2!AT19</f>
        <v>6</v>
      </c>
      <c r="G43" s="75">
        <f>F43+'16'!G43</f>
        <v>10.5</v>
      </c>
      <c r="H43" s="75">
        <f>F43+'16'!H43</f>
        <v>55.929999999999993</v>
      </c>
      <c r="I43" s="471"/>
      <c r="J43" s="77">
        <f>Production2!AU19</f>
        <v>372</v>
      </c>
      <c r="K43" s="74">
        <f>J43+'16'!K43</f>
        <v>652</v>
      </c>
      <c r="L43" s="74">
        <f>J43+'16'!L43</f>
        <v>3402</v>
      </c>
      <c r="M43" s="542"/>
      <c r="N43" s="543"/>
      <c r="O43" s="543"/>
      <c r="P43" s="544"/>
      <c r="Q43" s="96">
        <f t="shared" si="6"/>
        <v>62</v>
      </c>
      <c r="R43" s="94"/>
      <c r="S43" s="94"/>
    </row>
    <row r="44" spans="2:21">
      <c r="B44" s="564"/>
      <c r="C44" s="477"/>
      <c r="D44" s="80" t="s">
        <v>286</v>
      </c>
      <c r="E44" s="97">
        <v>70</v>
      </c>
      <c r="F44" s="78">
        <f>Production2!AQ19</f>
        <v>15.95</v>
      </c>
      <c r="G44" s="75">
        <f>F44+'16'!G44</f>
        <v>254.52999999999997</v>
      </c>
      <c r="H44" s="75">
        <f>F44+'16'!H44</f>
        <v>1104.94</v>
      </c>
      <c r="I44" s="472"/>
      <c r="J44" s="77">
        <f>Production2!AR19</f>
        <v>883</v>
      </c>
      <c r="K44" s="74">
        <f>J44+'16'!K44</f>
        <v>15021</v>
      </c>
      <c r="L44" s="74">
        <f>J44+'16'!L44</f>
        <v>64982</v>
      </c>
      <c r="M44" s="545"/>
      <c r="N44" s="546"/>
      <c r="O44" s="546"/>
      <c r="P44" s="547"/>
      <c r="Q44" s="96">
        <f t="shared" si="6"/>
        <v>55.360501567398124</v>
      </c>
      <c r="R44" s="94"/>
      <c r="S44" s="94"/>
    </row>
    <row r="45" spans="2:21">
      <c r="B45" s="564"/>
      <c r="C45" s="477"/>
      <c r="D45" s="80" t="s">
        <v>287</v>
      </c>
      <c r="E45" s="97">
        <v>70</v>
      </c>
      <c r="F45" s="78">
        <f>Production2!AW19</f>
        <v>0</v>
      </c>
      <c r="G45" s="75">
        <f>F45+'16'!G45</f>
        <v>0</v>
      </c>
      <c r="H45" s="75">
        <f>F45+'16'!H45</f>
        <v>0</v>
      </c>
      <c r="I45" s="472"/>
      <c r="J45" s="77">
        <f>Production2!AX19</f>
        <v>0</v>
      </c>
      <c r="K45" s="74">
        <f>J45+'16'!K45</f>
        <v>0</v>
      </c>
      <c r="L45" s="74">
        <f>J45+'16'!L45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21">
      <c r="B46" s="564"/>
      <c r="C46" s="477"/>
      <c r="D46" s="194" t="s">
        <v>187</v>
      </c>
      <c r="E46" s="97">
        <v>60</v>
      </c>
      <c r="F46" s="84">
        <f>Production2!AZ19</f>
        <v>0</v>
      </c>
      <c r="G46" s="75">
        <f>F46+'16'!G46</f>
        <v>19.77</v>
      </c>
      <c r="H46" s="75">
        <f>F46+'16'!H46</f>
        <v>67.649999999999991</v>
      </c>
      <c r="I46" s="472"/>
      <c r="J46" s="195">
        <f>Production2!BA19</f>
        <v>0</v>
      </c>
      <c r="K46" s="74">
        <f>J46+'16'!K46</f>
        <v>1115</v>
      </c>
      <c r="L46" s="74">
        <f>J46+'16'!L46</f>
        <v>3762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21">
      <c r="B47" s="564"/>
      <c r="C47" s="477"/>
      <c r="D47" s="80" t="s">
        <v>288</v>
      </c>
      <c r="E47" s="97">
        <v>70</v>
      </c>
      <c r="F47" s="84">
        <f>Production2!BC19</f>
        <v>0</v>
      </c>
      <c r="G47" s="75">
        <f>F47+'16'!G47</f>
        <v>5</v>
      </c>
      <c r="H47" s="75">
        <f>F47+'16'!H47</f>
        <v>113.67</v>
      </c>
      <c r="I47" s="473"/>
      <c r="J47" s="195">
        <f>Production2!BD19</f>
        <v>0</v>
      </c>
      <c r="K47" s="74">
        <f>J47+'16'!K47</f>
        <v>306</v>
      </c>
      <c r="L47" s="74">
        <f>J47+'16'!L47</f>
        <v>6921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21" ht="15.75" thickBot="1">
      <c r="B48" s="565"/>
      <c r="C48" s="478"/>
      <c r="D48" s="120" t="s">
        <v>162</v>
      </c>
      <c r="E48" s="121">
        <v>70</v>
      </c>
      <c r="F48" s="132">
        <f>F43+F44+F45+F46+F47</f>
        <v>21.95</v>
      </c>
      <c r="G48" s="132">
        <f t="shared" ref="G48:H48" si="9">G43+G44+G45+G46+G47</f>
        <v>289.79999999999995</v>
      </c>
      <c r="H48" s="132">
        <f t="shared" si="9"/>
        <v>1342.1900000000003</v>
      </c>
      <c r="I48" s="122">
        <f t="shared" ref="I48" si="10">I43+I44+I45+I46</f>
        <v>0</v>
      </c>
      <c r="J48" s="122">
        <f>J43+J44+J45+J46+J47</f>
        <v>1255</v>
      </c>
      <c r="K48" s="122">
        <f t="shared" ref="K48:L48" si="11">K43+K44+K45+K46+K47</f>
        <v>17094</v>
      </c>
      <c r="L48" s="122">
        <f t="shared" si="11"/>
        <v>79067</v>
      </c>
      <c r="M48" s="574"/>
      <c r="N48" s="575"/>
      <c r="O48" s="575"/>
      <c r="P48" s="576"/>
      <c r="Q48" s="123">
        <f t="shared" si="6"/>
        <v>57.175398633257402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0.70799613172494524</v>
      </c>
      <c r="F52" s="99">
        <f>F55/(J33+J34)</f>
        <v>26.126660121881194</v>
      </c>
      <c r="G52" s="99">
        <v>0</v>
      </c>
      <c r="H52" s="99">
        <f>H55/J36</f>
        <v>37.793684210526315</v>
      </c>
      <c r="I52" s="99">
        <f>I55/J35</f>
        <v>61.063636363636363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15.578947368421053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0.85804162771156511</v>
      </c>
      <c r="F53" s="102">
        <f>F52*1.55</f>
        <v>40.496323188915852</v>
      </c>
      <c r="G53" s="102">
        <f>G52*1.55</f>
        <v>0</v>
      </c>
      <c r="H53" s="102">
        <f>H52</f>
        <v>37.793684210526315</v>
      </c>
      <c r="I53" s="102">
        <f>I52*(Q52/100)</f>
        <v>9.5130717703349283</v>
      </c>
      <c r="J53" s="102"/>
      <c r="K53" s="102"/>
      <c r="L53" s="102"/>
      <c r="M53" s="96"/>
      <c r="N53" s="306">
        <f>SUM(E53:I53)</f>
        <v>88.661120797488664</v>
      </c>
      <c r="O53" s="516" t="s">
        <v>298</v>
      </c>
      <c r="P53" s="516"/>
      <c r="Q53" s="104">
        <v>5416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0.66134434786132812</v>
      </c>
      <c r="F54" s="102">
        <f>F53*M20/100</f>
        <v>31.212954692634142</v>
      </c>
      <c r="G54" s="102">
        <f>G53*M20/100</f>
        <v>0</v>
      </c>
      <c r="H54" s="102">
        <f>H53*M20/100</f>
        <v>29.129868097599537</v>
      </c>
      <c r="I54" s="102">
        <f>I53*M20/100</f>
        <v>7.3322972253568262</v>
      </c>
      <c r="J54" s="99">
        <f>J55/(J42+J48)</f>
        <v>39.092007104795734</v>
      </c>
      <c r="K54" s="99">
        <f>K55/(J48+J42)</f>
        <v>0.67033747779751329</v>
      </c>
      <c r="L54" s="99">
        <f>L55/(M42)</f>
        <v>2.3037596350479785</v>
      </c>
      <c r="M54" s="96">
        <f>M55/(J48+J42)</f>
        <v>1.4401420959147424</v>
      </c>
      <c r="N54" s="306">
        <f>SUM(E54:M54)</f>
        <v>111.84271067700782</v>
      </c>
      <c r="O54" s="516" t="s">
        <v>300</v>
      </c>
      <c r="P54" s="516"/>
      <c r="Q54" s="104">
        <f>Q53*Q52/100</f>
        <v>843.75578947368422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unit'!B19</f>
        <v>1391</v>
      </c>
      <c r="F55" s="118">
        <f>'Daily unit'!C19</f>
        <v>42315</v>
      </c>
      <c r="G55" s="118">
        <f>'Daily unit'!D19</f>
        <v>0</v>
      </c>
      <c r="H55" s="118">
        <f>'Daily unit'!E19</f>
        <v>53856</v>
      </c>
      <c r="I55" s="118">
        <f>'Daily unit'!F19</f>
        <v>13434</v>
      </c>
      <c r="J55" s="118">
        <f>'Daily unit'!G19</f>
        <v>110044</v>
      </c>
      <c r="K55" s="118">
        <f>'Daily unit'!H19</f>
        <v>1887</v>
      </c>
      <c r="L55" s="118">
        <f>'Daily unit'!I19</f>
        <v>5858</v>
      </c>
      <c r="M55" s="119">
        <f>'Daily unit'!J19</f>
        <v>4054</v>
      </c>
      <c r="N55" s="317">
        <f>SUM(E55:M55)</f>
        <v>232839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30"/>
      <c r="D57" s="630"/>
      <c r="E57" s="630"/>
      <c r="F57" s="630"/>
      <c r="G57" s="630"/>
      <c r="H57" s="703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 thickBot="1">
      <c r="B58" s="227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224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81">
        <v>1</v>
      </c>
      <c r="C59" s="526" t="s">
        <v>306</v>
      </c>
      <c r="D59" s="526"/>
      <c r="E59" s="80">
        <v>42.5</v>
      </c>
      <c r="F59" s="53">
        <f>'Internal use cement'!F19</f>
        <v>0</v>
      </c>
      <c r="G59" s="53">
        <f>F59+'16'!G59</f>
        <v>0</v>
      </c>
      <c r="H59" s="104">
        <f>F59+'16'!H59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675"/>
      <c r="C60" s="526"/>
      <c r="D60" s="526"/>
      <c r="E60" s="80" t="s">
        <v>211</v>
      </c>
      <c r="F60" s="53">
        <f>'Internal use cement'!Q19</f>
        <v>0</v>
      </c>
      <c r="G60" s="53">
        <f>F60+'16'!G60</f>
        <v>0</v>
      </c>
      <c r="H60" s="104">
        <f>F60+'16'!H60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675"/>
      <c r="C61" s="526"/>
      <c r="D61" s="526"/>
      <c r="E61" s="80">
        <v>32.5</v>
      </c>
      <c r="F61" s="53">
        <f>'Internal use cement'!AB19</f>
        <v>0</v>
      </c>
      <c r="G61" s="53">
        <f>F61+'16'!G61</f>
        <v>0</v>
      </c>
      <c r="H61" s="104">
        <f>F61+'16'!H61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479"/>
      <c r="C62" s="689"/>
      <c r="D62" s="689"/>
      <c r="E62" s="112" t="s">
        <v>187</v>
      </c>
      <c r="F62" s="113">
        <f>'Internal use cement'!AJ19</f>
        <v>0</v>
      </c>
      <c r="G62" s="53">
        <f>F62+'16'!G62</f>
        <v>0.35</v>
      </c>
      <c r="H62" s="104">
        <f>F62+'16'!H62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4">
    <mergeCell ref="I33:I34"/>
    <mergeCell ref="M33:M34"/>
    <mergeCell ref="N33:N34"/>
    <mergeCell ref="O33:O34"/>
    <mergeCell ref="P33:P34"/>
    <mergeCell ref="B43:B48"/>
    <mergeCell ref="C43:C48"/>
    <mergeCell ref="M48:P48"/>
    <mergeCell ref="M43:P47"/>
    <mergeCell ref="I43:I47"/>
    <mergeCell ref="B16:B18"/>
    <mergeCell ref="C16:C18"/>
    <mergeCell ref="C8:Q8"/>
    <mergeCell ref="C11:D11"/>
    <mergeCell ref="C12:D12"/>
    <mergeCell ref="C15:D15"/>
    <mergeCell ref="P15:Q15"/>
    <mergeCell ref="O9:O18"/>
    <mergeCell ref="C10:D10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M20:M21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C32:D32"/>
    <mergeCell ref="C33:D33"/>
    <mergeCell ref="C35:D35"/>
    <mergeCell ref="C36:D36"/>
    <mergeCell ref="B37:B42"/>
    <mergeCell ref="C37:C42"/>
    <mergeCell ref="C34:D34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B50:N50"/>
    <mergeCell ref="O50:Q50"/>
    <mergeCell ref="B57:H57"/>
    <mergeCell ref="C58:E58"/>
    <mergeCell ref="C59:D62"/>
    <mergeCell ref="B59:B62"/>
    <mergeCell ref="I57:Q62"/>
  </mergeCells>
  <pageMargins left="0" right="0" top="0.75" bottom="0.75" header="0.3" footer="0.3"/>
  <pageSetup paperSize="9" scale="53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2:U156"/>
  <sheetViews>
    <sheetView zoomScale="90" zoomScaleNormal="90" workbookViewId="0">
      <pane xSplit="4" ySplit="1" topLeftCell="E53" activePane="bottomRight" state="frozen"/>
      <selection pane="bottomRight" activeCell="A63" sqref="A63:XFD63"/>
      <selection pane="bottomLeft" activeCell="B27" sqref="B27:Q27"/>
      <selection pane="topRight" activeCell="B27" sqref="B27:Q27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>
        <v>46191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'17'!L9</f>
        <v>20109.373043610078</v>
      </c>
      <c r="F9" s="74">
        <f>Production2!D20</f>
        <v>2656.34</v>
      </c>
      <c r="G9" s="74">
        <f>F9+'17'!G9</f>
        <v>52899.280000000013</v>
      </c>
      <c r="H9" s="74">
        <f>F9+'17'!H9</f>
        <v>209766.56000000008</v>
      </c>
      <c r="I9" s="74">
        <f>Production2!E20</f>
        <v>2148</v>
      </c>
      <c r="J9" s="74">
        <f>I9+'17'!J9</f>
        <v>44027</v>
      </c>
      <c r="K9" s="74">
        <f>I9+'17'!K9</f>
        <v>184058</v>
      </c>
      <c r="L9" s="74">
        <f>E9+F9-I9-I23</f>
        <v>20132.179710276745</v>
      </c>
      <c r="M9" s="75">
        <f>I9</f>
        <v>2148</v>
      </c>
      <c r="N9" s="75">
        <f>(I9/I15)*100</f>
        <v>93.027284538761364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(2)'!L20</f>
        <v>3265.3</v>
      </c>
      <c r="F10" s="77">
        <f>'Mines (2)'!M20</f>
        <v>113.7</v>
      </c>
      <c r="G10" s="74">
        <f>F10+'17'!G10</f>
        <v>1287.5600000000002</v>
      </c>
      <c r="H10" s="74">
        <f>F10+'17'!H10</f>
        <v>6556.9600000000009</v>
      </c>
      <c r="I10" s="77">
        <f>'Mines (2)'!N20</f>
        <v>73</v>
      </c>
      <c r="J10" s="74">
        <f>I10+'17'!J10</f>
        <v>893</v>
      </c>
      <c r="K10" s="74">
        <f>I10+'17'!K10</f>
        <v>3375</v>
      </c>
      <c r="L10" s="77">
        <f t="shared" ref="L10:L18" si="0">E10+F10-I10</f>
        <v>3306</v>
      </c>
      <c r="M10" s="75">
        <f t="shared" ref="M10:M12" si="1">I10</f>
        <v>73</v>
      </c>
      <c r="N10" s="75">
        <f>(I10/I15)*100</f>
        <v>3.161541792983976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Clinker!C20</f>
        <v>1558.92</v>
      </c>
      <c r="F11" s="77">
        <f>Clinker!D20</f>
        <v>0</v>
      </c>
      <c r="G11" s="74">
        <f>F11+'17'!G11</f>
        <v>0</v>
      </c>
      <c r="H11" s="74">
        <f>F11+'17'!H11</f>
        <v>417.28000000000003</v>
      </c>
      <c r="I11" s="77">
        <f>Clinker!E20</f>
        <v>88</v>
      </c>
      <c r="J11" s="74">
        <f>I11+'17'!J11</f>
        <v>1177</v>
      </c>
      <c r="K11" s="74">
        <f>I11+'17'!K11</f>
        <v>4312</v>
      </c>
      <c r="L11" s="77">
        <f t="shared" si="0"/>
        <v>1470.92</v>
      </c>
      <c r="M11" s="75">
        <f t="shared" si="1"/>
        <v>88</v>
      </c>
      <c r="N11" s="75">
        <f>(I11/I15)*100</f>
        <v>3.8111736682546553</v>
      </c>
      <c r="O11" s="515"/>
      <c r="P11" s="53">
        <v>7</v>
      </c>
      <c r="Q11" s="262">
        <f>'Raw mill moisture content'!N35</f>
        <v>6.9999999999999854E-2</v>
      </c>
      <c r="S11" s="236"/>
    </row>
    <row r="12" spans="2:21" ht="13.9" customHeight="1">
      <c r="B12" s="79">
        <v>4</v>
      </c>
      <c r="C12" s="516" t="s">
        <v>264</v>
      </c>
      <c r="D12" s="516"/>
      <c r="E12" s="77">
        <f>'Mines (2)'!Q20</f>
        <v>3.999999999996362E-2</v>
      </c>
      <c r="F12" s="77">
        <f>'Mines (2)'!R20</f>
        <v>0</v>
      </c>
      <c r="G12" s="74">
        <f>F12+'17'!G12</f>
        <v>0</v>
      </c>
      <c r="H12" s="74">
        <f>F12+'17'!H12</f>
        <v>137.76</v>
      </c>
      <c r="I12" s="77">
        <f>'Mines (2)'!S20</f>
        <v>0</v>
      </c>
      <c r="J12" s="74">
        <f>I12+'17'!J12</f>
        <v>0</v>
      </c>
      <c r="K12" s="74">
        <f>I12+'17'!K12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24933.633043610076</v>
      </c>
      <c r="F15" s="127">
        <f t="shared" si="2"/>
        <v>2770.04</v>
      </c>
      <c r="G15" s="127">
        <f t="shared" si="2"/>
        <v>54186.840000000011</v>
      </c>
      <c r="H15" s="127">
        <f t="shared" si="2"/>
        <v>216878.56000000008</v>
      </c>
      <c r="I15" s="127">
        <f>SUM(I9:I12)</f>
        <v>2309</v>
      </c>
      <c r="J15" s="127">
        <f t="shared" si="2"/>
        <v>46097</v>
      </c>
      <c r="K15" s="127">
        <f t="shared" si="2"/>
        <v>192483</v>
      </c>
      <c r="L15" s="127">
        <f t="shared" si="0"/>
        <v>25394.673043610077</v>
      </c>
      <c r="M15" s="128">
        <f>SUM(M9:M12)</f>
        <v>2309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Clinker!EB20</f>
        <v>2741.8269999999907</v>
      </c>
      <c r="F16" s="77">
        <f>Clinker!EC20</f>
        <v>186.46</v>
      </c>
      <c r="G16" s="77">
        <f>F16+'17'!G16</f>
        <v>2691.9800000000005</v>
      </c>
      <c r="H16" s="77">
        <f>F16+'17'!H16</f>
        <v>3497.2200000000003</v>
      </c>
      <c r="I16" s="77">
        <f>Clinker!ED20</f>
        <v>237.78</v>
      </c>
      <c r="J16" s="77">
        <f>I16+'17'!J16</f>
        <v>4629.5499999999993</v>
      </c>
      <c r="K16" s="77">
        <f>I16+'17'!K16</f>
        <v>19346.86</v>
      </c>
      <c r="L16" s="77">
        <f>E16+F16-Clinker!N20-Clinker!Z20-Clinker!AS20-Clinker!AX20-Clinker!BC20-Clinker!BW20-Clinker!BH20-Clinker!BM20-Clinker!BR20-Clinker!CV20-Clinker!DP20</f>
        <v>2928.2869999999907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Clinker!EF20</f>
        <v>4228.0699999999933</v>
      </c>
      <c r="F17" s="77">
        <f>Clinker!EG20</f>
        <v>251.7</v>
      </c>
      <c r="G17" s="77">
        <f>F17+'17'!G17</f>
        <v>2833.05</v>
      </c>
      <c r="H17" s="77">
        <f>F17+'17'!H17</f>
        <v>4973.9999999999991</v>
      </c>
      <c r="I17" s="77">
        <f>Clinker!EH20</f>
        <v>164</v>
      </c>
      <c r="J17" s="77">
        <f>I17+'17'!J17</f>
        <v>2566</v>
      </c>
      <c r="K17" s="77">
        <f>I17+'17'!K17</f>
        <v>10738</v>
      </c>
      <c r="L17" s="77">
        <f>E17+F17-I16-Clinker!AE20-Clinker!AJ20-Clinker!CG20-Clinker!CQ20-Clinker!CG20</f>
        <v>4077.9899999999934</v>
      </c>
      <c r="M17" s="81"/>
      <c r="N17" s="81"/>
      <c r="O17" s="515"/>
      <c r="P17" s="53"/>
      <c r="Q17" s="82"/>
      <c r="R17" s="83"/>
      <c r="S17" s="234"/>
    </row>
    <row r="18" spans="2:19">
      <c r="B18" s="512"/>
      <c r="C18" s="476"/>
      <c r="D18" s="124" t="s">
        <v>162</v>
      </c>
      <c r="E18" s="125">
        <f>E16+E17</f>
        <v>6969.8969999999845</v>
      </c>
      <c r="F18" s="125">
        <f>F16+F17</f>
        <v>438.15999999999997</v>
      </c>
      <c r="G18" s="125">
        <f t="shared" ref="G18:K18" si="3">G16+G17</f>
        <v>5525.0300000000007</v>
      </c>
      <c r="H18" s="125">
        <f t="shared" si="3"/>
        <v>8471.2199999999993</v>
      </c>
      <c r="I18" s="125">
        <f>I16+I17</f>
        <v>401.78</v>
      </c>
      <c r="J18" s="125">
        <f>J16+J17</f>
        <v>7195.5499999999993</v>
      </c>
      <c r="K18" s="125">
        <f t="shared" si="3"/>
        <v>30084.86</v>
      </c>
      <c r="L18" s="125">
        <f t="shared" si="0"/>
        <v>7006.2769999999846</v>
      </c>
      <c r="M18" s="126"/>
      <c r="N18" s="126"/>
      <c r="O18" s="515"/>
      <c r="P18" s="53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190"/>
    </row>
    <row r="20" spans="2:19">
      <c r="B20" s="512">
        <v>7</v>
      </c>
      <c r="C20" s="477" t="s">
        <v>268</v>
      </c>
      <c r="D20" s="85" t="s">
        <v>269</v>
      </c>
      <c r="E20" s="74">
        <f>Clinker!EJ20</f>
        <v>22320.960569674768</v>
      </c>
      <c r="F20" s="74">
        <f>Clinker!EK20</f>
        <v>1350</v>
      </c>
      <c r="G20" s="74">
        <f>F20+'17'!G20</f>
        <v>26912</v>
      </c>
      <c r="H20" s="74">
        <f>F20+'17'!H20</f>
        <v>112438</v>
      </c>
      <c r="I20" s="74">
        <f>Clinker!EL20</f>
        <v>1172.3580000000015</v>
      </c>
      <c r="J20" s="74">
        <f>I20+'17'!J20</f>
        <v>30359.206516086917</v>
      </c>
      <c r="K20" s="74">
        <f>I20+'17'!K20</f>
        <v>93220.937529951945</v>
      </c>
      <c r="L20" s="74">
        <f>E20+F20-I20-I22</f>
        <v>22498.602569674767</v>
      </c>
      <c r="M20" s="641">
        <f>((I20+I21)/(J42+J48))*100</f>
        <v>79.450177935943117</v>
      </c>
      <c r="N20" s="525"/>
      <c r="O20" s="527"/>
      <c r="P20" s="535"/>
      <c r="Q20" s="536"/>
      <c r="R20" s="190"/>
      <c r="S20" s="235"/>
    </row>
    <row r="21" spans="2:19" ht="45">
      <c r="B21" s="512"/>
      <c r="C21" s="477"/>
      <c r="D21" s="85" t="s">
        <v>70</v>
      </c>
      <c r="E21" s="74">
        <f>Clinker!EO20</f>
        <v>2492.518008000136</v>
      </c>
      <c r="F21" s="74">
        <f>Clinker!EP20</f>
        <v>0</v>
      </c>
      <c r="G21" s="74">
        <f>F21+'17'!G21</f>
        <v>0</v>
      </c>
      <c r="H21" s="74">
        <f>F21+'17'!H21</f>
        <v>13390.660000000003</v>
      </c>
      <c r="I21" s="74">
        <f>Clinker!EQ20</f>
        <v>1060.192</v>
      </c>
      <c r="J21" s="74">
        <f>I21+'17'!J21</f>
        <v>3873.7830000000004</v>
      </c>
      <c r="K21" s="74">
        <f>I21+'17'!K21</f>
        <v>20807.882999999998</v>
      </c>
      <c r="L21" s="74">
        <f>E21+F21-I21</f>
        <v>1432.326008000136</v>
      </c>
      <c r="M21" s="642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f>Clinker!EN20</f>
        <v>0</v>
      </c>
      <c r="G22" s="74">
        <f>F22+'17'!G22</f>
        <v>0</v>
      </c>
      <c r="H22" s="74">
        <f>F22+'17'!H22</f>
        <v>0</v>
      </c>
      <c r="I22" s="77">
        <f>Clinker!EN20</f>
        <v>0</v>
      </c>
      <c r="J22" s="74">
        <f>I22+'17'!J22</f>
        <v>0</v>
      </c>
      <c r="K22" s="74">
        <f>I22+'17'!K22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>
        <f>Cement!P20</f>
        <v>0</v>
      </c>
      <c r="F23" s="77">
        <f>Cement!Q20</f>
        <v>0</v>
      </c>
      <c r="G23" s="74">
        <f>F23+'17'!G23</f>
        <v>0</v>
      </c>
      <c r="H23" s="74">
        <f>F23+'17'!H23</f>
        <v>0</v>
      </c>
      <c r="I23" s="77">
        <f>Cement!S20</f>
        <v>485.53333333333171</v>
      </c>
      <c r="J23" s="74">
        <f>I23+'17'!J23</f>
        <v>8207.9005520544215</v>
      </c>
      <c r="K23" s="74">
        <f>I23+'17'!K23</f>
        <v>28681.251986907104</v>
      </c>
      <c r="L23" s="74"/>
      <c r="M23" s="78">
        <f>(I23/(J42+J48))*100</f>
        <v>17.278766310794722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Cement!C20</f>
        <v>2683.6762077720591</v>
      </c>
      <c r="F24" s="77">
        <f>Cement!D20</f>
        <v>208.08</v>
      </c>
      <c r="G24" s="74">
        <f>F24+'17'!G24</f>
        <v>849.7600000000001</v>
      </c>
      <c r="H24" s="74">
        <f>F24+'17'!H24</f>
        <v>2976.3799999999997</v>
      </c>
      <c r="I24" s="77">
        <f>Cement!F20</f>
        <v>147.86315789473684</v>
      </c>
      <c r="J24" s="74">
        <f>I24+'17'!J24</f>
        <v>2314.1974874473181</v>
      </c>
      <c r="K24" s="74">
        <f>I24+'17'!K24</f>
        <v>7677.8670092724615</v>
      </c>
      <c r="L24" s="74">
        <f t="shared" ref="L24:L26" si="4">E24+F24-I24</f>
        <v>2743.893049877322</v>
      </c>
      <c r="M24" s="78">
        <f>(I24/(J42+J48))*100</f>
        <v>5.2620340887806707</v>
      </c>
      <c r="N24" s="78"/>
      <c r="O24" s="527"/>
      <c r="P24" s="87">
        <v>5</v>
      </c>
      <c r="Q24" s="573"/>
      <c r="R24" s="20"/>
      <c r="S24" s="237"/>
    </row>
    <row r="25" spans="2:19">
      <c r="B25" s="512">
        <v>10</v>
      </c>
      <c r="C25" s="476" t="s">
        <v>272</v>
      </c>
      <c r="D25" s="76" t="s">
        <v>82</v>
      </c>
      <c r="E25" s="77">
        <f>Cement!H20</f>
        <v>0.23999999999796273</v>
      </c>
      <c r="F25" s="77">
        <f>Cement!I20</f>
        <v>0</v>
      </c>
      <c r="G25" s="74">
        <f>F25+'17'!G25</f>
        <v>0</v>
      </c>
      <c r="H25" s="74">
        <f>F25+'17'!H25</f>
        <v>0</v>
      </c>
      <c r="I25" s="77">
        <f>Cement!J20</f>
        <v>0</v>
      </c>
      <c r="J25" s="74">
        <f>I25+'17'!J25</f>
        <v>0</v>
      </c>
      <c r="K25" s="74">
        <f>I25+'17'!K25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Cement!L20</f>
        <v>0</v>
      </c>
      <c r="F26" s="77">
        <f>Cement!M20</f>
        <v>0</v>
      </c>
      <c r="G26" s="74">
        <f>F26+'17'!G26</f>
        <v>0</v>
      </c>
      <c r="H26" s="74">
        <f>F26+'17'!H26</f>
        <v>0</v>
      </c>
      <c r="I26" s="77">
        <f>Cement!N20</f>
        <v>0</v>
      </c>
      <c r="J26" s="74">
        <f>I26+'17'!J26</f>
        <v>0</v>
      </c>
      <c r="K26" s="74">
        <f>I26+'17'!K26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27497.394785446962</v>
      </c>
      <c r="F27" s="122">
        <f t="shared" ref="F27:L27" si="5">F20+F21+F23+F24+F25+F26</f>
        <v>1558.08</v>
      </c>
      <c r="G27" s="122">
        <f t="shared" si="5"/>
        <v>27761.759999999998</v>
      </c>
      <c r="H27" s="122">
        <f t="shared" si="5"/>
        <v>128805.04000000001</v>
      </c>
      <c r="I27" s="122">
        <f t="shared" si="5"/>
        <v>2865.94649122807</v>
      </c>
      <c r="J27" s="122">
        <f t="shared" si="5"/>
        <v>44755.08755558866</v>
      </c>
      <c r="K27" s="122">
        <f t="shared" si="5"/>
        <v>150387.93952613149</v>
      </c>
      <c r="L27" s="122">
        <f t="shared" si="5"/>
        <v>26675.061627552222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Production2!C20</f>
        <v>17.82</v>
      </c>
      <c r="G32" s="75">
        <f>F32+'17'!G32</f>
        <v>331.13000000000005</v>
      </c>
      <c r="H32" s="75">
        <f>F32+'17'!H32</f>
        <v>1300.26</v>
      </c>
      <c r="I32" s="74">
        <f>'Mines (2)'!C20+'Mines (2)'!H20+'Mines (2)'!V20+'Mines (2)'!Z20+'Mines (2)'!AD20</f>
        <v>20109.373043610074</v>
      </c>
      <c r="J32" s="74">
        <f>Production2!D20</f>
        <v>2656.34</v>
      </c>
      <c r="K32" s="74">
        <f>J32+'17'!K32</f>
        <v>52899.280000000013</v>
      </c>
      <c r="L32" s="74">
        <f>J32+'17'!L32</f>
        <v>209766.56000000008</v>
      </c>
      <c r="M32" s="74">
        <f>I9+I23</f>
        <v>2633.5333333333319</v>
      </c>
      <c r="N32" s="75">
        <f>M32+'17'!N32</f>
        <v>52234.900552054423</v>
      </c>
      <c r="O32" s="74">
        <f>M32+'17'!O32</f>
        <v>212739.2519869071</v>
      </c>
      <c r="P32" s="74">
        <f>I32+J32-M32</f>
        <v>20132.179710276741</v>
      </c>
      <c r="Q32" s="93">
        <f>J32/F32</f>
        <v>149.06509539842872</v>
      </c>
      <c r="R32" s="94"/>
      <c r="S32" s="94"/>
    </row>
    <row r="33" spans="2:21">
      <c r="B33" s="79">
        <v>2</v>
      </c>
      <c r="C33" s="501" t="s">
        <v>315</v>
      </c>
      <c r="D33" s="502"/>
      <c r="E33" s="95">
        <v>120</v>
      </c>
      <c r="F33" s="78">
        <f>Production2!G20</f>
        <v>19.100000000000001</v>
      </c>
      <c r="G33" s="75">
        <f>F33+'17'!G33</f>
        <v>332.76</v>
      </c>
      <c r="H33" s="75">
        <f>F33+'17'!H33</f>
        <v>1402.2999999999997</v>
      </c>
      <c r="I33" s="541">
        <f>Production2!H20</f>
        <v>1088.410016837518</v>
      </c>
      <c r="J33" s="77">
        <f>Production2!N20</f>
        <v>2080.7399999999998</v>
      </c>
      <c r="K33" s="74">
        <f>J33+'17'!K33</f>
        <v>39076.01</v>
      </c>
      <c r="L33" s="74">
        <f>J33+'17'!L33</f>
        <v>165361.59999999998</v>
      </c>
      <c r="M33" s="541">
        <f>Production2!K20</f>
        <v>2092.5</v>
      </c>
      <c r="N33" s="541">
        <f>M33+'17'!N33</f>
        <v>41713.600000000006</v>
      </c>
      <c r="O33" s="541">
        <f>M33+'17'!O33</f>
        <v>174278.9</v>
      </c>
      <c r="P33" s="541">
        <f>I33+J33+J34-M33</f>
        <v>1076.6500168375178</v>
      </c>
      <c r="Q33" s="96">
        <f t="shared" ref="Q33:Q48" si="6">J33/F33</f>
        <v>108.93926701570679</v>
      </c>
      <c r="R33" s="94"/>
      <c r="S33" s="94"/>
    </row>
    <row r="34" spans="2:21">
      <c r="B34" s="91">
        <v>3</v>
      </c>
      <c r="C34" s="501" t="s">
        <v>283</v>
      </c>
      <c r="D34" s="502"/>
      <c r="E34" s="95">
        <v>20</v>
      </c>
      <c r="F34" s="78">
        <f>Production2!P20</f>
        <v>0</v>
      </c>
      <c r="G34" s="75">
        <f>F34+'17'!G34</f>
        <v>269.88</v>
      </c>
      <c r="H34" s="75">
        <f>F34+'17'!H34</f>
        <v>885.55</v>
      </c>
      <c r="I34" s="473"/>
      <c r="J34" s="77">
        <f>Production2!Q20</f>
        <v>0</v>
      </c>
      <c r="K34" s="74">
        <f>J34+'17'!K34</f>
        <v>2446.6</v>
      </c>
      <c r="L34" s="74">
        <f>J34+'17'!L34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21">
      <c r="B35" s="79">
        <v>4</v>
      </c>
      <c r="C35" s="501" t="s">
        <v>157</v>
      </c>
      <c r="D35" s="502"/>
      <c r="E35" s="95">
        <v>10</v>
      </c>
      <c r="F35" s="78">
        <f>Production2!S20</f>
        <v>16.5</v>
      </c>
      <c r="G35" s="75">
        <f>F35+'17'!G35</f>
        <v>306.53999999999996</v>
      </c>
      <c r="H35" s="75">
        <f>F35+'17'!H35</f>
        <v>1259.8699999999999</v>
      </c>
      <c r="I35" s="77">
        <f>Production2!T20</f>
        <v>49.709999999999809</v>
      </c>
      <c r="J35" s="77">
        <f>Production2!U20</f>
        <v>214</v>
      </c>
      <c r="K35" s="74">
        <f>J35+'17'!K35</f>
        <v>4166.6000000000004</v>
      </c>
      <c r="L35" s="74">
        <f>J35+'17'!L35</f>
        <v>17412.199999999997</v>
      </c>
      <c r="M35" s="77">
        <f>Production2!V20</f>
        <v>209</v>
      </c>
      <c r="N35" s="74">
        <f>M35+'17'!N35</f>
        <v>4154</v>
      </c>
      <c r="O35" s="74">
        <f>M35+'17'!O35</f>
        <v>17373</v>
      </c>
      <c r="P35" s="74">
        <f>I35+J35-M35</f>
        <v>54.709999999999809</v>
      </c>
      <c r="Q35" s="96">
        <f t="shared" si="6"/>
        <v>12.969696969696969</v>
      </c>
      <c r="R35" s="94"/>
      <c r="S35" s="94"/>
    </row>
    <row r="36" spans="2:21">
      <c r="B36" s="91">
        <v>5</v>
      </c>
      <c r="C36" s="501" t="s">
        <v>63</v>
      </c>
      <c r="D36" s="502"/>
      <c r="E36" s="95">
        <v>50</v>
      </c>
      <c r="F36" s="78">
        <f>Production2!Y20</f>
        <v>24</v>
      </c>
      <c r="G36" s="75">
        <f>F36+'17'!G36</f>
        <v>425.02000000000004</v>
      </c>
      <c r="H36" s="75">
        <f>F36+'17'!H36</f>
        <v>1739.83</v>
      </c>
      <c r="I36" s="77">
        <f>Clinker!EJ20</f>
        <v>22320.960569674768</v>
      </c>
      <c r="J36" s="77">
        <f>Clinker!EK20</f>
        <v>1350</v>
      </c>
      <c r="K36" s="74">
        <f>J36+'17'!K36</f>
        <v>26912</v>
      </c>
      <c r="L36" s="74">
        <f>J36+'17'!L36</f>
        <v>112438</v>
      </c>
      <c r="M36" s="77">
        <f>Clinker!EL20</f>
        <v>1172.3580000000015</v>
      </c>
      <c r="N36" s="74">
        <f>M36+'17'!N36</f>
        <v>30359.206516086917</v>
      </c>
      <c r="O36" s="74">
        <f>M36+'17'!O36</f>
        <v>93220.937529951945</v>
      </c>
      <c r="P36" s="74">
        <f>I36+J36-M36-I22</f>
        <v>22498.602569674767</v>
      </c>
      <c r="Q36" s="96">
        <f t="shared" si="6"/>
        <v>56.25</v>
      </c>
      <c r="R36" s="94"/>
      <c r="S36" s="94"/>
    </row>
    <row r="37" spans="2:21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Production2!AE20</f>
        <v>0</v>
      </c>
      <c r="G37" s="75">
        <f>F37+'17'!G37</f>
        <v>12</v>
      </c>
      <c r="H37" s="75">
        <f>F37+'17'!H37</f>
        <v>51.7</v>
      </c>
      <c r="I37" s="77">
        <f>Production2!BJ20</f>
        <v>276.29999999999995</v>
      </c>
      <c r="J37" s="77">
        <f>Production2!AF20</f>
        <v>0</v>
      </c>
      <c r="K37" s="74">
        <f>J37+'17'!K37</f>
        <v>837</v>
      </c>
      <c r="L37" s="74">
        <f>J37+'17'!L37</f>
        <v>3471</v>
      </c>
      <c r="M37" s="77">
        <f>Production2!BL20</f>
        <v>240</v>
      </c>
      <c r="N37" s="74">
        <f>M37+'17'!N37</f>
        <v>2031</v>
      </c>
      <c r="O37" s="74">
        <f>M37+'17'!O37</f>
        <v>7069</v>
      </c>
      <c r="P37" s="74">
        <f>I37+J37+J43-M37-F61</f>
        <v>222.29999999999995</v>
      </c>
      <c r="Q37" s="96" t="e">
        <f t="shared" si="6"/>
        <v>#DIV/0!</v>
      </c>
      <c r="R37" s="94"/>
      <c r="S37" s="94"/>
    </row>
    <row r="38" spans="2:21">
      <c r="B38" s="564"/>
      <c r="C38" s="477"/>
      <c r="D38" s="80" t="s">
        <v>286</v>
      </c>
      <c r="E38" s="97">
        <v>78</v>
      </c>
      <c r="F38" s="78">
        <f>Production2!AB20</f>
        <v>24</v>
      </c>
      <c r="G38" s="75">
        <f>F38+'17'!G38</f>
        <v>332.65</v>
      </c>
      <c r="H38" s="75">
        <f>F38+'17'!H38</f>
        <v>831.12</v>
      </c>
      <c r="I38" s="77">
        <f>Production2!BF20</f>
        <v>1188.3679999999779</v>
      </c>
      <c r="J38" s="77">
        <f>Production2!AC20</f>
        <v>1580</v>
      </c>
      <c r="K38" s="74">
        <f>J38+'17'!K38</f>
        <v>21872</v>
      </c>
      <c r="L38" s="74">
        <f>J38+'17'!L38</f>
        <v>53202</v>
      </c>
      <c r="M38" s="77">
        <f>Production2!BH20</f>
        <v>2360.75</v>
      </c>
      <c r="N38" s="74">
        <f>M38+'17'!N38</f>
        <v>38302.11</v>
      </c>
      <c r="O38" s="74">
        <f>M38+'17'!O38</f>
        <v>119044.93999999997</v>
      </c>
      <c r="P38" s="74">
        <f>I38+J38+J44-M38-F59</f>
        <v>1043.6179999999777</v>
      </c>
      <c r="Q38" s="96">
        <f t="shared" si="6"/>
        <v>65.833333333333329</v>
      </c>
      <c r="R38" s="94"/>
      <c r="S38" s="94"/>
    </row>
    <row r="39" spans="2:21">
      <c r="B39" s="564"/>
      <c r="C39" s="477"/>
      <c r="D39" s="80" t="s">
        <v>287</v>
      </c>
      <c r="E39" s="97">
        <v>78</v>
      </c>
      <c r="F39" s="78">
        <f>Production2!AH20</f>
        <v>0</v>
      </c>
      <c r="G39" s="75">
        <f>F39+'17'!G39</f>
        <v>0</v>
      </c>
      <c r="H39" s="75">
        <f>F39+'17'!H39</f>
        <v>0</v>
      </c>
      <c r="I39" s="77">
        <f>Production2!BN20</f>
        <v>9.0000000000849845E-2</v>
      </c>
      <c r="J39" s="77">
        <f>Production2!AI20</f>
        <v>0</v>
      </c>
      <c r="K39" s="74">
        <f>J39+'17'!K39</f>
        <v>0</v>
      </c>
      <c r="L39" s="74">
        <f>J39+'17'!L39</f>
        <v>0</v>
      </c>
      <c r="M39" s="77">
        <f>Production2!BP20</f>
        <v>0</v>
      </c>
      <c r="N39" s="74">
        <f>M39+'17'!N39</f>
        <v>0</v>
      </c>
      <c r="O39" s="74">
        <f>M39+'17'!O39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21">
      <c r="B40" s="564"/>
      <c r="C40" s="477"/>
      <c r="D40" s="194" t="s">
        <v>187</v>
      </c>
      <c r="E40" s="97">
        <v>65</v>
      </c>
      <c r="F40" s="84">
        <f>Production2!AK20</f>
        <v>0</v>
      </c>
      <c r="G40" s="75">
        <f>F40+'17'!G40</f>
        <v>1</v>
      </c>
      <c r="H40" s="75">
        <f>F40+'17'!H40</f>
        <v>6</v>
      </c>
      <c r="I40" s="195">
        <f>Production2!BR20</f>
        <v>69.350000000000023</v>
      </c>
      <c r="J40" s="195">
        <f>Production2!AL20</f>
        <v>0</v>
      </c>
      <c r="K40" s="74">
        <f>J40+'17'!K40</f>
        <v>65</v>
      </c>
      <c r="L40" s="74">
        <f>J40+'17'!L40</f>
        <v>365</v>
      </c>
      <c r="M40" s="195">
        <f>Production2!BT20</f>
        <v>123</v>
      </c>
      <c r="N40" s="74">
        <f>M40+'17'!N40</f>
        <v>1361</v>
      </c>
      <c r="O40" s="74">
        <f>M40+'17'!O40</f>
        <v>4393.5</v>
      </c>
      <c r="P40" s="74">
        <f>I40+J40+J46-M40-F62</f>
        <v>114.35000000000002</v>
      </c>
      <c r="Q40" s="96" t="e">
        <f t="shared" si="6"/>
        <v>#DIV/0!</v>
      </c>
      <c r="R40" s="94"/>
      <c r="S40" s="94"/>
    </row>
    <row r="41" spans="2:21">
      <c r="B41" s="564"/>
      <c r="C41" s="477"/>
      <c r="D41" s="80" t="s">
        <v>288</v>
      </c>
      <c r="E41" s="97">
        <v>78</v>
      </c>
      <c r="F41" s="84">
        <f>Production2!AN20</f>
        <v>0</v>
      </c>
      <c r="G41" s="75">
        <f>F41+'17'!G41</f>
        <v>39.5</v>
      </c>
      <c r="H41" s="75">
        <f>F41+'17'!H41</f>
        <v>165.67</v>
      </c>
      <c r="I41" s="195">
        <f>Production2!BV20</f>
        <v>328.0800000000001</v>
      </c>
      <c r="J41" s="195">
        <f>Production2!AO20</f>
        <v>0</v>
      </c>
      <c r="K41" s="74">
        <f>J41+'17'!K41</f>
        <v>2720</v>
      </c>
      <c r="L41" s="74">
        <f>J41+'17'!L41</f>
        <v>10898</v>
      </c>
      <c r="M41" s="77">
        <f>Production2!BX20</f>
        <v>338.48</v>
      </c>
      <c r="N41" s="74">
        <f>M41+'17'!N41</f>
        <v>4203.7999999999993</v>
      </c>
      <c r="O41" s="74">
        <f>M41+'17'!O41</f>
        <v>18199.11</v>
      </c>
      <c r="P41" s="74">
        <f>I41+J41+J47-M41</f>
        <v>229.60000000000014</v>
      </c>
      <c r="Q41" s="96" t="e">
        <f t="shared" si="6"/>
        <v>#DIV/0!</v>
      </c>
      <c r="R41" s="94"/>
      <c r="S41" s="94">
        <f>J42+J48</f>
        <v>2810</v>
      </c>
      <c r="T41" s="176">
        <f>K42+K48</f>
        <v>43818</v>
      </c>
      <c r="U41" s="176">
        <f>L42+L48</f>
        <v>148233</v>
      </c>
    </row>
    <row r="42" spans="2:21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7">G37+G38+G39+G40+G41</f>
        <v>385.15</v>
      </c>
      <c r="H42" s="132">
        <f t="shared" si="7"/>
        <v>1054.49</v>
      </c>
      <c r="I42" s="122">
        <f>I37+I38+I39+I40+I41</f>
        <v>1862.187999999979</v>
      </c>
      <c r="J42" s="122">
        <f t="shared" ref="J42:P42" si="8">J37+J38+J39+J40+J41</f>
        <v>1580</v>
      </c>
      <c r="K42" s="122">
        <f t="shared" si="8"/>
        <v>25494</v>
      </c>
      <c r="L42" s="122">
        <f t="shared" si="8"/>
        <v>67936</v>
      </c>
      <c r="M42" s="122">
        <f t="shared" si="8"/>
        <v>3062.23</v>
      </c>
      <c r="N42" s="122">
        <f t="shared" si="8"/>
        <v>45897.91</v>
      </c>
      <c r="O42" s="122">
        <f t="shared" si="8"/>
        <v>148706.39999999997</v>
      </c>
      <c r="P42" s="122">
        <f t="shared" si="8"/>
        <v>1609.9579999999785</v>
      </c>
      <c r="Q42" s="123">
        <f t="shared" si="6"/>
        <v>65.833333333333329</v>
      </c>
      <c r="R42" s="94"/>
      <c r="S42" s="94"/>
    </row>
    <row r="43" spans="2:21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Production2!AT20</f>
        <v>3</v>
      </c>
      <c r="G43" s="75">
        <f>F43+'17'!G43</f>
        <v>13.5</v>
      </c>
      <c r="H43" s="75">
        <f>F43+'17'!H43</f>
        <v>58.929999999999993</v>
      </c>
      <c r="I43" s="471"/>
      <c r="J43" s="77">
        <f>Production2!AU20</f>
        <v>186</v>
      </c>
      <c r="K43" s="74">
        <f>J43+'17'!K43</f>
        <v>838</v>
      </c>
      <c r="L43" s="74">
        <f>J43+'17'!L43</f>
        <v>3588</v>
      </c>
      <c r="M43" s="542"/>
      <c r="N43" s="543"/>
      <c r="O43" s="543"/>
      <c r="P43" s="544"/>
      <c r="Q43" s="96">
        <f t="shared" si="6"/>
        <v>62</v>
      </c>
      <c r="R43" s="94"/>
      <c r="S43" s="94"/>
    </row>
    <row r="44" spans="2:21">
      <c r="B44" s="564"/>
      <c r="C44" s="477"/>
      <c r="D44" s="80" t="s">
        <v>286</v>
      </c>
      <c r="E44" s="97">
        <v>70</v>
      </c>
      <c r="F44" s="78">
        <f>Production2!AQ20</f>
        <v>11.5</v>
      </c>
      <c r="G44" s="75">
        <f>F44+'17'!G44</f>
        <v>266.02999999999997</v>
      </c>
      <c r="H44" s="75">
        <f>F44+'17'!H44</f>
        <v>1116.44</v>
      </c>
      <c r="I44" s="472"/>
      <c r="J44" s="77">
        <f>Production2!AR20</f>
        <v>636</v>
      </c>
      <c r="K44" s="74">
        <f>J44+'17'!K44</f>
        <v>15657</v>
      </c>
      <c r="L44" s="74">
        <f>J44+'17'!L44</f>
        <v>65618</v>
      </c>
      <c r="M44" s="545"/>
      <c r="N44" s="546"/>
      <c r="O44" s="546"/>
      <c r="P44" s="547"/>
      <c r="Q44" s="96">
        <f t="shared" si="6"/>
        <v>55.304347826086953</v>
      </c>
      <c r="R44" s="94"/>
      <c r="S44" s="94"/>
    </row>
    <row r="45" spans="2:21">
      <c r="B45" s="564"/>
      <c r="C45" s="477"/>
      <c r="D45" s="80" t="s">
        <v>287</v>
      </c>
      <c r="E45" s="97">
        <v>70</v>
      </c>
      <c r="F45" s="78">
        <f>Production2!AW20</f>
        <v>0</v>
      </c>
      <c r="G45" s="75">
        <f>F45+'17'!G45</f>
        <v>0</v>
      </c>
      <c r="H45" s="75">
        <f>F45+'17'!H45</f>
        <v>0</v>
      </c>
      <c r="I45" s="472"/>
      <c r="J45" s="77">
        <f>Production2!AX20</f>
        <v>0</v>
      </c>
      <c r="K45" s="74">
        <f>J45+'17'!K45</f>
        <v>0</v>
      </c>
      <c r="L45" s="74">
        <f>J45+'17'!L45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21">
      <c r="B46" s="564"/>
      <c r="C46" s="477"/>
      <c r="D46" s="194" t="s">
        <v>187</v>
      </c>
      <c r="E46" s="97">
        <v>60</v>
      </c>
      <c r="F46" s="84">
        <f>Production2!AZ20</f>
        <v>3</v>
      </c>
      <c r="G46" s="75">
        <f>F46+'17'!G46</f>
        <v>22.77</v>
      </c>
      <c r="H46" s="75">
        <f>F46+'17'!H46</f>
        <v>70.649999999999991</v>
      </c>
      <c r="I46" s="473"/>
      <c r="J46" s="195">
        <f>Production2!BA20</f>
        <v>168</v>
      </c>
      <c r="K46" s="74">
        <f>J46+'17'!K46</f>
        <v>1283</v>
      </c>
      <c r="L46" s="74">
        <f>J46+'17'!L46</f>
        <v>3930</v>
      </c>
      <c r="M46" s="548"/>
      <c r="N46" s="549"/>
      <c r="O46" s="549"/>
      <c r="P46" s="550"/>
      <c r="Q46" s="96">
        <f t="shared" si="6"/>
        <v>56</v>
      </c>
      <c r="R46" s="94"/>
      <c r="S46" s="94"/>
    </row>
    <row r="47" spans="2:21">
      <c r="B47" s="564"/>
      <c r="C47" s="477"/>
      <c r="D47" s="80" t="s">
        <v>288</v>
      </c>
      <c r="E47" s="97">
        <v>70</v>
      </c>
      <c r="F47" s="84">
        <f>Production2!BC20</f>
        <v>4</v>
      </c>
      <c r="G47" s="75">
        <f>F47+'17'!G47</f>
        <v>9</v>
      </c>
      <c r="H47" s="75">
        <f>F47+'17'!H47</f>
        <v>117.67</v>
      </c>
      <c r="I47" s="425"/>
      <c r="J47" s="195">
        <f>Production2!BD20</f>
        <v>240</v>
      </c>
      <c r="K47" s="74">
        <f>J47+'17'!K47</f>
        <v>546</v>
      </c>
      <c r="L47" s="74">
        <f>J47+'17'!L47</f>
        <v>7161</v>
      </c>
      <c r="M47" s="426"/>
      <c r="N47" s="109"/>
      <c r="O47" s="109"/>
      <c r="P47" s="427"/>
      <c r="Q47" s="96">
        <f t="shared" si="6"/>
        <v>60</v>
      </c>
      <c r="R47" s="94"/>
      <c r="S47" s="94"/>
    </row>
    <row r="48" spans="2:21" ht="15.75" thickBot="1">
      <c r="B48" s="565"/>
      <c r="C48" s="478"/>
      <c r="D48" s="120" t="s">
        <v>162</v>
      </c>
      <c r="E48" s="121">
        <v>70</v>
      </c>
      <c r="F48" s="132">
        <f>F43+F44+F45+F46+F47</f>
        <v>21.5</v>
      </c>
      <c r="G48" s="132">
        <f t="shared" ref="G48:H48" si="9">G43+G44+G45+G46+G47</f>
        <v>311.29999999999995</v>
      </c>
      <c r="H48" s="132">
        <f t="shared" si="9"/>
        <v>1363.6900000000003</v>
      </c>
      <c r="I48" s="122">
        <f t="shared" ref="I48" si="10">I43+I44+I45+I46</f>
        <v>0</v>
      </c>
      <c r="J48" s="122">
        <f>J43+J44+J45+J46+J47</f>
        <v>1230</v>
      </c>
      <c r="K48" s="122">
        <f t="shared" ref="K48:L48" si="11">K43+K44+K45+K46+K47</f>
        <v>18324</v>
      </c>
      <c r="L48" s="122">
        <f t="shared" si="11"/>
        <v>80297</v>
      </c>
      <c r="M48" s="574"/>
      <c r="N48" s="575"/>
      <c r="O48" s="575"/>
      <c r="P48" s="576"/>
      <c r="Q48" s="123">
        <f t="shared" si="6"/>
        <v>57.209302325581397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0.52440576131067551</v>
      </c>
      <c r="F52" s="99">
        <f>F55/(J33+J34)</f>
        <v>25.198246777588746</v>
      </c>
      <c r="G52" s="99">
        <v>0</v>
      </c>
      <c r="H52" s="99">
        <f>H55/J36</f>
        <v>39.159999999999997</v>
      </c>
      <c r="I52" s="99">
        <f>I55/J35</f>
        <v>59.616822429906541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15.481481481481483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0.834387833552097</v>
      </c>
      <c r="F53" s="102">
        <f>F52*1.55</f>
        <v>39.057282505262556</v>
      </c>
      <c r="G53" s="102">
        <f>G52*1.55</f>
        <v>0</v>
      </c>
      <c r="H53" s="102">
        <f>H52</f>
        <v>39.159999999999997</v>
      </c>
      <c r="I53" s="102">
        <f>I52*(Q52/100)</f>
        <v>9.2295673243336793</v>
      </c>
      <c r="J53" s="102"/>
      <c r="K53" s="102"/>
      <c r="L53" s="102"/>
      <c r="M53" s="96"/>
      <c r="N53" s="306">
        <f>SUM(E53:I53)</f>
        <v>88.281237663148346</v>
      </c>
      <c r="O53" s="516" t="s">
        <v>298</v>
      </c>
      <c r="P53" s="516"/>
      <c r="Q53" s="104">
        <v>5435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0.66292261843300193</v>
      </c>
      <c r="F54" s="102">
        <f>F53*M20/100</f>
        <v>31.031080447375086</v>
      </c>
      <c r="G54" s="102">
        <f>G53*M20/100</f>
        <v>0</v>
      </c>
      <c r="H54" s="102">
        <f>H53*M20/100</f>
        <v>31.112689679715324</v>
      </c>
      <c r="I54" s="102">
        <f>I53*M20/100</f>
        <v>7.332907661900772</v>
      </c>
      <c r="J54" s="99">
        <f>J55/(J42+J48)</f>
        <v>39.969039145907473</v>
      </c>
      <c r="K54" s="99">
        <f>K55/(J48+J42)</f>
        <v>0.75053380782918144</v>
      </c>
      <c r="L54" s="99">
        <f>L55/(M42)</f>
        <v>2.1768449789859026</v>
      </c>
      <c r="M54" s="96">
        <f>M55/(J48+J42)</f>
        <v>1.6106761565836298</v>
      </c>
      <c r="N54" s="306">
        <f>SUM(E54:M54)</f>
        <v>114.64669449673038</v>
      </c>
      <c r="O54" s="516" t="s">
        <v>300</v>
      </c>
      <c r="P54" s="516"/>
      <c r="Q54" s="104">
        <f>Q53*Q52/100</f>
        <v>841.41851851851857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unit'!B20</f>
        <v>1393</v>
      </c>
      <c r="F55" s="118">
        <f>'Daily unit'!C20</f>
        <v>52431</v>
      </c>
      <c r="G55" s="118">
        <f>'Daily unit'!D20</f>
        <v>0</v>
      </c>
      <c r="H55" s="118">
        <f>'Daily unit'!E20</f>
        <v>52866</v>
      </c>
      <c r="I55" s="118">
        <f>'Daily unit'!F20</f>
        <v>12758</v>
      </c>
      <c r="J55" s="118">
        <f>'Daily unit'!G20</f>
        <v>112313</v>
      </c>
      <c r="K55" s="118">
        <f>'Daily unit'!H20</f>
        <v>2109</v>
      </c>
      <c r="L55" s="118">
        <f>'Daily unit'!I20</f>
        <v>6666</v>
      </c>
      <c r="M55" s="119">
        <f>'Daily unit'!J20</f>
        <v>4526</v>
      </c>
      <c r="N55" s="317">
        <f>SUM(E55:M55)</f>
        <v>245062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680" t="s">
        <v>302</v>
      </c>
      <c r="C57" s="580"/>
      <c r="D57" s="580"/>
      <c r="E57" s="580"/>
      <c r="F57" s="580"/>
      <c r="G57" s="580"/>
      <c r="H57" s="580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187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69">
        <v>1</v>
      </c>
      <c r="C59" s="660" t="s">
        <v>306</v>
      </c>
      <c r="D59" s="661"/>
      <c r="E59" s="80">
        <v>42.5</v>
      </c>
      <c r="F59" s="53">
        <f>'Internal use cement'!F20</f>
        <v>0</v>
      </c>
      <c r="G59" s="53">
        <f>F59+'17'!G59</f>
        <v>0</v>
      </c>
      <c r="H59" s="77">
        <f>F59+'17'!H59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64"/>
      <c r="C60" s="662"/>
      <c r="D60" s="663"/>
      <c r="E60" s="80" t="s">
        <v>211</v>
      </c>
      <c r="F60" s="53">
        <f>'Internal use cement'!Q20</f>
        <v>0</v>
      </c>
      <c r="G60" s="53">
        <f>F60+'17'!G60</f>
        <v>0</v>
      </c>
      <c r="H60" s="77">
        <f>F60+'17'!H60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.75" customHeight="1">
      <c r="B61" s="564"/>
      <c r="C61" s="662"/>
      <c r="D61" s="663"/>
      <c r="E61" s="80">
        <v>32.5</v>
      </c>
      <c r="F61" s="53">
        <f>'Internal use cement'!AB20</f>
        <v>0</v>
      </c>
      <c r="G61" s="53">
        <f>F61+'17'!G61</f>
        <v>0</v>
      </c>
      <c r="H61" s="77">
        <f>F61+'17'!H61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565"/>
      <c r="C62" s="664"/>
      <c r="D62" s="665"/>
      <c r="E62" s="112" t="s">
        <v>187</v>
      </c>
      <c r="F62" s="113">
        <f>'Internal use cement'!AJ20</f>
        <v>0</v>
      </c>
      <c r="G62" s="53">
        <f>F62+'17'!G62</f>
        <v>0.35</v>
      </c>
      <c r="H62" s="77">
        <f>F62+'17'!H62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94"/>
      <c r="S65" s="94"/>
    </row>
    <row r="66" spans="2:19">
      <c r="R66" s="94"/>
      <c r="S66" s="94"/>
    </row>
    <row r="67" spans="2:19">
      <c r="R67" s="109"/>
      <c r="S67" s="109"/>
    </row>
    <row r="68" spans="2:19">
      <c r="R68" s="94"/>
      <c r="S68" s="94"/>
    </row>
    <row r="69" spans="2:19">
      <c r="R69" s="117"/>
      <c r="S69" s="117"/>
    </row>
    <row r="70" spans="2:19">
      <c r="R70" s="117"/>
      <c r="S70" s="117"/>
    </row>
    <row r="71" spans="2:19">
      <c r="R71" s="117"/>
      <c r="S71" s="117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6">
    <mergeCell ref="B2:Q2"/>
    <mergeCell ref="B3:Q3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C54:D54"/>
    <mergeCell ref="O54:P54"/>
    <mergeCell ref="C55:D55"/>
    <mergeCell ref="C32:D32"/>
    <mergeCell ref="C33:D33"/>
    <mergeCell ref="C35:D35"/>
    <mergeCell ref="C36:D36"/>
    <mergeCell ref="C19:Q19"/>
    <mergeCell ref="C34:D34"/>
    <mergeCell ref="I33:I34"/>
    <mergeCell ref="M33:M34"/>
    <mergeCell ref="N33:N34"/>
    <mergeCell ref="O33:O34"/>
    <mergeCell ref="P33:P34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M20:M21"/>
    <mergeCell ref="P6:P7"/>
    <mergeCell ref="C8:Q8"/>
    <mergeCell ref="C11:D11"/>
    <mergeCell ref="C12:D12"/>
    <mergeCell ref="C15:D15"/>
    <mergeCell ref="P15:Q15"/>
    <mergeCell ref="O9:O18"/>
    <mergeCell ref="C10:D10"/>
    <mergeCell ref="Q6:Q7"/>
    <mergeCell ref="C9:D9"/>
    <mergeCell ref="B16:B18"/>
    <mergeCell ref="C16:C1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O53:P53"/>
    <mergeCell ref="I43:I46"/>
    <mergeCell ref="M43:P46"/>
    <mergeCell ref="M48:P48"/>
    <mergeCell ref="B37:B42"/>
    <mergeCell ref="C37:C42"/>
    <mergeCell ref="B50:N50"/>
    <mergeCell ref="O50:Q50"/>
    <mergeCell ref="I57:Q62"/>
    <mergeCell ref="C59:D62"/>
    <mergeCell ref="B59:B62"/>
    <mergeCell ref="C23:D23"/>
    <mergeCell ref="B43:B48"/>
    <mergeCell ref="C43:C48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</mergeCells>
  <pageMargins left="0.25" right="0.25" top="0.75" bottom="0.75" header="0.3" footer="0.3"/>
  <pageSetup paperSize="9" scale="5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B2:U159"/>
  <sheetViews>
    <sheetView zoomScale="90" zoomScaleNormal="90" workbookViewId="0">
      <pane xSplit="4" ySplit="1" topLeftCell="E54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334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'18'!L9</f>
        <v>20132.179710276745</v>
      </c>
      <c r="F9" s="74">
        <f>Production2!D21</f>
        <v>3482.96</v>
      </c>
      <c r="G9" s="74">
        <f>F9+'18'!G9</f>
        <v>56382.240000000013</v>
      </c>
      <c r="H9" s="74">
        <f>F9+'18'!H9</f>
        <v>213249.52000000008</v>
      </c>
      <c r="I9" s="74">
        <f>Production2!E21</f>
        <v>1954</v>
      </c>
      <c r="J9" s="74">
        <f>I9+'18'!J9</f>
        <v>45981</v>
      </c>
      <c r="K9" s="74">
        <f>I9+'18'!K9</f>
        <v>186012</v>
      </c>
      <c r="L9" s="74">
        <f>E9+F9-I9-I23</f>
        <v>21163.916378352744</v>
      </c>
      <c r="M9" s="75">
        <f>I9</f>
        <v>1954</v>
      </c>
      <c r="N9" s="75">
        <f>(I9/I15)*100</f>
        <v>93.003331746787239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(2)'!L21</f>
        <v>3306</v>
      </c>
      <c r="F10" s="77">
        <f>'Mines (2)'!M21</f>
        <v>0</v>
      </c>
      <c r="G10" s="74">
        <f>F10+'18'!G10</f>
        <v>1287.5600000000002</v>
      </c>
      <c r="H10" s="74">
        <f>F10+'18'!H10</f>
        <v>6556.9600000000009</v>
      </c>
      <c r="I10" s="77">
        <f>'Mines (2)'!N21</f>
        <v>67</v>
      </c>
      <c r="J10" s="74">
        <f>I10+'18'!J10</f>
        <v>960</v>
      </c>
      <c r="K10" s="74">
        <f>I10+'18'!K10</f>
        <v>3442</v>
      </c>
      <c r="L10" s="77">
        <f t="shared" ref="L10:L18" si="0">E10+F10-I10</f>
        <v>3239</v>
      </c>
      <c r="M10" s="75">
        <f t="shared" ref="M10:M12" si="1">I10</f>
        <v>67</v>
      </c>
      <c r="N10" s="75">
        <f>(I10/I15)*100</f>
        <v>3.1889576392194199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Clinker!C21</f>
        <v>1470.92</v>
      </c>
      <c r="F11" s="77">
        <f>Clinker!D21</f>
        <v>0</v>
      </c>
      <c r="G11" s="74">
        <f>F11+'18'!G11</f>
        <v>0</v>
      </c>
      <c r="H11" s="74">
        <f>F11+'18'!H11</f>
        <v>417.28000000000003</v>
      </c>
      <c r="I11" s="77">
        <f>Clinker!E21</f>
        <v>80</v>
      </c>
      <c r="J11" s="74">
        <f>I11+'18'!J11</f>
        <v>1257</v>
      </c>
      <c r="K11" s="74">
        <f>I11+'18'!K11</f>
        <v>4392</v>
      </c>
      <c r="L11" s="77">
        <f t="shared" si="0"/>
        <v>1390.92</v>
      </c>
      <c r="M11" s="75">
        <f t="shared" si="1"/>
        <v>80</v>
      </c>
      <c r="N11" s="75">
        <f>(I11/I15)*100</f>
        <v>3.8077106139933363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(2)'!Q21</f>
        <v>3.999999999996362E-2</v>
      </c>
      <c r="F12" s="77">
        <f>'Mines (2)'!R21</f>
        <v>0</v>
      </c>
      <c r="G12" s="74">
        <f>F12+'18'!G12</f>
        <v>0</v>
      </c>
      <c r="H12" s="74">
        <f>F12+'18'!H12</f>
        <v>137.76</v>
      </c>
      <c r="I12" s="77">
        <f>'Mines (2)'!S21</f>
        <v>0</v>
      </c>
      <c r="J12" s="74">
        <f>I12+'18'!J12</f>
        <v>0</v>
      </c>
      <c r="K12" s="74">
        <f>I12+'18'!K12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21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21" ht="13.9" customHeight="1">
      <c r="B15" s="79" t="s">
        <v>262</v>
      </c>
      <c r="C15" s="521" t="s">
        <v>265</v>
      </c>
      <c r="D15" s="521"/>
      <c r="E15" s="127">
        <f t="shared" ref="E15:K15" si="2">SUM(E9:E12)</f>
        <v>24909.139710276744</v>
      </c>
      <c r="F15" s="127">
        <f t="shared" si="2"/>
        <v>3482.96</v>
      </c>
      <c r="G15" s="127">
        <f t="shared" si="2"/>
        <v>57669.80000000001</v>
      </c>
      <c r="H15" s="127">
        <f t="shared" si="2"/>
        <v>220361.52000000008</v>
      </c>
      <c r="I15" s="127">
        <f t="shared" si="2"/>
        <v>2101</v>
      </c>
      <c r="J15" s="127">
        <f t="shared" si="2"/>
        <v>48198</v>
      </c>
      <c r="K15" s="127">
        <f t="shared" si="2"/>
        <v>194584</v>
      </c>
      <c r="L15" s="127">
        <f t="shared" si="0"/>
        <v>26291.099710276743</v>
      </c>
      <c r="M15" s="128">
        <f>SUM(M9:M12)</f>
        <v>2101</v>
      </c>
      <c r="N15" s="128">
        <f>SUM(N9:N12)</f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Clinker!EB21</f>
        <v>2690.5069999999905</v>
      </c>
      <c r="F16" s="77">
        <f>Clinker!EC21</f>
        <v>120.74</v>
      </c>
      <c r="G16" s="77">
        <f>F16+'18'!G16</f>
        <v>2812.7200000000003</v>
      </c>
      <c r="H16" s="77">
        <f>F16+'18'!H16</f>
        <v>3617.96</v>
      </c>
      <c r="I16" s="77">
        <f>Clinker!ED21</f>
        <v>236.67</v>
      </c>
      <c r="J16" s="77">
        <f>I16+'18'!J16</f>
        <v>4866.2199999999993</v>
      </c>
      <c r="K16" s="77">
        <f>I16+'18'!K16</f>
        <v>19583.53</v>
      </c>
      <c r="L16" s="77">
        <f>E16+F16-Clinker!N21-Clinker!Z21-Clinker!AS21-Clinker!AX21-Clinker!BC21-Clinker!BW21-Clinker!BH21-Clinker!BM21-Clinker!BR21-Clinker!CV21-Clinker!DP21</f>
        <v>2811.2469999999903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Clinker!EF21</f>
        <v>4315.7699999999932</v>
      </c>
      <c r="F17" s="77">
        <f>Clinker!EG21</f>
        <v>59.3</v>
      </c>
      <c r="G17" s="77">
        <f>F17+'18'!G17</f>
        <v>2892.3500000000004</v>
      </c>
      <c r="H17" s="77">
        <f>F17+'18'!H17</f>
        <v>5033.2999999999993</v>
      </c>
      <c r="I17" s="77">
        <f>Clinker!EH21</f>
        <v>172</v>
      </c>
      <c r="J17" s="77">
        <f>I17+'18'!J17</f>
        <v>2738</v>
      </c>
      <c r="K17" s="77">
        <f>I17+'18'!K17</f>
        <v>10910</v>
      </c>
      <c r="L17" s="77">
        <f>E17+F17-I16-Clinker!T21-Clinker!AE21-Clinker!AJ21-Clinker!CG21-Clinker!CQ21-Clinker!CG21</f>
        <v>3966.3999999999933</v>
      </c>
      <c r="M17" s="81"/>
      <c r="N17" s="81"/>
      <c r="O17" s="515"/>
      <c r="P17" s="53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7006.2769999999837</v>
      </c>
      <c r="F18" s="125">
        <f>F16+F17</f>
        <v>180.04</v>
      </c>
      <c r="G18" s="125">
        <f t="shared" ref="G18:K18" si="3">G16+G17</f>
        <v>5705.0700000000006</v>
      </c>
      <c r="H18" s="125">
        <f t="shared" si="3"/>
        <v>8651.2599999999984</v>
      </c>
      <c r="I18" s="125">
        <f>I16+I17</f>
        <v>408.66999999999996</v>
      </c>
      <c r="J18" s="125">
        <f>J16+J17</f>
        <v>7604.2199999999993</v>
      </c>
      <c r="K18" s="125">
        <f t="shared" si="3"/>
        <v>30493.53</v>
      </c>
      <c r="L18" s="125">
        <f t="shared" si="0"/>
        <v>6777.6469999999836</v>
      </c>
      <c r="M18" s="126"/>
      <c r="N18" s="126"/>
      <c r="O18" s="515"/>
      <c r="P18" s="131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Clinker!EJ21</f>
        <v>22498.602569674767</v>
      </c>
      <c r="F20" s="74">
        <f>Clinker!EK21</f>
        <v>1335</v>
      </c>
      <c r="G20" s="74">
        <f>F20+'18'!G20</f>
        <v>28247</v>
      </c>
      <c r="H20" s="74">
        <f>F20+'18'!H20</f>
        <v>113773</v>
      </c>
      <c r="I20" s="74">
        <f>Clinker!EL21</f>
        <v>1332.0030021814002</v>
      </c>
      <c r="J20" s="74">
        <f>I20+'18'!J20</f>
        <v>31691.209518268319</v>
      </c>
      <c r="K20" s="74">
        <f>I20+'18'!K20</f>
        <v>94552.940532133347</v>
      </c>
      <c r="L20" s="74">
        <f>E20+F20-I20-I22</f>
        <v>22501.599567493366</v>
      </c>
      <c r="M20" s="75">
        <f>((I20+I21)/(J42+J48))*100</f>
        <v>79.960000073201357</v>
      </c>
      <c r="N20" s="525"/>
      <c r="O20" s="527"/>
      <c r="P20" s="535"/>
      <c r="Q20" s="536"/>
      <c r="R20" s="20"/>
      <c r="S20" s="190"/>
    </row>
    <row r="21" spans="2:19" ht="45">
      <c r="B21" s="512"/>
      <c r="C21" s="477"/>
      <c r="D21" s="85" t="s">
        <v>70</v>
      </c>
      <c r="E21" s="74">
        <f>Clinker!EO21</f>
        <v>1432.326008000136</v>
      </c>
      <c r="F21" s="74">
        <f>Clinker!EP21</f>
        <v>0</v>
      </c>
      <c r="G21" s="74">
        <f>F21+'18'!G21</f>
        <v>0</v>
      </c>
      <c r="H21" s="74">
        <f>F21+'18'!H21</f>
        <v>13390.660000000003</v>
      </c>
      <c r="I21" s="74">
        <f>Clinker!EQ21</f>
        <v>1050.8050000000001</v>
      </c>
      <c r="J21" s="74">
        <f>I21+'18'!J21</f>
        <v>4924.5880000000006</v>
      </c>
      <c r="K21" s="74">
        <f>I21+'18'!K21</f>
        <v>21858.687999999998</v>
      </c>
      <c r="L21" s="74">
        <f>E21+F21-I21</f>
        <v>381.52100800013591</v>
      </c>
      <c r="M21" s="75"/>
      <c r="N21" s="525"/>
      <c r="O21" s="527"/>
      <c r="P21" s="535"/>
      <c r="Q21" s="536"/>
      <c r="R21" s="190"/>
      <c r="S21" s="190"/>
    </row>
    <row r="22" spans="2:19" ht="30">
      <c r="B22" s="512"/>
      <c r="C22" s="524"/>
      <c r="D22" s="86" t="s">
        <v>270</v>
      </c>
      <c r="E22" s="77"/>
      <c r="F22" s="77">
        <f>Clinker!EN21</f>
        <v>0</v>
      </c>
      <c r="G22" s="74">
        <f>F22+'18'!G22</f>
        <v>0</v>
      </c>
      <c r="H22" s="74">
        <f>F22+'18'!H22</f>
        <v>0</v>
      </c>
      <c r="I22" s="77">
        <f>Clinker!EN21</f>
        <v>0</v>
      </c>
      <c r="J22" s="74">
        <f>I22+'18'!J22</f>
        <v>0</v>
      </c>
      <c r="K22" s="74">
        <f>I22+'18'!K22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>
        <f>Cement!P21</f>
        <v>0</v>
      </c>
      <c r="F23" s="77">
        <f>Cement!Q21</f>
        <v>0</v>
      </c>
      <c r="G23" s="74">
        <f>F23+'18'!G23</f>
        <v>0</v>
      </c>
      <c r="H23" s="74">
        <f>F23+'18'!H23</f>
        <v>0</v>
      </c>
      <c r="I23" s="77">
        <f>Cement!S21</f>
        <v>497.22333192400004</v>
      </c>
      <c r="J23" s="74">
        <f>I23+'18'!J23</f>
        <v>8705.1238839784219</v>
      </c>
      <c r="K23" s="74">
        <f>I23+'18'!K23</f>
        <v>29178.475318831104</v>
      </c>
      <c r="L23" s="74"/>
      <c r="M23" s="78">
        <f>(I23/(J42+J48))*100</f>
        <v>16.685346708859061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Cement!C21</f>
        <v>2743.893049877322</v>
      </c>
      <c r="F24" s="77">
        <f>Cement!D21</f>
        <v>307.26</v>
      </c>
      <c r="G24" s="74">
        <f>F24+'18'!G24</f>
        <v>1157.02</v>
      </c>
      <c r="H24" s="74">
        <f>F24+'18'!H24</f>
        <v>3283.6399999999994</v>
      </c>
      <c r="I24" s="77">
        <f>Cement!F21</f>
        <v>157.5694727231579</v>
      </c>
      <c r="J24" s="74">
        <f>I24+'18'!J24</f>
        <v>2471.7669601704761</v>
      </c>
      <c r="K24" s="74">
        <f>I24+'18'!K24</f>
        <v>7835.436481995619</v>
      </c>
      <c r="L24" s="74">
        <f t="shared" ref="L24:L26" si="4">E24+F24-I24</f>
        <v>2893.5835771541638</v>
      </c>
      <c r="M24" s="78">
        <f>(I24/(J42+J48))*100</f>
        <v>5.2875661987636882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Cement!H21</f>
        <v>0.23999999999796273</v>
      </c>
      <c r="F25" s="77">
        <f>Cement!I21</f>
        <v>0</v>
      </c>
      <c r="G25" s="74">
        <f>F25+'18'!G25</f>
        <v>0</v>
      </c>
      <c r="H25" s="74">
        <f>F25+'18'!H25</f>
        <v>0</v>
      </c>
      <c r="I25" s="77">
        <f>Cement!J21</f>
        <v>0</v>
      </c>
      <c r="J25" s="74">
        <f>I25+'18'!J25</f>
        <v>0</v>
      </c>
      <c r="K25" s="74">
        <f>I25+'18'!K25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Cement!L21</f>
        <v>0</v>
      </c>
      <c r="F26" s="77">
        <f>Cement!M21</f>
        <v>0</v>
      </c>
      <c r="G26" s="74">
        <f>F26+'18'!G26</f>
        <v>0</v>
      </c>
      <c r="H26" s="74">
        <f>F26+'18'!H26</f>
        <v>0</v>
      </c>
      <c r="I26" s="77">
        <f>Cement!N21</f>
        <v>0</v>
      </c>
      <c r="J26" s="74">
        <f>I26+'18'!J26</f>
        <v>0</v>
      </c>
      <c r="K26" s="74">
        <f>I26+'18'!K26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26675.061627552222</v>
      </c>
      <c r="F27" s="122">
        <f t="shared" ref="F27:L27" si="5">F20+F21+F23+F24+F25+F26</f>
        <v>1642.26</v>
      </c>
      <c r="G27" s="122">
        <f t="shared" si="5"/>
        <v>29404.02</v>
      </c>
      <c r="H27" s="122">
        <f t="shared" si="5"/>
        <v>130447.3</v>
      </c>
      <c r="I27" s="122">
        <f t="shared" si="5"/>
        <v>3037.6008068285582</v>
      </c>
      <c r="J27" s="122">
        <f t="shared" si="5"/>
        <v>47792.688362417219</v>
      </c>
      <c r="K27" s="122">
        <f t="shared" si="5"/>
        <v>153425.54033296008</v>
      </c>
      <c r="L27" s="122">
        <f t="shared" si="5"/>
        <v>25776.944152647662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Production2!C21</f>
        <v>20.45</v>
      </c>
      <c r="G32" s="75">
        <f>F32+'18'!G32</f>
        <v>351.58000000000004</v>
      </c>
      <c r="H32" s="75">
        <f>F32+'18'!H32</f>
        <v>1320.71</v>
      </c>
      <c r="I32" s="74">
        <f>'Mines (2)'!C21+'Mines (2)'!H21+'Mines (2)'!V21+'Mines (2)'!Z21+'Mines (2)'!AD21</f>
        <v>20132.179710276741</v>
      </c>
      <c r="J32" s="74">
        <f>Production2!D21</f>
        <v>3482.96</v>
      </c>
      <c r="K32" s="74">
        <f>J32+'18'!K32</f>
        <v>56382.240000000013</v>
      </c>
      <c r="L32" s="74">
        <f>J32+'18'!L32</f>
        <v>213249.52000000008</v>
      </c>
      <c r="M32" s="74">
        <f>I9+I23</f>
        <v>2451.2233319239999</v>
      </c>
      <c r="N32" s="74">
        <f>M32+'18'!N32</f>
        <v>54686.12388397842</v>
      </c>
      <c r="O32" s="74">
        <f>M32+'18'!O32</f>
        <v>215190.4753188311</v>
      </c>
      <c r="P32" s="74">
        <f>I32+J32-M32</f>
        <v>21163.91637835274</v>
      </c>
      <c r="Q32" s="93">
        <f>J32/F32</f>
        <v>170.31589242053789</v>
      </c>
      <c r="R32" s="94"/>
      <c r="S32" s="94"/>
    </row>
    <row r="33" spans="2:21">
      <c r="B33" s="79">
        <v>2</v>
      </c>
      <c r="C33" s="501" t="s">
        <v>322</v>
      </c>
      <c r="D33" s="502"/>
      <c r="E33" s="95">
        <v>120</v>
      </c>
      <c r="F33" s="78">
        <f>Production2!G21</f>
        <v>17.37</v>
      </c>
      <c r="G33" s="75">
        <f>F33+'18'!G33</f>
        <v>350.13</v>
      </c>
      <c r="H33" s="75">
        <f>F33+'18'!H33</f>
        <v>1419.6699999999996</v>
      </c>
      <c r="I33" s="541">
        <f>Production2!H21</f>
        <v>1076.6500168375178</v>
      </c>
      <c r="J33" s="78">
        <f>Production2!N21</f>
        <v>1893.3</v>
      </c>
      <c r="K33" s="74">
        <f>J33+'18'!K33</f>
        <v>40969.310000000005</v>
      </c>
      <c r="L33" s="74">
        <f>J33+'18'!L33</f>
        <v>167254.89999999997</v>
      </c>
      <c r="M33" s="541">
        <f>Production2!K21</f>
        <v>2069.25</v>
      </c>
      <c r="N33" s="541">
        <f>M33+'18'!N33</f>
        <v>43782.850000000006</v>
      </c>
      <c r="O33" s="541">
        <f>M33+'18'!O33</f>
        <v>176348.15</v>
      </c>
      <c r="P33" s="541">
        <f>I33+J33+J34-M33</f>
        <v>900.70001683751798</v>
      </c>
      <c r="Q33" s="96">
        <f t="shared" ref="Q33:Q48" si="6">J33/F33</f>
        <v>108.99827288428324</v>
      </c>
      <c r="R33" s="94"/>
      <c r="S33" s="94"/>
    </row>
    <row r="34" spans="2:21">
      <c r="B34" s="91">
        <v>3</v>
      </c>
      <c r="C34" s="501" t="s">
        <v>283</v>
      </c>
      <c r="D34" s="502"/>
      <c r="E34" s="95">
        <v>20</v>
      </c>
      <c r="F34" s="78">
        <f>Production2!P21</f>
        <v>0</v>
      </c>
      <c r="G34" s="75">
        <f>F34+'18'!G34</f>
        <v>269.88</v>
      </c>
      <c r="H34" s="75">
        <f>F34+'18'!H34</f>
        <v>885.55</v>
      </c>
      <c r="I34" s="473"/>
      <c r="J34" s="77">
        <f>Production2!Q21</f>
        <v>0</v>
      </c>
      <c r="K34" s="74">
        <f>J34+'18'!K34</f>
        <v>2446.6</v>
      </c>
      <c r="L34" s="74">
        <f>J34+'18'!L34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21">
      <c r="B35" s="79">
        <v>4</v>
      </c>
      <c r="C35" s="501" t="s">
        <v>157</v>
      </c>
      <c r="D35" s="502"/>
      <c r="E35" s="95">
        <v>10</v>
      </c>
      <c r="F35" s="78">
        <f>Production2!S21</f>
        <v>16.38</v>
      </c>
      <c r="G35" s="75">
        <f>F35+'18'!G35</f>
        <v>322.91999999999996</v>
      </c>
      <c r="H35" s="75">
        <f>F35+'18'!H35</f>
        <v>1276.25</v>
      </c>
      <c r="I35" s="77">
        <f>Production2!T21</f>
        <v>54.709999999999809</v>
      </c>
      <c r="J35" s="77">
        <f>Production2!U21</f>
        <v>213</v>
      </c>
      <c r="K35" s="74">
        <f>J35+'18'!K35</f>
        <v>4379.6000000000004</v>
      </c>
      <c r="L35" s="74">
        <f>J35+'18'!L35</f>
        <v>17625.199999999997</v>
      </c>
      <c r="M35" s="78">
        <f>Production2!V21</f>
        <v>206</v>
      </c>
      <c r="N35" s="74">
        <f>M35+'18'!N35</f>
        <v>4360</v>
      </c>
      <c r="O35" s="74">
        <f>M35+'18'!O35</f>
        <v>17579</v>
      </c>
      <c r="P35" s="74">
        <f t="shared" ref="P35" si="7">I35+J35-M35</f>
        <v>61.709999999999809</v>
      </c>
      <c r="Q35" s="96">
        <f t="shared" si="6"/>
        <v>13.003663003663004</v>
      </c>
      <c r="R35" s="94"/>
      <c r="S35" s="94"/>
    </row>
    <row r="36" spans="2:21">
      <c r="B36" s="91">
        <v>5</v>
      </c>
      <c r="C36" s="501" t="s">
        <v>63</v>
      </c>
      <c r="D36" s="502"/>
      <c r="E36" s="95">
        <v>50</v>
      </c>
      <c r="F36" s="78">
        <f>Production2!Y21</f>
        <v>24</v>
      </c>
      <c r="G36" s="75">
        <f>F36+'18'!G36</f>
        <v>449.02000000000004</v>
      </c>
      <c r="H36" s="75">
        <f>F36+'18'!H36</f>
        <v>1763.83</v>
      </c>
      <c r="I36" s="77">
        <f>Clinker!EJ21</f>
        <v>22498.602569674767</v>
      </c>
      <c r="J36" s="77">
        <f>Clinker!EK21</f>
        <v>1335</v>
      </c>
      <c r="K36" s="74">
        <f>J36+'18'!K36</f>
        <v>28247</v>
      </c>
      <c r="L36" s="74">
        <f>J36+'18'!L36</f>
        <v>113773</v>
      </c>
      <c r="M36" s="77">
        <f>Clinker!EL21</f>
        <v>1332.0030021814002</v>
      </c>
      <c r="N36" s="74">
        <f>M36+'18'!N36</f>
        <v>31691.209518268319</v>
      </c>
      <c r="O36" s="74">
        <f>M36+'18'!O36</f>
        <v>94552.940532133347</v>
      </c>
      <c r="P36" s="74">
        <f>I36+J36-M36-I22</f>
        <v>22501.599567493366</v>
      </c>
      <c r="Q36" s="96">
        <f t="shared" si="6"/>
        <v>55.625</v>
      </c>
      <c r="R36" s="94"/>
      <c r="S36" s="94"/>
    </row>
    <row r="37" spans="2:21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Production2!AE21</f>
        <v>0</v>
      </c>
      <c r="G37" s="75">
        <f>F37+'18'!G37</f>
        <v>12</v>
      </c>
      <c r="H37" s="75">
        <f>F37+'18'!H37</f>
        <v>51.7</v>
      </c>
      <c r="I37" s="77">
        <f>Production2!BJ21</f>
        <v>222.29999999999995</v>
      </c>
      <c r="J37" s="77">
        <f>Production2!AF21</f>
        <v>0</v>
      </c>
      <c r="K37" s="74">
        <f>J37+'18'!K37</f>
        <v>837</v>
      </c>
      <c r="L37" s="74">
        <f>J37+'18'!L37</f>
        <v>3471</v>
      </c>
      <c r="M37" s="77">
        <f>Production2!BL21</f>
        <v>30</v>
      </c>
      <c r="N37" s="75">
        <f>M37+'18'!N37</f>
        <v>2061</v>
      </c>
      <c r="O37" s="74">
        <f>M37+'18'!O37</f>
        <v>7099</v>
      </c>
      <c r="P37" s="74">
        <f>I37+J37+J43-M37-F61</f>
        <v>192.29999999999995</v>
      </c>
      <c r="Q37" s="96" t="e">
        <f t="shared" si="6"/>
        <v>#DIV/0!</v>
      </c>
      <c r="R37" s="94"/>
      <c r="S37" s="94"/>
    </row>
    <row r="38" spans="2:21">
      <c r="B38" s="564"/>
      <c r="C38" s="477"/>
      <c r="D38" s="80" t="s">
        <v>286</v>
      </c>
      <c r="E38" s="97">
        <v>78</v>
      </c>
      <c r="F38" s="78">
        <f>Production2!AB21</f>
        <v>21</v>
      </c>
      <c r="G38" s="75">
        <f>F38+'18'!G38</f>
        <v>353.65</v>
      </c>
      <c r="H38" s="75">
        <f>F38+'18'!H38</f>
        <v>852.12</v>
      </c>
      <c r="I38" s="77">
        <f>Production2!BF21</f>
        <v>1043.6179999999777</v>
      </c>
      <c r="J38" s="77">
        <f>Production2!AC21</f>
        <v>1353</v>
      </c>
      <c r="K38" s="74">
        <f>J38+'18'!K38</f>
        <v>23225</v>
      </c>
      <c r="L38" s="74">
        <f>J38+'18'!L38</f>
        <v>54555</v>
      </c>
      <c r="M38" s="77">
        <f>Production2!BH21</f>
        <v>2466.5</v>
      </c>
      <c r="N38" s="75">
        <f>M38+'18'!N38</f>
        <v>40768.61</v>
      </c>
      <c r="O38" s="74">
        <f>M38+'18'!O38</f>
        <v>121511.43999999997</v>
      </c>
      <c r="P38" s="74">
        <f>I38+J38+J44-M38-F59</f>
        <v>930.11799999997766</v>
      </c>
      <c r="Q38" s="96">
        <f t="shared" si="6"/>
        <v>64.428571428571431</v>
      </c>
      <c r="R38" s="94"/>
      <c r="S38" s="94"/>
    </row>
    <row r="39" spans="2:21">
      <c r="B39" s="564"/>
      <c r="C39" s="477"/>
      <c r="D39" s="80" t="s">
        <v>287</v>
      </c>
      <c r="E39" s="97">
        <v>78</v>
      </c>
      <c r="F39" s="78">
        <f>Production2!AH21</f>
        <v>0</v>
      </c>
      <c r="G39" s="75">
        <f>F39+'18'!G39</f>
        <v>0</v>
      </c>
      <c r="H39" s="75">
        <f>F39+'18'!H39</f>
        <v>0</v>
      </c>
      <c r="I39" s="77">
        <f>Production2!BN21</f>
        <v>9.0000000000849845E-2</v>
      </c>
      <c r="J39" s="77">
        <f>Production2!AI21</f>
        <v>0</v>
      </c>
      <c r="K39" s="74">
        <f>J39+'18'!K39</f>
        <v>0</v>
      </c>
      <c r="L39" s="74">
        <f>J39+'18'!L39</f>
        <v>0</v>
      </c>
      <c r="M39" s="77">
        <f>Production2!BP21</f>
        <v>0</v>
      </c>
      <c r="N39" s="75">
        <f>M39+'18'!N39</f>
        <v>0</v>
      </c>
      <c r="O39" s="74">
        <f>M39+'18'!O39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21">
      <c r="B40" s="564"/>
      <c r="C40" s="477"/>
      <c r="D40" s="194" t="s">
        <v>187</v>
      </c>
      <c r="E40" s="97">
        <v>65</v>
      </c>
      <c r="F40" s="84">
        <f>Production2!AK21</f>
        <v>0</v>
      </c>
      <c r="G40" s="75">
        <f>F40+'18'!G40</f>
        <v>1</v>
      </c>
      <c r="H40" s="75">
        <f>F40+'18'!H40</f>
        <v>6</v>
      </c>
      <c r="I40" s="195">
        <f>Production2!BR21</f>
        <v>114.35000000000002</v>
      </c>
      <c r="J40" s="195">
        <f>Production2!AL21</f>
        <v>0</v>
      </c>
      <c r="K40" s="74">
        <f>J40+'18'!K40</f>
        <v>65</v>
      </c>
      <c r="L40" s="74">
        <f>J40+'18'!L40</f>
        <v>365</v>
      </c>
      <c r="M40" s="195">
        <f>Production2!BT21</f>
        <v>0</v>
      </c>
      <c r="N40" s="75">
        <f>M40+'18'!N40</f>
        <v>1361</v>
      </c>
      <c r="O40" s="74">
        <f>M40+'18'!O40</f>
        <v>4393.5</v>
      </c>
      <c r="P40" s="74">
        <f t="shared" ref="P40" si="8">I40+J40+J46-M40</f>
        <v>114.35000000000002</v>
      </c>
      <c r="Q40" s="96" t="e">
        <f t="shared" si="6"/>
        <v>#DIV/0!</v>
      </c>
      <c r="R40" s="94"/>
      <c r="S40" s="94"/>
    </row>
    <row r="41" spans="2:21">
      <c r="B41" s="564"/>
      <c r="C41" s="477"/>
      <c r="D41" s="80" t="s">
        <v>288</v>
      </c>
      <c r="E41" s="97">
        <v>78</v>
      </c>
      <c r="F41" s="84">
        <f>Production2!AN21</f>
        <v>3</v>
      </c>
      <c r="G41" s="75">
        <f>F41+'18'!G41</f>
        <v>42.5</v>
      </c>
      <c r="H41" s="75">
        <f>F41+'18'!H41</f>
        <v>168.67</v>
      </c>
      <c r="I41" s="195">
        <f>Production2!BV21</f>
        <v>229.60000000000014</v>
      </c>
      <c r="J41" s="195">
        <f>Production2!AO21</f>
        <v>207</v>
      </c>
      <c r="K41" s="74">
        <f>J41+'18'!K41</f>
        <v>2927</v>
      </c>
      <c r="L41" s="74">
        <f>J41+'18'!L41</f>
        <v>11105</v>
      </c>
      <c r="M41" s="77">
        <f>Production2!BX21</f>
        <v>548.72</v>
      </c>
      <c r="N41" s="75">
        <f>M41+'18'!N41</f>
        <v>4752.5199999999995</v>
      </c>
      <c r="O41" s="74">
        <f>M41+'18'!O41</f>
        <v>18747.830000000002</v>
      </c>
      <c r="P41" s="74">
        <f>I41+J41+J47-M41</f>
        <v>307.88000000000011</v>
      </c>
      <c r="Q41" s="96">
        <f t="shared" si="6"/>
        <v>69</v>
      </c>
      <c r="R41" s="94"/>
      <c r="S41" s="94"/>
    </row>
    <row r="42" spans="2:21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9">G37+G38+G39+G40+G41</f>
        <v>409.15</v>
      </c>
      <c r="H42" s="132">
        <f t="shared" si="9"/>
        <v>1078.49</v>
      </c>
      <c r="I42" s="122">
        <f>I37+I38+I39+I40+I41</f>
        <v>1609.9579999999785</v>
      </c>
      <c r="J42" s="122">
        <f t="shared" ref="J42:O42" si="10">J37+J38+J39+J40+J41</f>
        <v>1560</v>
      </c>
      <c r="K42" s="122">
        <f t="shared" si="10"/>
        <v>27054</v>
      </c>
      <c r="L42" s="122">
        <f t="shared" si="10"/>
        <v>69496</v>
      </c>
      <c r="M42" s="122">
        <f t="shared" si="10"/>
        <v>3045.2200000000003</v>
      </c>
      <c r="N42" s="122">
        <f t="shared" si="10"/>
        <v>48943.13</v>
      </c>
      <c r="O42" s="122">
        <f t="shared" si="10"/>
        <v>151751.62</v>
      </c>
      <c r="P42" s="122">
        <f>P37+P38+P39+P40+P41</f>
        <v>1544.7379999999785</v>
      </c>
      <c r="Q42" s="123">
        <f t="shared" si="6"/>
        <v>65</v>
      </c>
      <c r="R42" s="94"/>
      <c r="S42" s="94"/>
      <c r="T42" s="94"/>
      <c r="U42" s="94"/>
    </row>
    <row r="43" spans="2:21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Production2!AT21</f>
        <v>0</v>
      </c>
      <c r="G43" s="75">
        <f>F43+'18'!G43</f>
        <v>13.5</v>
      </c>
      <c r="H43" s="75">
        <f>F43+'18'!H43</f>
        <v>58.929999999999993</v>
      </c>
      <c r="I43" s="471"/>
      <c r="J43" s="77">
        <f>Production2!AU21</f>
        <v>0</v>
      </c>
      <c r="K43" s="74">
        <f>J43+'18'!K43</f>
        <v>838</v>
      </c>
      <c r="L43" s="74">
        <f>J43+'18'!L43</f>
        <v>3588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21">
      <c r="B44" s="564"/>
      <c r="C44" s="477"/>
      <c r="D44" s="80" t="s">
        <v>286</v>
      </c>
      <c r="E44" s="97">
        <v>70</v>
      </c>
      <c r="F44" s="78">
        <f>Production2!AQ21</f>
        <v>17</v>
      </c>
      <c r="G44" s="75">
        <f>F44+'18'!G44</f>
        <v>283.02999999999997</v>
      </c>
      <c r="H44" s="75">
        <f>F44+'18'!H44</f>
        <v>1133.44</v>
      </c>
      <c r="I44" s="472"/>
      <c r="J44" s="77">
        <f>Production2!AR21</f>
        <v>1000</v>
      </c>
      <c r="K44" s="74">
        <f>J44+'18'!K44</f>
        <v>16657</v>
      </c>
      <c r="L44" s="74">
        <f>J44+'18'!L44</f>
        <v>66618</v>
      </c>
      <c r="M44" s="545"/>
      <c r="N44" s="546"/>
      <c r="O44" s="546"/>
      <c r="P44" s="547"/>
      <c r="Q44" s="96">
        <f t="shared" si="6"/>
        <v>58.823529411764703</v>
      </c>
      <c r="R44" s="94"/>
      <c r="S44" s="94"/>
    </row>
    <row r="45" spans="2:21">
      <c r="B45" s="564"/>
      <c r="C45" s="477"/>
      <c r="D45" s="80" t="s">
        <v>287</v>
      </c>
      <c r="E45" s="97">
        <v>70</v>
      </c>
      <c r="F45" s="78">
        <f>Production2!AW21</f>
        <v>0</v>
      </c>
      <c r="G45" s="75">
        <f>F45+'18'!G45</f>
        <v>0</v>
      </c>
      <c r="H45" s="75">
        <f>F45+'18'!H45</f>
        <v>0</v>
      </c>
      <c r="I45" s="472"/>
      <c r="J45" s="77">
        <f>Production2!AX21</f>
        <v>0</v>
      </c>
      <c r="K45" s="74">
        <f>J45+'18'!K45</f>
        <v>0</v>
      </c>
      <c r="L45" s="74">
        <f>J45+'18'!L45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21">
      <c r="B46" s="564"/>
      <c r="C46" s="477"/>
      <c r="D46" s="194" t="s">
        <v>187</v>
      </c>
      <c r="E46" s="97">
        <v>60</v>
      </c>
      <c r="F46" s="84">
        <f>Production2!AZ21</f>
        <v>0</v>
      </c>
      <c r="G46" s="75">
        <f>F46+'18'!G46</f>
        <v>22.77</v>
      </c>
      <c r="H46" s="75">
        <f>F46+'18'!H46</f>
        <v>70.649999999999991</v>
      </c>
      <c r="I46" s="472"/>
      <c r="J46" s="195">
        <f>Production2!BA21</f>
        <v>0</v>
      </c>
      <c r="K46" s="74">
        <f>J46+'18'!K46</f>
        <v>1283</v>
      </c>
      <c r="L46" s="74">
        <f>J46+'18'!L46</f>
        <v>3930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21">
      <c r="B47" s="564"/>
      <c r="C47" s="477"/>
      <c r="D47" s="80" t="s">
        <v>288</v>
      </c>
      <c r="E47" s="97">
        <v>70</v>
      </c>
      <c r="F47" s="84">
        <f>Production2!BC21</f>
        <v>7</v>
      </c>
      <c r="G47" s="75">
        <f>F47+'18'!G47</f>
        <v>16</v>
      </c>
      <c r="H47" s="75">
        <f>F47+'18'!H47</f>
        <v>124.67</v>
      </c>
      <c r="I47" s="473"/>
      <c r="J47" s="195">
        <f>Production2!BD21</f>
        <v>420</v>
      </c>
      <c r="K47" s="74">
        <f>J47+'18'!K47</f>
        <v>966</v>
      </c>
      <c r="L47" s="74">
        <f>J47+'18'!L47</f>
        <v>7581</v>
      </c>
      <c r="M47" s="548"/>
      <c r="N47" s="549"/>
      <c r="O47" s="549"/>
      <c r="P47" s="550"/>
      <c r="Q47" s="96">
        <f t="shared" si="6"/>
        <v>60</v>
      </c>
      <c r="R47" s="94"/>
      <c r="S47" s="94"/>
    </row>
    <row r="48" spans="2:21" ht="15.75" thickBot="1">
      <c r="B48" s="565"/>
      <c r="C48" s="478"/>
      <c r="D48" s="120" t="s">
        <v>162</v>
      </c>
      <c r="E48" s="121">
        <v>70</v>
      </c>
      <c r="F48" s="132">
        <f>F43+F44+F45+F46+F47</f>
        <v>24</v>
      </c>
      <c r="G48" s="132">
        <f>G43+G44+G45+G46+G47</f>
        <v>335.29999999999995</v>
      </c>
      <c r="H48" s="132">
        <f t="shared" ref="H48" si="11">H43+H44+H45+H46+H47</f>
        <v>1387.6900000000003</v>
      </c>
      <c r="I48" s="122"/>
      <c r="J48" s="122">
        <f>J43+J44+J45+J46+J47</f>
        <v>1420</v>
      </c>
      <c r="K48" s="122">
        <f>K43+K44+K45+K46+K47</f>
        <v>19744</v>
      </c>
      <c r="L48" s="122">
        <f t="shared" ref="L48" si="12">L43+L44+L45+L46+L47</f>
        <v>81717</v>
      </c>
      <c r="M48" s="574"/>
      <c r="N48" s="575"/>
      <c r="O48" s="575"/>
      <c r="P48" s="576"/>
      <c r="Q48" s="123">
        <f t="shared" si="6"/>
        <v>59.166666666666664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0.50617865264028294</v>
      </c>
      <c r="F52" s="99">
        <f>F55/(J33+J34)</f>
        <v>27.616859451750912</v>
      </c>
      <c r="G52" s="99" t="e">
        <f>G55/J34</f>
        <v>#DIV/0!</v>
      </c>
      <c r="H52" s="99">
        <f>H55/J36</f>
        <v>39.314606741573037</v>
      </c>
      <c r="I52" s="99">
        <f>I55/J35</f>
        <v>58.70422535211268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15.430711610486892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0.74087871704802466</v>
      </c>
      <c r="F53" s="102">
        <f>F52*1.55</f>
        <v>42.806132150213912</v>
      </c>
      <c r="G53" s="102" t="e">
        <f>G52*1.55</f>
        <v>#DIV/0!</v>
      </c>
      <c r="H53" s="102">
        <f>H52</f>
        <v>39.314606741573037</v>
      </c>
      <c r="I53" s="102">
        <f>I52*(Q52/100)</f>
        <v>9.0584797172548406</v>
      </c>
      <c r="J53" s="102"/>
      <c r="K53" s="102"/>
      <c r="L53" s="102"/>
      <c r="M53" s="96"/>
      <c r="N53" s="306">
        <f>SUM(E53:F53,H53:I53)</f>
        <v>91.920097326089817</v>
      </c>
      <c r="O53" s="516" t="s">
        <v>298</v>
      </c>
      <c r="P53" s="516"/>
      <c r="Q53" s="104">
        <v>5546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0.59240662269393385</v>
      </c>
      <c r="F54" s="102">
        <f>F53*M20/100</f>
        <v>34.227783298645711</v>
      </c>
      <c r="G54" s="102" t="e">
        <f>G53*M20/100</f>
        <v>#DIV/0!</v>
      </c>
      <c r="H54" s="102">
        <f>H53*M20/100</f>
        <v>31.435959579340626</v>
      </c>
      <c r="I54" s="102">
        <f>I53*M20/100</f>
        <v>7.2431603885479001</v>
      </c>
      <c r="J54" s="99">
        <f>J55/(J42+J48)</f>
        <v>39.216442953020135</v>
      </c>
      <c r="K54" s="99">
        <f>K55/(J48+J42)</f>
        <v>0.72449664429530203</v>
      </c>
      <c r="L54" s="99">
        <f>L55/(M42)</f>
        <v>2.6267396115879968</v>
      </c>
      <c r="M54" s="96">
        <f>M55/(J48+J42)</f>
        <v>1.3151006711409396</v>
      </c>
      <c r="N54" s="306">
        <f>SUM(E54:F54,H54:M54)</f>
        <v>117.38208976927254</v>
      </c>
      <c r="O54" s="516" t="s">
        <v>300</v>
      </c>
      <c r="P54" s="516"/>
      <c r="Q54" s="104">
        <f>Q53*Q52/100</f>
        <v>855.78726591760312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unit'!B21</f>
        <v>1763</v>
      </c>
      <c r="F55" s="118">
        <f>'Daily unit'!C21</f>
        <v>52287</v>
      </c>
      <c r="G55" s="118">
        <f>'Daily unit'!D21</f>
        <v>0</v>
      </c>
      <c r="H55" s="118">
        <f>'Daily unit'!E21</f>
        <v>52485</v>
      </c>
      <c r="I55" s="118">
        <f>'Daily unit'!F21</f>
        <v>12504</v>
      </c>
      <c r="J55" s="118">
        <f>'Daily unit'!G21</f>
        <v>116865</v>
      </c>
      <c r="K55" s="118">
        <f>'Daily unit'!H21</f>
        <v>2159</v>
      </c>
      <c r="L55" s="118">
        <f>'Daily unit'!I21</f>
        <v>7999</v>
      </c>
      <c r="M55" s="119">
        <f>'Daily unit'!J21</f>
        <v>3919</v>
      </c>
      <c r="N55" s="317">
        <f>SUM(E55:M55)</f>
        <v>249981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14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12">
        <v>1</v>
      </c>
      <c r="C59" s="626" t="s">
        <v>306</v>
      </c>
      <c r="D59" s="661"/>
      <c r="E59" s="80">
        <v>42.5</v>
      </c>
      <c r="F59" s="53">
        <f>'Internal use cement'!F21</f>
        <v>0</v>
      </c>
      <c r="G59" s="53">
        <f>F59+'18'!G59</f>
        <v>0</v>
      </c>
      <c r="H59" s="104">
        <f>F59+'18'!H59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12"/>
      <c r="C60" s="466"/>
      <c r="D60" s="663"/>
      <c r="E60" s="80" t="s">
        <v>211</v>
      </c>
      <c r="F60" s="53">
        <f>'Internal use cement'!Q21</f>
        <v>0</v>
      </c>
      <c r="G60" s="53">
        <f>F60+'18'!G60</f>
        <v>0</v>
      </c>
      <c r="H60" s="104">
        <f>F60+'18'!H60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12"/>
      <c r="C61" s="466"/>
      <c r="D61" s="663"/>
      <c r="E61" s="80">
        <v>32.5</v>
      </c>
      <c r="F61" s="53">
        <f>'Internal use cement'!AB21</f>
        <v>0</v>
      </c>
      <c r="G61" s="53">
        <f>F61+'18'!G61</f>
        <v>0</v>
      </c>
      <c r="H61" s="104">
        <f>F61+'18'!H61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99"/>
      <c r="C62" s="467"/>
      <c r="D62" s="665"/>
      <c r="E62" s="230" t="s">
        <v>187</v>
      </c>
      <c r="F62" s="228">
        <f>'Internal use cement'!AJ21</f>
        <v>0</v>
      </c>
      <c r="G62" s="53">
        <f>F62+'18'!G62</f>
        <v>0.35</v>
      </c>
      <c r="H62" s="104">
        <f>F62+'18'!H62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115"/>
      <c r="S65" s="115"/>
    </row>
    <row r="66" spans="2:19">
      <c r="R66" s="116"/>
      <c r="S66" s="116"/>
    </row>
    <row r="67" spans="2:19">
      <c r="R67" s="94"/>
      <c r="S67" s="94"/>
    </row>
    <row r="68" spans="2:19">
      <c r="R68" s="94"/>
      <c r="S68" s="94"/>
    </row>
    <row r="69" spans="2:19">
      <c r="R69" s="94"/>
      <c r="S69" s="94"/>
    </row>
    <row r="70" spans="2:19">
      <c r="R70" s="109"/>
      <c r="S70" s="109"/>
    </row>
    <row r="71" spans="2:19">
      <c r="R71" s="94"/>
      <c r="S71" s="94"/>
    </row>
    <row r="72" spans="2:19">
      <c r="R72" s="117"/>
      <c r="S72" s="117"/>
    </row>
    <row r="73" spans="2:19">
      <c r="R73" s="117"/>
      <c r="S73" s="117"/>
    </row>
    <row r="74" spans="2:19">
      <c r="R74" s="117"/>
      <c r="S74" s="117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2:19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</sheetData>
  <mergeCells count="85">
    <mergeCell ref="B50:N50"/>
    <mergeCell ref="O50:Q50"/>
    <mergeCell ref="C59:D62"/>
    <mergeCell ref="B59:B62"/>
    <mergeCell ref="C33:D33"/>
    <mergeCell ref="C35:D35"/>
    <mergeCell ref="C36:D36"/>
    <mergeCell ref="M48:P48"/>
    <mergeCell ref="C43:C48"/>
    <mergeCell ref="C34:D34"/>
    <mergeCell ref="I33:I34"/>
    <mergeCell ref="M33:M34"/>
    <mergeCell ref="N33:N34"/>
    <mergeCell ref="O33:O34"/>
    <mergeCell ref="P33:P34"/>
    <mergeCell ref="M43:P47"/>
    <mergeCell ref="I43:I47"/>
    <mergeCell ref="B2:Q2"/>
    <mergeCell ref="B3:Q3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C32:D32"/>
    <mergeCell ref="B25:B26"/>
    <mergeCell ref="C25:C26"/>
    <mergeCell ref="M25:N26"/>
    <mergeCell ref="P25:Q27"/>
    <mergeCell ref="C27:D27"/>
    <mergeCell ref="M27:N27"/>
    <mergeCell ref="C20:C22"/>
    <mergeCell ref="N20:N22"/>
    <mergeCell ref="O20:O27"/>
    <mergeCell ref="P20:Q22"/>
    <mergeCell ref="Q23:Q24"/>
    <mergeCell ref="C24:D24"/>
    <mergeCell ref="C23:D2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6:B18"/>
    <mergeCell ref="C16:C18"/>
    <mergeCell ref="C8:Q8"/>
    <mergeCell ref="C11:D11"/>
    <mergeCell ref="C12:D12"/>
    <mergeCell ref="C15:D15"/>
    <mergeCell ref="P15:Q15"/>
    <mergeCell ref="O9:O18"/>
    <mergeCell ref="C10:D10"/>
    <mergeCell ref="C9:D9"/>
    <mergeCell ref="C19:Q19"/>
    <mergeCell ref="B20:B22"/>
    <mergeCell ref="I57:Q62"/>
    <mergeCell ref="B37:B42"/>
    <mergeCell ref="C37:C42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43:B48"/>
  </mergeCells>
  <pageMargins left="0" right="0" top="0.75" bottom="0.75" header="0.3" footer="0.3"/>
  <pageSetup paperSize="9" scale="5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B2:R158"/>
  <sheetViews>
    <sheetView zoomScale="90" zoomScaleNormal="90" workbookViewId="0">
      <pane xSplit="4" ySplit="1" topLeftCell="E49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31" width="9.140625" style="68"/>
    <col min="232" max="232" width="3.7109375" style="68" customWidth="1"/>
    <col min="233" max="233" width="4" style="68" bestFit="1" customWidth="1"/>
    <col min="234" max="234" width="14.5703125" style="68" customWidth="1"/>
    <col min="235" max="235" width="11.140625" style="68" customWidth="1"/>
    <col min="236" max="236" width="8.7109375" style="68" customWidth="1"/>
    <col min="237" max="237" width="9.7109375" style="68" bestFit="1" customWidth="1"/>
    <col min="238" max="238" width="10.85546875" style="68" customWidth="1"/>
    <col min="239" max="239" width="10.42578125" style="68" customWidth="1"/>
    <col min="240" max="240" width="9.7109375" style="68" bestFit="1" customWidth="1"/>
    <col min="241" max="243" width="9.28515625" style="68" bestFit="1" customWidth="1"/>
    <col min="244" max="244" width="10.7109375" style="68" bestFit="1" customWidth="1"/>
    <col min="245" max="245" width="11.28515625" style="68" customWidth="1"/>
    <col min="246" max="246" width="12.5703125" style="68" customWidth="1"/>
    <col min="247" max="247" width="13.5703125" style="68" customWidth="1"/>
    <col min="248" max="248" width="13" style="68" customWidth="1"/>
    <col min="249" max="487" width="9.140625" style="68"/>
    <col min="488" max="488" width="3.7109375" style="68" customWidth="1"/>
    <col min="489" max="489" width="4" style="68" bestFit="1" customWidth="1"/>
    <col min="490" max="490" width="14.5703125" style="68" customWidth="1"/>
    <col min="491" max="491" width="11.140625" style="68" customWidth="1"/>
    <col min="492" max="492" width="8.7109375" style="68" customWidth="1"/>
    <col min="493" max="493" width="9.7109375" style="68" bestFit="1" customWidth="1"/>
    <col min="494" max="494" width="10.85546875" style="68" customWidth="1"/>
    <col min="495" max="495" width="10.42578125" style="68" customWidth="1"/>
    <col min="496" max="496" width="9.7109375" style="68" bestFit="1" customWidth="1"/>
    <col min="497" max="499" width="9.28515625" style="68" bestFit="1" customWidth="1"/>
    <col min="500" max="500" width="10.7109375" style="68" bestFit="1" customWidth="1"/>
    <col min="501" max="501" width="11.28515625" style="68" customWidth="1"/>
    <col min="502" max="502" width="12.5703125" style="68" customWidth="1"/>
    <col min="503" max="503" width="13.5703125" style="68" customWidth="1"/>
    <col min="504" max="504" width="13" style="68" customWidth="1"/>
    <col min="505" max="743" width="9.140625" style="68"/>
    <col min="744" max="744" width="3.7109375" style="68" customWidth="1"/>
    <col min="745" max="745" width="4" style="68" bestFit="1" customWidth="1"/>
    <col min="746" max="746" width="14.5703125" style="68" customWidth="1"/>
    <col min="747" max="747" width="11.140625" style="68" customWidth="1"/>
    <col min="748" max="748" width="8.7109375" style="68" customWidth="1"/>
    <col min="749" max="749" width="9.7109375" style="68" bestFit="1" customWidth="1"/>
    <col min="750" max="750" width="10.85546875" style="68" customWidth="1"/>
    <col min="751" max="751" width="10.42578125" style="68" customWidth="1"/>
    <col min="752" max="752" width="9.7109375" style="68" bestFit="1" customWidth="1"/>
    <col min="753" max="755" width="9.28515625" style="68" bestFit="1" customWidth="1"/>
    <col min="756" max="756" width="10.7109375" style="68" bestFit="1" customWidth="1"/>
    <col min="757" max="757" width="11.28515625" style="68" customWidth="1"/>
    <col min="758" max="758" width="12.5703125" style="68" customWidth="1"/>
    <col min="759" max="759" width="13.5703125" style="68" customWidth="1"/>
    <col min="760" max="760" width="13" style="68" customWidth="1"/>
    <col min="761" max="999" width="9.140625" style="68"/>
    <col min="1000" max="1000" width="3.7109375" style="68" customWidth="1"/>
    <col min="1001" max="1001" width="4" style="68" bestFit="1" customWidth="1"/>
    <col min="1002" max="1002" width="14.5703125" style="68" customWidth="1"/>
    <col min="1003" max="1003" width="11.140625" style="68" customWidth="1"/>
    <col min="1004" max="1004" width="8.7109375" style="68" customWidth="1"/>
    <col min="1005" max="1005" width="9.7109375" style="68" bestFit="1" customWidth="1"/>
    <col min="1006" max="1006" width="10.85546875" style="68" customWidth="1"/>
    <col min="1007" max="1007" width="10.42578125" style="68" customWidth="1"/>
    <col min="1008" max="1008" width="9.7109375" style="68" bestFit="1" customWidth="1"/>
    <col min="1009" max="1011" width="9.28515625" style="68" bestFit="1" customWidth="1"/>
    <col min="1012" max="1012" width="10.7109375" style="68" bestFit="1" customWidth="1"/>
    <col min="1013" max="1013" width="11.28515625" style="68" customWidth="1"/>
    <col min="1014" max="1014" width="12.5703125" style="68" customWidth="1"/>
    <col min="1015" max="1015" width="13.5703125" style="68" customWidth="1"/>
    <col min="1016" max="1016" width="13" style="68" customWidth="1"/>
    <col min="1017" max="1255" width="9.140625" style="68"/>
    <col min="1256" max="1256" width="3.7109375" style="68" customWidth="1"/>
    <col min="1257" max="1257" width="4" style="68" bestFit="1" customWidth="1"/>
    <col min="1258" max="1258" width="14.5703125" style="68" customWidth="1"/>
    <col min="1259" max="1259" width="11.140625" style="68" customWidth="1"/>
    <col min="1260" max="1260" width="8.7109375" style="68" customWidth="1"/>
    <col min="1261" max="1261" width="9.7109375" style="68" bestFit="1" customWidth="1"/>
    <col min="1262" max="1262" width="10.85546875" style="68" customWidth="1"/>
    <col min="1263" max="1263" width="10.42578125" style="68" customWidth="1"/>
    <col min="1264" max="1264" width="9.7109375" style="68" bestFit="1" customWidth="1"/>
    <col min="1265" max="1267" width="9.28515625" style="68" bestFit="1" customWidth="1"/>
    <col min="1268" max="1268" width="10.7109375" style="68" bestFit="1" customWidth="1"/>
    <col min="1269" max="1269" width="11.28515625" style="68" customWidth="1"/>
    <col min="1270" max="1270" width="12.5703125" style="68" customWidth="1"/>
    <col min="1271" max="1271" width="13.5703125" style="68" customWidth="1"/>
    <col min="1272" max="1272" width="13" style="68" customWidth="1"/>
    <col min="1273" max="1511" width="9.140625" style="68"/>
    <col min="1512" max="1512" width="3.7109375" style="68" customWidth="1"/>
    <col min="1513" max="1513" width="4" style="68" bestFit="1" customWidth="1"/>
    <col min="1514" max="1514" width="14.5703125" style="68" customWidth="1"/>
    <col min="1515" max="1515" width="11.140625" style="68" customWidth="1"/>
    <col min="1516" max="1516" width="8.7109375" style="68" customWidth="1"/>
    <col min="1517" max="1517" width="9.7109375" style="68" bestFit="1" customWidth="1"/>
    <col min="1518" max="1518" width="10.85546875" style="68" customWidth="1"/>
    <col min="1519" max="1519" width="10.42578125" style="68" customWidth="1"/>
    <col min="1520" max="1520" width="9.7109375" style="68" bestFit="1" customWidth="1"/>
    <col min="1521" max="1523" width="9.28515625" style="68" bestFit="1" customWidth="1"/>
    <col min="1524" max="1524" width="10.7109375" style="68" bestFit="1" customWidth="1"/>
    <col min="1525" max="1525" width="11.28515625" style="68" customWidth="1"/>
    <col min="1526" max="1526" width="12.5703125" style="68" customWidth="1"/>
    <col min="1527" max="1527" width="13.5703125" style="68" customWidth="1"/>
    <col min="1528" max="1528" width="13" style="68" customWidth="1"/>
    <col min="1529" max="1767" width="9.140625" style="68"/>
    <col min="1768" max="1768" width="3.7109375" style="68" customWidth="1"/>
    <col min="1769" max="1769" width="4" style="68" bestFit="1" customWidth="1"/>
    <col min="1770" max="1770" width="14.5703125" style="68" customWidth="1"/>
    <col min="1771" max="1771" width="11.140625" style="68" customWidth="1"/>
    <col min="1772" max="1772" width="8.7109375" style="68" customWidth="1"/>
    <col min="1773" max="1773" width="9.7109375" style="68" bestFit="1" customWidth="1"/>
    <col min="1774" max="1774" width="10.85546875" style="68" customWidth="1"/>
    <col min="1775" max="1775" width="10.42578125" style="68" customWidth="1"/>
    <col min="1776" max="1776" width="9.7109375" style="68" bestFit="1" customWidth="1"/>
    <col min="1777" max="1779" width="9.28515625" style="68" bestFit="1" customWidth="1"/>
    <col min="1780" max="1780" width="10.7109375" style="68" bestFit="1" customWidth="1"/>
    <col min="1781" max="1781" width="11.28515625" style="68" customWidth="1"/>
    <col min="1782" max="1782" width="12.5703125" style="68" customWidth="1"/>
    <col min="1783" max="1783" width="13.5703125" style="68" customWidth="1"/>
    <col min="1784" max="1784" width="13" style="68" customWidth="1"/>
    <col min="1785" max="2023" width="9.140625" style="68"/>
    <col min="2024" max="2024" width="3.7109375" style="68" customWidth="1"/>
    <col min="2025" max="2025" width="4" style="68" bestFit="1" customWidth="1"/>
    <col min="2026" max="2026" width="14.5703125" style="68" customWidth="1"/>
    <col min="2027" max="2027" width="11.140625" style="68" customWidth="1"/>
    <col min="2028" max="2028" width="8.7109375" style="68" customWidth="1"/>
    <col min="2029" max="2029" width="9.7109375" style="68" bestFit="1" customWidth="1"/>
    <col min="2030" max="2030" width="10.85546875" style="68" customWidth="1"/>
    <col min="2031" max="2031" width="10.42578125" style="68" customWidth="1"/>
    <col min="2032" max="2032" width="9.7109375" style="68" bestFit="1" customWidth="1"/>
    <col min="2033" max="2035" width="9.28515625" style="68" bestFit="1" customWidth="1"/>
    <col min="2036" max="2036" width="10.7109375" style="68" bestFit="1" customWidth="1"/>
    <col min="2037" max="2037" width="11.28515625" style="68" customWidth="1"/>
    <col min="2038" max="2038" width="12.5703125" style="68" customWidth="1"/>
    <col min="2039" max="2039" width="13.5703125" style="68" customWidth="1"/>
    <col min="2040" max="2040" width="13" style="68" customWidth="1"/>
    <col min="2041" max="2279" width="9.140625" style="68"/>
    <col min="2280" max="2280" width="3.7109375" style="68" customWidth="1"/>
    <col min="2281" max="2281" width="4" style="68" bestFit="1" customWidth="1"/>
    <col min="2282" max="2282" width="14.5703125" style="68" customWidth="1"/>
    <col min="2283" max="2283" width="11.140625" style="68" customWidth="1"/>
    <col min="2284" max="2284" width="8.7109375" style="68" customWidth="1"/>
    <col min="2285" max="2285" width="9.7109375" style="68" bestFit="1" customWidth="1"/>
    <col min="2286" max="2286" width="10.85546875" style="68" customWidth="1"/>
    <col min="2287" max="2287" width="10.42578125" style="68" customWidth="1"/>
    <col min="2288" max="2288" width="9.7109375" style="68" bestFit="1" customWidth="1"/>
    <col min="2289" max="2291" width="9.28515625" style="68" bestFit="1" customWidth="1"/>
    <col min="2292" max="2292" width="10.7109375" style="68" bestFit="1" customWidth="1"/>
    <col min="2293" max="2293" width="11.28515625" style="68" customWidth="1"/>
    <col min="2294" max="2294" width="12.5703125" style="68" customWidth="1"/>
    <col min="2295" max="2295" width="13.5703125" style="68" customWidth="1"/>
    <col min="2296" max="2296" width="13" style="68" customWidth="1"/>
    <col min="2297" max="2535" width="9.140625" style="68"/>
    <col min="2536" max="2536" width="3.7109375" style="68" customWidth="1"/>
    <col min="2537" max="2537" width="4" style="68" bestFit="1" customWidth="1"/>
    <col min="2538" max="2538" width="14.5703125" style="68" customWidth="1"/>
    <col min="2539" max="2539" width="11.140625" style="68" customWidth="1"/>
    <col min="2540" max="2540" width="8.7109375" style="68" customWidth="1"/>
    <col min="2541" max="2541" width="9.7109375" style="68" bestFit="1" customWidth="1"/>
    <col min="2542" max="2542" width="10.85546875" style="68" customWidth="1"/>
    <col min="2543" max="2543" width="10.42578125" style="68" customWidth="1"/>
    <col min="2544" max="2544" width="9.7109375" style="68" bestFit="1" customWidth="1"/>
    <col min="2545" max="2547" width="9.28515625" style="68" bestFit="1" customWidth="1"/>
    <col min="2548" max="2548" width="10.7109375" style="68" bestFit="1" customWidth="1"/>
    <col min="2549" max="2549" width="11.28515625" style="68" customWidth="1"/>
    <col min="2550" max="2550" width="12.5703125" style="68" customWidth="1"/>
    <col min="2551" max="2551" width="13.5703125" style="68" customWidth="1"/>
    <col min="2552" max="2552" width="13" style="68" customWidth="1"/>
    <col min="2553" max="2791" width="9.140625" style="68"/>
    <col min="2792" max="2792" width="3.7109375" style="68" customWidth="1"/>
    <col min="2793" max="2793" width="4" style="68" bestFit="1" customWidth="1"/>
    <col min="2794" max="2794" width="14.5703125" style="68" customWidth="1"/>
    <col min="2795" max="2795" width="11.140625" style="68" customWidth="1"/>
    <col min="2796" max="2796" width="8.7109375" style="68" customWidth="1"/>
    <col min="2797" max="2797" width="9.7109375" style="68" bestFit="1" customWidth="1"/>
    <col min="2798" max="2798" width="10.85546875" style="68" customWidth="1"/>
    <col min="2799" max="2799" width="10.42578125" style="68" customWidth="1"/>
    <col min="2800" max="2800" width="9.7109375" style="68" bestFit="1" customWidth="1"/>
    <col min="2801" max="2803" width="9.28515625" style="68" bestFit="1" customWidth="1"/>
    <col min="2804" max="2804" width="10.7109375" style="68" bestFit="1" customWidth="1"/>
    <col min="2805" max="2805" width="11.28515625" style="68" customWidth="1"/>
    <col min="2806" max="2806" width="12.5703125" style="68" customWidth="1"/>
    <col min="2807" max="2807" width="13.5703125" style="68" customWidth="1"/>
    <col min="2808" max="2808" width="13" style="68" customWidth="1"/>
    <col min="2809" max="3047" width="9.140625" style="68"/>
    <col min="3048" max="3048" width="3.7109375" style="68" customWidth="1"/>
    <col min="3049" max="3049" width="4" style="68" bestFit="1" customWidth="1"/>
    <col min="3050" max="3050" width="14.5703125" style="68" customWidth="1"/>
    <col min="3051" max="3051" width="11.140625" style="68" customWidth="1"/>
    <col min="3052" max="3052" width="8.7109375" style="68" customWidth="1"/>
    <col min="3053" max="3053" width="9.7109375" style="68" bestFit="1" customWidth="1"/>
    <col min="3054" max="3054" width="10.85546875" style="68" customWidth="1"/>
    <col min="3055" max="3055" width="10.42578125" style="68" customWidth="1"/>
    <col min="3056" max="3056" width="9.7109375" style="68" bestFit="1" customWidth="1"/>
    <col min="3057" max="3059" width="9.28515625" style="68" bestFit="1" customWidth="1"/>
    <col min="3060" max="3060" width="10.7109375" style="68" bestFit="1" customWidth="1"/>
    <col min="3061" max="3061" width="11.28515625" style="68" customWidth="1"/>
    <col min="3062" max="3062" width="12.5703125" style="68" customWidth="1"/>
    <col min="3063" max="3063" width="13.5703125" style="68" customWidth="1"/>
    <col min="3064" max="3064" width="13" style="68" customWidth="1"/>
    <col min="3065" max="3303" width="9.140625" style="68"/>
    <col min="3304" max="3304" width="3.7109375" style="68" customWidth="1"/>
    <col min="3305" max="3305" width="4" style="68" bestFit="1" customWidth="1"/>
    <col min="3306" max="3306" width="14.5703125" style="68" customWidth="1"/>
    <col min="3307" max="3307" width="11.140625" style="68" customWidth="1"/>
    <col min="3308" max="3308" width="8.7109375" style="68" customWidth="1"/>
    <col min="3309" max="3309" width="9.7109375" style="68" bestFit="1" customWidth="1"/>
    <col min="3310" max="3310" width="10.85546875" style="68" customWidth="1"/>
    <col min="3311" max="3311" width="10.42578125" style="68" customWidth="1"/>
    <col min="3312" max="3312" width="9.7109375" style="68" bestFit="1" customWidth="1"/>
    <col min="3313" max="3315" width="9.28515625" style="68" bestFit="1" customWidth="1"/>
    <col min="3316" max="3316" width="10.7109375" style="68" bestFit="1" customWidth="1"/>
    <col min="3317" max="3317" width="11.28515625" style="68" customWidth="1"/>
    <col min="3318" max="3318" width="12.5703125" style="68" customWidth="1"/>
    <col min="3319" max="3319" width="13.5703125" style="68" customWidth="1"/>
    <col min="3320" max="3320" width="13" style="68" customWidth="1"/>
    <col min="3321" max="3559" width="9.140625" style="68"/>
    <col min="3560" max="3560" width="3.7109375" style="68" customWidth="1"/>
    <col min="3561" max="3561" width="4" style="68" bestFit="1" customWidth="1"/>
    <col min="3562" max="3562" width="14.5703125" style="68" customWidth="1"/>
    <col min="3563" max="3563" width="11.140625" style="68" customWidth="1"/>
    <col min="3564" max="3564" width="8.7109375" style="68" customWidth="1"/>
    <col min="3565" max="3565" width="9.7109375" style="68" bestFit="1" customWidth="1"/>
    <col min="3566" max="3566" width="10.85546875" style="68" customWidth="1"/>
    <col min="3567" max="3567" width="10.42578125" style="68" customWidth="1"/>
    <col min="3568" max="3568" width="9.7109375" style="68" bestFit="1" customWidth="1"/>
    <col min="3569" max="3571" width="9.28515625" style="68" bestFit="1" customWidth="1"/>
    <col min="3572" max="3572" width="10.7109375" style="68" bestFit="1" customWidth="1"/>
    <col min="3573" max="3573" width="11.28515625" style="68" customWidth="1"/>
    <col min="3574" max="3574" width="12.5703125" style="68" customWidth="1"/>
    <col min="3575" max="3575" width="13.5703125" style="68" customWidth="1"/>
    <col min="3576" max="3576" width="13" style="68" customWidth="1"/>
    <col min="3577" max="3815" width="9.140625" style="68"/>
    <col min="3816" max="3816" width="3.7109375" style="68" customWidth="1"/>
    <col min="3817" max="3817" width="4" style="68" bestFit="1" customWidth="1"/>
    <col min="3818" max="3818" width="14.5703125" style="68" customWidth="1"/>
    <col min="3819" max="3819" width="11.140625" style="68" customWidth="1"/>
    <col min="3820" max="3820" width="8.7109375" style="68" customWidth="1"/>
    <col min="3821" max="3821" width="9.7109375" style="68" bestFit="1" customWidth="1"/>
    <col min="3822" max="3822" width="10.85546875" style="68" customWidth="1"/>
    <col min="3823" max="3823" width="10.42578125" style="68" customWidth="1"/>
    <col min="3824" max="3824" width="9.7109375" style="68" bestFit="1" customWidth="1"/>
    <col min="3825" max="3827" width="9.28515625" style="68" bestFit="1" customWidth="1"/>
    <col min="3828" max="3828" width="10.7109375" style="68" bestFit="1" customWidth="1"/>
    <col min="3829" max="3829" width="11.28515625" style="68" customWidth="1"/>
    <col min="3830" max="3830" width="12.5703125" style="68" customWidth="1"/>
    <col min="3831" max="3831" width="13.5703125" style="68" customWidth="1"/>
    <col min="3832" max="3832" width="13" style="68" customWidth="1"/>
    <col min="3833" max="4071" width="9.140625" style="68"/>
    <col min="4072" max="4072" width="3.7109375" style="68" customWidth="1"/>
    <col min="4073" max="4073" width="4" style="68" bestFit="1" customWidth="1"/>
    <col min="4074" max="4074" width="14.5703125" style="68" customWidth="1"/>
    <col min="4075" max="4075" width="11.140625" style="68" customWidth="1"/>
    <col min="4076" max="4076" width="8.7109375" style="68" customWidth="1"/>
    <col min="4077" max="4077" width="9.7109375" style="68" bestFit="1" customWidth="1"/>
    <col min="4078" max="4078" width="10.85546875" style="68" customWidth="1"/>
    <col min="4079" max="4079" width="10.42578125" style="68" customWidth="1"/>
    <col min="4080" max="4080" width="9.7109375" style="68" bestFit="1" customWidth="1"/>
    <col min="4081" max="4083" width="9.28515625" style="68" bestFit="1" customWidth="1"/>
    <col min="4084" max="4084" width="10.7109375" style="68" bestFit="1" customWidth="1"/>
    <col min="4085" max="4085" width="11.28515625" style="68" customWidth="1"/>
    <col min="4086" max="4086" width="12.5703125" style="68" customWidth="1"/>
    <col min="4087" max="4087" width="13.5703125" style="68" customWidth="1"/>
    <col min="4088" max="4088" width="13" style="68" customWidth="1"/>
    <col min="4089" max="4327" width="9.140625" style="68"/>
    <col min="4328" max="4328" width="3.7109375" style="68" customWidth="1"/>
    <col min="4329" max="4329" width="4" style="68" bestFit="1" customWidth="1"/>
    <col min="4330" max="4330" width="14.5703125" style="68" customWidth="1"/>
    <col min="4331" max="4331" width="11.140625" style="68" customWidth="1"/>
    <col min="4332" max="4332" width="8.7109375" style="68" customWidth="1"/>
    <col min="4333" max="4333" width="9.7109375" style="68" bestFit="1" customWidth="1"/>
    <col min="4334" max="4334" width="10.85546875" style="68" customWidth="1"/>
    <col min="4335" max="4335" width="10.42578125" style="68" customWidth="1"/>
    <col min="4336" max="4336" width="9.7109375" style="68" bestFit="1" customWidth="1"/>
    <col min="4337" max="4339" width="9.28515625" style="68" bestFit="1" customWidth="1"/>
    <col min="4340" max="4340" width="10.7109375" style="68" bestFit="1" customWidth="1"/>
    <col min="4341" max="4341" width="11.28515625" style="68" customWidth="1"/>
    <col min="4342" max="4342" width="12.5703125" style="68" customWidth="1"/>
    <col min="4343" max="4343" width="13.5703125" style="68" customWidth="1"/>
    <col min="4344" max="4344" width="13" style="68" customWidth="1"/>
    <col min="4345" max="4583" width="9.140625" style="68"/>
    <col min="4584" max="4584" width="3.7109375" style="68" customWidth="1"/>
    <col min="4585" max="4585" width="4" style="68" bestFit="1" customWidth="1"/>
    <col min="4586" max="4586" width="14.5703125" style="68" customWidth="1"/>
    <col min="4587" max="4587" width="11.140625" style="68" customWidth="1"/>
    <col min="4588" max="4588" width="8.7109375" style="68" customWidth="1"/>
    <col min="4589" max="4589" width="9.7109375" style="68" bestFit="1" customWidth="1"/>
    <col min="4590" max="4590" width="10.85546875" style="68" customWidth="1"/>
    <col min="4591" max="4591" width="10.42578125" style="68" customWidth="1"/>
    <col min="4592" max="4592" width="9.7109375" style="68" bestFit="1" customWidth="1"/>
    <col min="4593" max="4595" width="9.28515625" style="68" bestFit="1" customWidth="1"/>
    <col min="4596" max="4596" width="10.7109375" style="68" bestFit="1" customWidth="1"/>
    <col min="4597" max="4597" width="11.28515625" style="68" customWidth="1"/>
    <col min="4598" max="4598" width="12.5703125" style="68" customWidth="1"/>
    <col min="4599" max="4599" width="13.5703125" style="68" customWidth="1"/>
    <col min="4600" max="4600" width="13" style="68" customWidth="1"/>
    <col min="4601" max="4839" width="9.140625" style="68"/>
    <col min="4840" max="4840" width="3.7109375" style="68" customWidth="1"/>
    <col min="4841" max="4841" width="4" style="68" bestFit="1" customWidth="1"/>
    <col min="4842" max="4842" width="14.5703125" style="68" customWidth="1"/>
    <col min="4843" max="4843" width="11.140625" style="68" customWidth="1"/>
    <col min="4844" max="4844" width="8.7109375" style="68" customWidth="1"/>
    <col min="4845" max="4845" width="9.7109375" style="68" bestFit="1" customWidth="1"/>
    <col min="4846" max="4846" width="10.85546875" style="68" customWidth="1"/>
    <col min="4847" max="4847" width="10.42578125" style="68" customWidth="1"/>
    <col min="4848" max="4848" width="9.7109375" style="68" bestFit="1" customWidth="1"/>
    <col min="4849" max="4851" width="9.28515625" style="68" bestFit="1" customWidth="1"/>
    <col min="4852" max="4852" width="10.7109375" style="68" bestFit="1" customWidth="1"/>
    <col min="4853" max="4853" width="11.28515625" style="68" customWidth="1"/>
    <col min="4854" max="4854" width="12.5703125" style="68" customWidth="1"/>
    <col min="4855" max="4855" width="13.5703125" style="68" customWidth="1"/>
    <col min="4856" max="4856" width="13" style="68" customWidth="1"/>
    <col min="4857" max="5095" width="9.140625" style="68"/>
    <col min="5096" max="5096" width="3.7109375" style="68" customWidth="1"/>
    <col min="5097" max="5097" width="4" style="68" bestFit="1" customWidth="1"/>
    <col min="5098" max="5098" width="14.5703125" style="68" customWidth="1"/>
    <col min="5099" max="5099" width="11.140625" style="68" customWidth="1"/>
    <col min="5100" max="5100" width="8.7109375" style="68" customWidth="1"/>
    <col min="5101" max="5101" width="9.7109375" style="68" bestFit="1" customWidth="1"/>
    <col min="5102" max="5102" width="10.85546875" style="68" customWidth="1"/>
    <col min="5103" max="5103" width="10.42578125" style="68" customWidth="1"/>
    <col min="5104" max="5104" width="9.7109375" style="68" bestFit="1" customWidth="1"/>
    <col min="5105" max="5107" width="9.28515625" style="68" bestFit="1" customWidth="1"/>
    <col min="5108" max="5108" width="10.7109375" style="68" bestFit="1" customWidth="1"/>
    <col min="5109" max="5109" width="11.28515625" style="68" customWidth="1"/>
    <col min="5110" max="5110" width="12.5703125" style="68" customWidth="1"/>
    <col min="5111" max="5111" width="13.5703125" style="68" customWidth="1"/>
    <col min="5112" max="5112" width="13" style="68" customWidth="1"/>
    <col min="5113" max="5351" width="9.140625" style="68"/>
    <col min="5352" max="5352" width="3.7109375" style="68" customWidth="1"/>
    <col min="5353" max="5353" width="4" style="68" bestFit="1" customWidth="1"/>
    <col min="5354" max="5354" width="14.5703125" style="68" customWidth="1"/>
    <col min="5355" max="5355" width="11.140625" style="68" customWidth="1"/>
    <col min="5356" max="5356" width="8.7109375" style="68" customWidth="1"/>
    <col min="5357" max="5357" width="9.7109375" style="68" bestFit="1" customWidth="1"/>
    <col min="5358" max="5358" width="10.85546875" style="68" customWidth="1"/>
    <col min="5359" max="5359" width="10.42578125" style="68" customWidth="1"/>
    <col min="5360" max="5360" width="9.7109375" style="68" bestFit="1" customWidth="1"/>
    <col min="5361" max="5363" width="9.28515625" style="68" bestFit="1" customWidth="1"/>
    <col min="5364" max="5364" width="10.7109375" style="68" bestFit="1" customWidth="1"/>
    <col min="5365" max="5365" width="11.28515625" style="68" customWidth="1"/>
    <col min="5366" max="5366" width="12.5703125" style="68" customWidth="1"/>
    <col min="5367" max="5367" width="13.5703125" style="68" customWidth="1"/>
    <col min="5368" max="5368" width="13" style="68" customWidth="1"/>
    <col min="5369" max="5607" width="9.140625" style="68"/>
    <col min="5608" max="5608" width="3.7109375" style="68" customWidth="1"/>
    <col min="5609" max="5609" width="4" style="68" bestFit="1" customWidth="1"/>
    <col min="5610" max="5610" width="14.5703125" style="68" customWidth="1"/>
    <col min="5611" max="5611" width="11.140625" style="68" customWidth="1"/>
    <col min="5612" max="5612" width="8.7109375" style="68" customWidth="1"/>
    <col min="5613" max="5613" width="9.7109375" style="68" bestFit="1" customWidth="1"/>
    <col min="5614" max="5614" width="10.85546875" style="68" customWidth="1"/>
    <col min="5615" max="5615" width="10.42578125" style="68" customWidth="1"/>
    <col min="5616" max="5616" width="9.7109375" style="68" bestFit="1" customWidth="1"/>
    <col min="5617" max="5619" width="9.28515625" style="68" bestFit="1" customWidth="1"/>
    <col min="5620" max="5620" width="10.7109375" style="68" bestFit="1" customWidth="1"/>
    <col min="5621" max="5621" width="11.28515625" style="68" customWidth="1"/>
    <col min="5622" max="5622" width="12.5703125" style="68" customWidth="1"/>
    <col min="5623" max="5623" width="13.5703125" style="68" customWidth="1"/>
    <col min="5624" max="5624" width="13" style="68" customWidth="1"/>
    <col min="5625" max="5863" width="9.140625" style="68"/>
    <col min="5864" max="5864" width="3.7109375" style="68" customWidth="1"/>
    <col min="5865" max="5865" width="4" style="68" bestFit="1" customWidth="1"/>
    <col min="5866" max="5866" width="14.5703125" style="68" customWidth="1"/>
    <col min="5867" max="5867" width="11.140625" style="68" customWidth="1"/>
    <col min="5868" max="5868" width="8.7109375" style="68" customWidth="1"/>
    <col min="5869" max="5869" width="9.7109375" style="68" bestFit="1" customWidth="1"/>
    <col min="5870" max="5870" width="10.85546875" style="68" customWidth="1"/>
    <col min="5871" max="5871" width="10.42578125" style="68" customWidth="1"/>
    <col min="5872" max="5872" width="9.7109375" style="68" bestFit="1" customWidth="1"/>
    <col min="5873" max="5875" width="9.28515625" style="68" bestFit="1" customWidth="1"/>
    <col min="5876" max="5876" width="10.7109375" style="68" bestFit="1" customWidth="1"/>
    <col min="5877" max="5877" width="11.28515625" style="68" customWidth="1"/>
    <col min="5878" max="5878" width="12.5703125" style="68" customWidth="1"/>
    <col min="5879" max="5879" width="13.5703125" style="68" customWidth="1"/>
    <col min="5880" max="5880" width="13" style="68" customWidth="1"/>
    <col min="5881" max="6119" width="9.140625" style="68"/>
    <col min="6120" max="6120" width="3.7109375" style="68" customWidth="1"/>
    <col min="6121" max="6121" width="4" style="68" bestFit="1" customWidth="1"/>
    <col min="6122" max="6122" width="14.5703125" style="68" customWidth="1"/>
    <col min="6123" max="6123" width="11.140625" style="68" customWidth="1"/>
    <col min="6124" max="6124" width="8.7109375" style="68" customWidth="1"/>
    <col min="6125" max="6125" width="9.7109375" style="68" bestFit="1" customWidth="1"/>
    <col min="6126" max="6126" width="10.85546875" style="68" customWidth="1"/>
    <col min="6127" max="6127" width="10.42578125" style="68" customWidth="1"/>
    <col min="6128" max="6128" width="9.7109375" style="68" bestFit="1" customWidth="1"/>
    <col min="6129" max="6131" width="9.28515625" style="68" bestFit="1" customWidth="1"/>
    <col min="6132" max="6132" width="10.7109375" style="68" bestFit="1" customWidth="1"/>
    <col min="6133" max="6133" width="11.28515625" style="68" customWidth="1"/>
    <col min="6134" max="6134" width="12.5703125" style="68" customWidth="1"/>
    <col min="6135" max="6135" width="13.5703125" style="68" customWidth="1"/>
    <col min="6136" max="6136" width="13" style="68" customWidth="1"/>
    <col min="6137" max="6375" width="9.140625" style="68"/>
    <col min="6376" max="6376" width="3.7109375" style="68" customWidth="1"/>
    <col min="6377" max="6377" width="4" style="68" bestFit="1" customWidth="1"/>
    <col min="6378" max="6378" width="14.5703125" style="68" customWidth="1"/>
    <col min="6379" max="6379" width="11.140625" style="68" customWidth="1"/>
    <col min="6380" max="6380" width="8.7109375" style="68" customWidth="1"/>
    <col min="6381" max="6381" width="9.7109375" style="68" bestFit="1" customWidth="1"/>
    <col min="6382" max="6382" width="10.85546875" style="68" customWidth="1"/>
    <col min="6383" max="6383" width="10.42578125" style="68" customWidth="1"/>
    <col min="6384" max="6384" width="9.7109375" style="68" bestFit="1" customWidth="1"/>
    <col min="6385" max="6387" width="9.28515625" style="68" bestFit="1" customWidth="1"/>
    <col min="6388" max="6388" width="10.7109375" style="68" bestFit="1" customWidth="1"/>
    <col min="6389" max="6389" width="11.28515625" style="68" customWidth="1"/>
    <col min="6390" max="6390" width="12.5703125" style="68" customWidth="1"/>
    <col min="6391" max="6391" width="13.5703125" style="68" customWidth="1"/>
    <col min="6392" max="6392" width="13" style="68" customWidth="1"/>
    <col min="6393" max="6631" width="9.140625" style="68"/>
    <col min="6632" max="6632" width="3.7109375" style="68" customWidth="1"/>
    <col min="6633" max="6633" width="4" style="68" bestFit="1" customWidth="1"/>
    <col min="6634" max="6634" width="14.5703125" style="68" customWidth="1"/>
    <col min="6635" max="6635" width="11.140625" style="68" customWidth="1"/>
    <col min="6636" max="6636" width="8.7109375" style="68" customWidth="1"/>
    <col min="6637" max="6637" width="9.7109375" style="68" bestFit="1" customWidth="1"/>
    <col min="6638" max="6638" width="10.85546875" style="68" customWidth="1"/>
    <col min="6639" max="6639" width="10.42578125" style="68" customWidth="1"/>
    <col min="6640" max="6640" width="9.7109375" style="68" bestFit="1" customWidth="1"/>
    <col min="6641" max="6643" width="9.28515625" style="68" bestFit="1" customWidth="1"/>
    <col min="6644" max="6644" width="10.7109375" style="68" bestFit="1" customWidth="1"/>
    <col min="6645" max="6645" width="11.28515625" style="68" customWidth="1"/>
    <col min="6646" max="6646" width="12.5703125" style="68" customWidth="1"/>
    <col min="6647" max="6647" width="13.5703125" style="68" customWidth="1"/>
    <col min="6648" max="6648" width="13" style="68" customWidth="1"/>
    <col min="6649" max="6887" width="9.140625" style="68"/>
    <col min="6888" max="6888" width="3.7109375" style="68" customWidth="1"/>
    <col min="6889" max="6889" width="4" style="68" bestFit="1" customWidth="1"/>
    <col min="6890" max="6890" width="14.5703125" style="68" customWidth="1"/>
    <col min="6891" max="6891" width="11.140625" style="68" customWidth="1"/>
    <col min="6892" max="6892" width="8.7109375" style="68" customWidth="1"/>
    <col min="6893" max="6893" width="9.7109375" style="68" bestFit="1" customWidth="1"/>
    <col min="6894" max="6894" width="10.85546875" style="68" customWidth="1"/>
    <col min="6895" max="6895" width="10.42578125" style="68" customWidth="1"/>
    <col min="6896" max="6896" width="9.7109375" style="68" bestFit="1" customWidth="1"/>
    <col min="6897" max="6899" width="9.28515625" style="68" bestFit="1" customWidth="1"/>
    <col min="6900" max="6900" width="10.7109375" style="68" bestFit="1" customWidth="1"/>
    <col min="6901" max="6901" width="11.28515625" style="68" customWidth="1"/>
    <col min="6902" max="6902" width="12.5703125" style="68" customWidth="1"/>
    <col min="6903" max="6903" width="13.5703125" style="68" customWidth="1"/>
    <col min="6904" max="6904" width="13" style="68" customWidth="1"/>
    <col min="6905" max="7143" width="9.140625" style="68"/>
    <col min="7144" max="7144" width="3.7109375" style="68" customWidth="1"/>
    <col min="7145" max="7145" width="4" style="68" bestFit="1" customWidth="1"/>
    <col min="7146" max="7146" width="14.5703125" style="68" customWidth="1"/>
    <col min="7147" max="7147" width="11.140625" style="68" customWidth="1"/>
    <col min="7148" max="7148" width="8.7109375" style="68" customWidth="1"/>
    <col min="7149" max="7149" width="9.7109375" style="68" bestFit="1" customWidth="1"/>
    <col min="7150" max="7150" width="10.85546875" style="68" customWidth="1"/>
    <col min="7151" max="7151" width="10.42578125" style="68" customWidth="1"/>
    <col min="7152" max="7152" width="9.7109375" style="68" bestFit="1" customWidth="1"/>
    <col min="7153" max="7155" width="9.28515625" style="68" bestFit="1" customWidth="1"/>
    <col min="7156" max="7156" width="10.7109375" style="68" bestFit="1" customWidth="1"/>
    <col min="7157" max="7157" width="11.28515625" style="68" customWidth="1"/>
    <col min="7158" max="7158" width="12.5703125" style="68" customWidth="1"/>
    <col min="7159" max="7159" width="13.5703125" style="68" customWidth="1"/>
    <col min="7160" max="7160" width="13" style="68" customWidth="1"/>
    <col min="7161" max="7399" width="9.140625" style="68"/>
    <col min="7400" max="7400" width="3.7109375" style="68" customWidth="1"/>
    <col min="7401" max="7401" width="4" style="68" bestFit="1" customWidth="1"/>
    <col min="7402" max="7402" width="14.5703125" style="68" customWidth="1"/>
    <col min="7403" max="7403" width="11.140625" style="68" customWidth="1"/>
    <col min="7404" max="7404" width="8.7109375" style="68" customWidth="1"/>
    <col min="7405" max="7405" width="9.7109375" style="68" bestFit="1" customWidth="1"/>
    <col min="7406" max="7406" width="10.85546875" style="68" customWidth="1"/>
    <col min="7407" max="7407" width="10.42578125" style="68" customWidth="1"/>
    <col min="7408" max="7408" width="9.7109375" style="68" bestFit="1" customWidth="1"/>
    <col min="7409" max="7411" width="9.28515625" style="68" bestFit="1" customWidth="1"/>
    <col min="7412" max="7412" width="10.7109375" style="68" bestFit="1" customWidth="1"/>
    <col min="7413" max="7413" width="11.28515625" style="68" customWidth="1"/>
    <col min="7414" max="7414" width="12.5703125" style="68" customWidth="1"/>
    <col min="7415" max="7415" width="13.5703125" style="68" customWidth="1"/>
    <col min="7416" max="7416" width="13" style="68" customWidth="1"/>
    <col min="7417" max="7655" width="9.140625" style="68"/>
    <col min="7656" max="7656" width="3.7109375" style="68" customWidth="1"/>
    <col min="7657" max="7657" width="4" style="68" bestFit="1" customWidth="1"/>
    <col min="7658" max="7658" width="14.5703125" style="68" customWidth="1"/>
    <col min="7659" max="7659" width="11.140625" style="68" customWidth="1"/>
    <col min="7660" max="7660" width="8.7109375" style="68" customWidth="1"/>
    <col min="7661" max="7661" width="9.7109375" style="68" bestFit="1" customWidth="1"/>
    <col min="7662" max="7662" width="10.85546875" style="68" customWidth="1"/>
    <col min="7663" max="7663" width="10.42578125" style="68" customWidth="1"/>
    <col min="7664" max="7664" width="9.7109375" style="68" bestFit="1" customWidth="1"/>
    <col min="7665" max="7667" width="9.28515625" style="68" bestFit="1" customWidth="1"/>
    <col min="7668" max="7668" width="10.7109375" style="68" bestFit="1" customWidth="1"/>
    <col min="7669" max="7669" width="11.28515625" style="68" customWidth="1"/>
    <col min="7670" max="7670" width="12.5703125" style="68" customWidth="1"/>
    <col min="7671" max="7671" width="13.5703125" style="68" customWidth="1"/>
    <col min="7672" max="7672" width="13" style="68" customWidth="1"/>
    <col min="7673" max="7911" width="9.140625" style="68"/>
    <col min="7912" max="7912" width="3.7109375" style="68" customWidth="1"/>
    <col min="7913" max="7913" width="4" style="68" bestFit="1" customWidth="1"/>
    <col min="7914" max="7914" width="14.5703125" style="68" customWidth="1"/>
    <col min="7915" max="7915" width="11.140625" style="68" customWidth="1"/>
    <col min="7916" max="7916" width="8.7109375" style="68" customWidth="1"/>
    <col min="7917" max="7917" width="9.7109375" style="68" bestFit="1" customWidth="1"/>
    <col min="7918" max="7918" width="10.85546875" style="68" customWidth="1"/>
    <col min="7919" max="7919" width="10.42578125" style="68" customWidth="1"/>
    <col min="7920" max="7920" width="9.7109375" style="68" bestFit="1" customWidth="1"/>
    <col min="7921" max="7923" width="9.28515625" style="68" bestFit="1" customWidth="1"/>
    <col min="7924" max="7924" width="10.7109375" style="68" bestFit="1" customWidth="1"/>
    <col min="7925" max="7925" width="11.28515625" style="68" customWidth="1"/>
    <col min="7926" max="7926" width="12.5703125" style="68" customWidth="1"/>
    <col min="7927" max="7927" width="13.5703125" style="68" customWidth="1"/>
    <col min="7928" max="7928" width="13" style="68" customWidth="1"/>
    <col min="7929" max="8167" width="9.140625" style="68"/>
    <col min="8168" max="8168" width="3.7109375" style="68" customWidth="1"/>
    <col min="8169" max="8169" width="4" style="68" bestFit="1" customWidth="1"/>
    <col min="8170" max="8170" width="14.5703125" style="68" customWidth="1"/>
    <col min="8171" max="8171" width="11.140625" style="68" customWidth="1"/>
    <col min="8172" max="8172" width="8.7109375" style="68" customWidth="1"/>
    <col min="8173" max="8173" width="9.7109375" style="68" bestFit="1" customWidth="1"/>
    <col min="8174" max="8174" width="10.85546875" style="68" customWidth="1"/>
    <col min="8175" max="8175" width="10.42578125" style="68" customWidth="1"/>
    <col min="8176" max="8176" width="9.7109375" style="68" bestFit="1" customWidth="1"/>
    <col min="8177" max="8179" width="9.28515625" style="68" bestFit="1" customWidth="1"/>
    <col min="8180" max="8180" width="10.7109375" style="68" bestFit="1" customWidth="1"/>
    <col min="8181" max="8181" width="11.28515625" style="68" customWidth="1"/>
    <col min="8182" max="8182" width="12.5703125" style="68" customWidth="1"/>
    <col min="8183" max="8183" width="13.5703125" style="68" customWidth="1"/>
    <col min="8184" max="8184" width="13" style="68" customWidth="1"/>
    <col min="8185" max="8423" width="9.140625" style="68"/>
    <col min="8424" max="8424" width="3.7109375" style="68" customWidth="1"/>
    <col min="8425" max="8425" width="4" style="68" bestFit="1" customWidth="1"/>
    <col min="8426" max="8426" width="14.5703125" style="68" customWidth="1"/>
    <col min="8427" max="8427" width="11.140625" style="68" customWidth="1"/>
    <col min="8428" max="8428" width="8.7109375" style="68" customWidth="1"/>
    <col min="8429" max="8429" width="9.7109375" style="68" bestFit="1" customWidth="1"/>
    <col min="8430" max="8430" width="10.85546875" style="68" customWidth="1"/>
    <col min="8431" max="8431" width="10.42578125" style="68" customWidth="1"/>
    <col min="8432" max="8432" width="9.7109375" style="68" bestFit="1" customWidth="1"/>
    <col min="8433" max="8435" width="9.28515625" style="68" bestFit="1" customWidth="1"/>
    <col min="8436" max="8436" width="10.7109375" style="68" bestFit="1" customWidth="1"/>
    <col min="8437" max="8437" width="11.28515625" style="68" customWidth="1"/>
    <col min="8438" max="8438" width="12.5703125" style="68" customWidth="1"/>
    <col min="8439" max="8439" width="13.5703125" style="68" customWidth="1"/>
    <col min="8440" max="8440" width="13" style="68" customWidth="1"/>
    <col min="8441" max="8679" width="9.140625" style="68"/>
    <col min="8680" max="8680" width="3.7109375" style="68" customWidth="1"/>
    <col min="8681" max="8681" width="4" style="68" bestFit="1" customWidth="1"/>
    <col min="8682" max="8682" width="14.5703125" style="68" customWidth="1"/>
    <col min="8683" max="8683" width="11.140625" style="68" customWidth="1"/>
    <col min="8684" max="8684" width="8.7109375" style="68" customWidth="1"/>
    <col min="8685" max="8685" width="9.7109375" style="68" bestFit="1" customWidth="1"/>
    <col min="8686" max="8686" width="10.85546875" style="68" customWidth="1"/>
    <col min="8687" max="8687" width="10.42578125" style="68" customWidth="1"/>
    <col min="8688" max="8688" width="9.7109375" style="68" bestFit="1" customWidth="1"/>
    <col min="8689" max="8691" width="9.28515625" style="68" bestFit="1" customWidth="1"/>
    <col min="8692" max="8692" width="10.7109375" style="68" bestFit="1" customWidth="1"/>
    <col min="8693" max="8693" width="11.28515625" style="68" customWidth="1"/>
    <col min="8694" max="8694" width="12.5703125" style="68" customWidth="1"/>
    <col min="8695" max="8695" width="13.5703125" style="68" customWidth="1"/>
    <col min="8696" max="8696" width="13" style="68" customWidth="1"/>
    <col min="8697" max="8935" width="9.140625" style="68"/>
    <col min="8936" max="8936" width="3.7109375" style="68" customWidth="1"/>
    <col min="8937" max="8937" width="4" style="68" bestFit="1" customWidth="1"/>
    <col min="8938" max="8938" width="14.5703125" style="68" customWidth="1"/>
    <col min="8939" max="8939" width="11.140625" style="68" customWidth="1"/>
    <col min="8940" max="8940" width="8.7109375" style="68" customWidth="1"/>
    <col min="8941" max="8941" width="9.7109375" style="68" bestFit="1" customWidth="1"/>
    <col min="8942" max="8942" width="10.85546875" style="68" customWidth="1"/>
    <col min="8943" max="8943" width="10.42578125" style="68" customWidth="1"/>
    <col min="8944" max="8944" width="9.7109375" style="68" bestFit="1" customWidth="1"/>
    <col min="8945" max="8947" width="9.28515625" style="68" bestFit="1" customWidth="1"/>
    <col min="8948" max="8948" width="10.7109375" style="68" bestFit="1" customWidth="1"/>
    <col min="8949" max="8949" width="11.28515625" style="68" customWidth="1"/>
    <col min="8950" max="8950" width="12.5703125" style="68" customWidth="1"/>
    <col min="8951" max="8951" width="13.5703125" style="68" customWidth="1"/>
    <col min="8952" max="8952" width="13" style="68" customWidth="1"/>
    <col min="8953" max="9191" width="9.140625" style="68"/>
    <col min="9192" max="9192" width="3.7109375" style="68" customWidth="1"/>
    <col min="9193" max="9193" width="4" style="68" bestFit="1" customWidth="1"/>
    <col min="9194" max="9194" width="14.5703125" style="68" customWidth="1"/>
    <col min="9195" max="9195" width="11.140625" style="68" customWidth="1"/>
    <col min="9196" max="9196" width="8.7109375" style="68" customWidth="1"/>
    <col min="9197" max="9197" width="9.7109375" style="68" bestFit="1" customWidth="1"/>
    <col min="9198" max="9198" width="10.85546875" style="68" customWidth="1"/>
    <col min="9199" max="9199" width="10.42578125" style="68" customWidth="1"/>
    <col min="9200" max="9200" width="9.7109375" style="68" bestFit="1" customWidth="1"/>
    <col min="9201" max="9203" width="9.28515625" style="68" bestFit="1" customWidth="1"/>
    <col min="9204" max="9204" width="10.7109375" style="68" bestFit="1" customWidth="1"/>
    <col min="9205" max="9205" width="11.28515625" style="68" customWidth="1"/>
    <col min="9206" max="9206" width="12.5703125" style="68" customWidth="1"/>
    <col min="9207" max="9207" width="13.5703125" style="68" customWidth="1"/>
    <col min="9208" max="9208" width="13" style="68" customWidth="1"/>
    <col min="9209" max="9447" width="9.140625" style="68"/>
    <col min="9448" max="9448" width="3.7109375" style="68" customWidth="1"/>
    <col min="9449" max="9449" width="4" style="68" bestFit="1" customWidth="1"/>
    <col min="9450" max="9450" width="14.5703125" style="68" customWidth="1"/>
    <col min="9451" max="9451" width="11.140625" style="68" customWidth="1"/>
    <col min="9452" max="9452" width="8.7109375" style="68" customWidth="1"/>
    <col min="9453" max="9453" width="9.7109375" style="68" bestFit="1" customWidth="1"/>
    <col min="9454" max="9454" width="10.85546875" style="68" customWidth="1"/>
    <col min="9455" max="9455" width="10.42578125" style="68" customWidth="1"/>
    <col min="9456" max="9456" width="9.7109375" style="68" bestFit="1" customWidth="1"/>
    <col min="9457" max="9459" width="9.28515625" style="68" bestFit="1" customWidth="1"/>
    <col min="9460" max="9460" width="10.7109375" style="68" bestFit="1" customWidth="1"/>
    <col min="9461" max="9461" width="11.28515625" style="68" customWidth="1"/>
    <col min="9462" max="9462" width="12.5703125" style="68" customWidth="1"/>
    <col min="9463" max="9463" width="13.5703125" style="68" customWidth="1"/>
    <col min="9464" max="9464" width="13" style="68" customWidth="1"/>
    <col min="9465" max="9703" width="9.140625" style="68"/>
    <col min="9704" max="9704" width="3.7109375" style="68" customWidth="1"/>
    <col min="9705" max="9705" width="4" style="68" bestFit="1" customWidth="1"/>
    <col min="9706" max="9706" width="14.5703125" style="68" customWidth="1"/>
    <col min="9707" max="9707" width="11.140625" style="68" customWidth="1"/>
    <col min="9708" max="9708" width="8.7109375" style="68" customWidth="1"/>
    <col min="9709" max="9709" width="9.7109375" style="68" bestFit="1" customWidth="1"/>
    <col min="9710" max="9710" width="10.85546875" style="68" customWidth="1"/>
    <col min="9711" max="9711" width="10.42578125" style="68" customWidth="1"/>
    <col min="9712" max="9712" width="9.7109375" style="68" bestFit="1" customWidth="1"/>
    <col min="9713" max="9715" width="9.28515625" style="68" bestFit="1" customWidth="1"/>
    <col min="9716" max="9716" width="10.7109375" style="68" bestFit="1" customWidth="1"/>
    <col min="9717" max="9717" width="11.28515625" style="68" customWidth="1"/>
    <col min="9718" max="9718" width="12.5703125" style="68" customWidth="1"/>
    <col min="9719" max="9719" width="13.5703125" style="68" customWidth="1"/>
    <col min="9720" max="9720" width="13" style="68" customWidth="1"/>
    <col min="9721" max="9959" width="9.140625" style="68"/>
    <col min="9960" max="9960" width="3.7109375" style="68" customWidth="1"/>
    <col min="9961" max="9961" width="4" style="68" bestFit="1" customWidth="1"/>
    <col min="9962" max="9962" width="14.5703125" style="68" customWidth="1"/>
    <col min="9963" max="9963" width="11.140625" style="68" customWidth="1"/>
    <col min="9964" max="9964" width="8.7109375" style="68" customWidth="1"/>
    <col min="9965" max="9965" width="9.7109375" style="68" bestFit="1" customWidth="1"/>
    <col min="9966" max="9966" width="10.85546875" style="68" customWidth="1"/>
    <col min="9967" max="9967" width="10.42578125" style="68" customWidth="1"/>
    <col min="9968" max="9968" width="9.7109375" style="68" bestFit="1" customWidth="1"/>
    <col min="9969" max="9971" width="9.28515625" style="68" bestFit="1" customWidth="1"/>
    <col min="9972" max="9972" width="10.7109375" style="68" bestFit="1" customWidth="1"/>
    <col min="9973" max="9973" width="11.28515625" style="68" customWidth="1"/>
    <col min="9974" max="9974" width="12.5703125" style="68" customWidth="1"/>
    <col min="9975" max="9975" width="13.5703125" style="68" customWidth="1"/>
    <col min="9976" max="9976" width="13" style="68" customWidth="1"/>
    <col min="9977" max="10215" width="9.140625" style="68"/>
    <col min="10216" max="10216" width="3.7109375" style="68" customWidth="1"/>
    <col min="10217" max="10217" width="4" style="68" bestFit="1" customWidth="1"/>
    <col min="10218" max="10218" width="14.5703125" style="68" customWidth="1"/>
    <col min="10219" max="10219" width="11.140625" style="68" customWidth="1"/>
    <col min="10220" max="10220" width="8.7109375" style="68" customWidth="1"/>
    <col min="10221" max="10221" width="9.7109375" style="68" bestFit="1" customWidth="1"/>
    <col min="10222" max="10222" width="10.85546875" style="68" customWidth="1"/>
    <col min="10223" max="10223" width="10.42578125" style="68" customWidth="1"/>
    <col min="10224" max="10224" width="9.7109375" style="68" bestFit="1" customWidth="1"/>
    <col min="10225" max="10227" width="9.28515625" style="68" bestFit="1" customWidth="1"/>
    <col min="10228" max="10228" width="10.7109375" style="68" bestFit="1" customWidth="1"/>
    <col min="10229" max="10229" width="11.28515625" style="68" customWidth="1"/>
    <col min="10230" max="10230" width="12.5703125" style="68" customWidth="1"/>
    <col min="10231" max="10231" width="13.5703125" style="68" customWidth="1"/>
    <col min="10232" max="10232" width="13" style="68" customWidth="1"/>
    <col min="10233" max="10471" width="9.140625" style="68"/>
    <col min="10472" max="10472" width="3.7109375" style="68" customWidth="1"/>
    <col min="10473" max="10473" width="4" style="68" bestFit="1" customWidth="1"/>
    <col min="10474" max="10474" width="14.5703125" style="68" customWidth="1"/>
    <col min="10475" max="10475" width="11.140625" style="68" customWidth="1"/>
    <col min="10476" max="10476" width="8.7109375" style="68" customWidth="1"/>
    <col min="10477" max="10477" width="9.7109375" style="68" bestFit="1" customWidth="1"/>
    <col min="10478" max="10478" width="10.85546875" style="68" customWidth="1"/>
    <col min="10479" max="10479" width="10.42578125" style="68" customWidth="1"/>
    <col min="10480" max="10480" width="9.7109375" style="68" bestFit="1" customWidth="1"/>
    <col min="10481" max="10483" width="9.28515625" style="68" bestFit="1" customWidth="1"/>
    <col min="10484" max="10484" width="10.7109375" style="68" bestFit="1" customWidth="1"/>
    <col min="10485" max="10485" width="11.28515625" style="68" customWidth="1"/>
    <col min="10486" max="10486" width="12.5703125" style="68" customWidth="1"/>
    <col min="10487" max="10487" width="13.5703125" style="68" customWidth="1"/>
    <col min="10488" max="10488" width="13" style="68" customWidth="1"/>
    <col min="10489" max="10727" width="9.140625" style="68"/>
    <col min="10728" max="10728" width="3.7109375" style="68" customWidth="1"/>
    <col min="10729" max="10729" width="4" style="68" bestFit="1" customWidth="1"/>
    <col min="10730" max="10730" width="14.5703125" style="68" customWidth="1"/>
    <col min="10731" max="10731" width="11.140625" style="68" customWidth="1"/>
    <col min="10732" max="10732" width="8.7109375" style="68" customWidth="1"/>
    <col min="10733" max="10733" width="9.7109375" style="68" bestFit="1" customWidth="1"/>
    <col min="10734" max="10734" width="10.85546875" style="68" customWidth="1"/>
    <col min="10735" max="10735" width="10.42578125" style="68" customWidth="1"/>
    <col min="10736" max="10736" width="9.7109375" style="68" bestFit="1" customWidth="1"/>
    <col min="10737" max="10739" width="9.28515625" style="68" bestFit="1" customWidth="1"/>
    <col min="10740" max="10740" width="10.7109375" style="68" bestFit="1" customWidth="1"/>
    <col min="10741" max="10741" width="11.28515625" style="68" customWidth="1"/>
    <col min="10742" max="10742" width="12.5703125" style="68" customWidth="1"/>
    <col min="10743" max="10743" width="13.5703125" style="68" customWidth="1"/>
    <col min="10744" max="10744" width="13" style="68" customWidth="1"/>
    <col min="10745" max="10983" width="9.140625" style="68"/>
    <col min="10984" max="10984" width="3.7109375" style="68" customWidth="1"/>
    <col min="10985" max="10985" width="4" style="68" bestFit="1" customWidth="1"/>
    <col min="10986" max="10986" width="14.5703125" style="68" customWidth="1"/>
    <col min="10987" max="10987" width="11.140625" style="68" customWidth="1"/>
    <col min="10988" max="10988" width="8.7109375" style="68" customWidth="1"/>
    <col min="10989" max="10989" width="9.7109375" style="68" bestFit="1" customWidth="1"/>
    <col min="10990" max="10990" width="10.85546875" style="68" customWidth="1"/>
    <col min="10991" max="10991" width="10.42578125" style="68" customWidth="1"/>
    <col min="10992" max="10992" width="9.7109375" style="68" bestFit="1" customWidth="1"/>
    <col min="10993" max="10995" width="9.28515625" style="68" bestFit="1" customWidth="1"/>
    <col min="10996" max="10996" width="10.7109375" style="68" bestFit="1" customWidth="1"/>
    <col min="10997" max="10997" width="11.28515625" style="68" customWidth="1"/>
    <col min="10998" max="10998" width="12.5703125" style="68" customWidth="1"/>
    <col min="10999" max="10999" width="13.5703125" style="68" customWidth="1"/>
    <col min="11000" max="11000" width="13" style="68" customWidth="1"/>
    <col min="11001" max="11239" width="9.140625" style="68"/>
    <col min="11240" max="11240" width="3.7109375" style="68" customWidth="1"/>
    <col min="11241" max="11241" width="4" style="68" bestFit="1" customWidth="1"/>
    <col min="11242" max="11242" width="14.5703125" style="68" customWidth="1"/>
    <col min="11243" max="11243" width="11.140625" style="68" customWidth="1"/>
    <col min="11244" max="11244" width="8.7109375" style="68" customWidth="1"/>
    <col min="11245" max="11245" width="9.7109375" style="68" bestFit="1" customWidth="1"/>
    <col min="11246" max="11246" width="10.85546875" style="68" customWidth="1"/>
    <col min="11247" max="11247" width="10.42578125" style="68" customWidth="1"/>
    <col min="11248" max="11248" width="9.7109375" style="68" bestFit="1" customWidth="1"/>
    <col min="11249" max="11251" width="9.28515625" style="68" bestFit="1" customWidth="1"/>
    <col min="11252" max="11252" width="10.7109375" style="68" bestFit="1" customWidth="1"/>
    <col min="11253" max="11253" width="11.28515625" style="68" customWidth="1"/>
    <col min="11254" max="11254" width="12.5703125" style="68" customWidth="1"/>
    <col min="11255" max="11255" width="13.5703125" style="68" customWidth="1"/>
    <col min="11256" max="11256" width="13" style="68" customWidth="1"/>
    <col min="11257" max="11495" width="9.140625" style="68"/>
    <col min="11496" max="11496" width="3.7109375" style="68" customWidth="1"/>
    <col min="11497" max="11497" width="4" style="68" bestFit="1" customWidth="1"/>
    <col min="11498" max="11498" width="14.5703125" style="68" customWidth="1"/>
    <col min="11499" max="11499" width="11.140625" style="68" customWidth="1"/>
    <col min="11500" max="11500" width="8.7109375" style="68" customWidth="1"/>
    <col min="11501" max="11501" width="9.7109375" style="68" bestFit="1" customWidth="1"/>
    <col min="11502" max="11502" width="10.85546875" style="68" customWidth="1"/>
    <col min="11503" max="11503" width="10.42578125" style="68" customWidth="1"/>
    <col min="11504" max="11504" width="9.7109375" style="68" bestFit="1" customWidth="1"/>
    <col min="11505" max="11507" width="9.28515625" style="68" bestFit="1" customWidth="1"/>
    <col min="11508" max="11508" width="10.7109375" style="68" bestFit="1" customWidth="1"/>
    <col min="11509" max="11509" width="11.28515625" style="68" customWidth="1"/>
    <col min="11510" max="11510" width="12.5703125" style="68" customWidth="1"/>
    <col min="11511" max="11511" width="13.5703125" style="68" customWidth="1"/>
    <col min="11512" max="11512" width="13" style="68" customWidth="1"/>
    <col min="11513" max="11751" width="9.140625" style="68"/>
    <col min="11752" max="11752" width="3.7109375" style="68" customWidth="1"/>
    <col min="11753" max="11753" width="4" style="68" bestFit="1" customWidth="1"/>
    <col min="11754" max="11754" width="14.5703125" style="68" customWidth="1"/>
    <col min="11755" max="11755" width="11.140625" style="68" customWidth="1"/>
    <col min="11756" max="11756" width="8.7109375" style="68" customWidth="1"/>
    <col min="11757" max="11757" width="9.7109375" style="68" bestFit="1" customWidth="1"/>
    <col min="11758" max="11758" width="10.85546875" style="68" customWidth="1"/>
    <col min="11759" max="11759" width="10.42578125" style="68" customWidth="1"/>
    <col min="11760" max="11760" width="9.7109375" style="68" bestFit="1" customWidth="1"/>
    <col min="11761" max="11763" width="9.28515625" style="68" bestFit="1" customWidth="1"/>
    <col min="11764" max="11764" width="10.7109375" style="68" bestFit="1" customWidth="1"/>
    <col min="11765" max="11765" width="11.28515625" style="68" customWidth="1"/>
    <col min="11766" max="11766" width="12.5703125" style="68" customWidth="1"/>
    <col min="11767" max="11767" width="13.5703125" style="68" customWidth="1"/>
    <col min="11768" max="11768" width="13" style="68" customWidth="1"/>
    <col min="11769" max="12007" width="9.140625" style="68"/>
    <col min="12008" max="12008" width="3.7109375" style="68" customWidth="1"/>
    <col min="12009" max="12009" width="4" style="68" bestFit="1" customWidth="1"/>
    <col min="12010" max="12010" width="14.5703125" style="68" customWidth="1"/>
    <col min="12011" max="12011" width="11.140625" style="68" customWidth="1"/>
    <col min="12012" max="12012" width="8.7109375" style="68" customWidth="1"/>
    <col min="12013" max="12013" width="9.7109375" style="68" bestFit="1" customWidth="1"/>
    <col min="12014" max="12014" width="10.85546875" style="68" customWidth="1"/>
    <col min="12015" max="12015" width="10.42578125" style="68" customWidth="1"/>
    <col min="12016" max="12016" width="9.7109375" style="68" bestFit="1" customWidth="1"/>
    <col min="12017" max="12019" width="9.28515625" style="68" bestFit="1" customWidth="1"/>
    <col min="12020" max="12020" width="10.7109375" style="68" bestFit="1" customWidth="1"/>
    <col min="12021" max="12021" width="11.28515625" style="68" customWidth="1"/>
    <col min="12022" max="12022" width="12.5703125" style="68" customWidth="1"/>
    <col min="12023" max="12023" width="13.5703125" style="68" customWidth="1"/>
    <col min="12024" max="12024" width="13" style="68" customWidth="1"/>
    <col min="12025" max="12263" width="9.140625" style="68"/>
    <col min="12264" max="12264" width="3.7109375" style="68" customWidth="1"/>
    <col min="12265" max="12265" width="4" style="68" bestFit="1" customWidth="1"/>
    <col min="12266" max="12266" width="14.5703125" style="68" customWidth="1"/>
    <col min="12267" max="12267" width="11.140625" style="68" customWidth="1"/>
    <col min="12268" max="12268" width="8.7109375" style="68" customWidth="1"/>
    <col min="12269" max="12269" width="9.7109375" style="68" bestFit="1" customWidth="1"/>
    <col min="12270" max="12270" width="10.85546875" style="68" customWidth="1"/>
    <col min="12271" max="12271" width="10.42578125" style="68" customWidth="1"/>
    <col min="12272" max="12272" width="9.7109375" style="68" bestFit="1" customWidth="1"/>
    <col min="12273" max="12275" width="9.28515625" style="68" bestFit="1" customWidth="1"/>
    <col min="12276" max="12276" width="10.7109375" style="68" bestFit="1" customWidth="1"/>
    <col min="12277" max="12277" width="11.28515625" style="68" customWidth="1"/>
    <col min="12278" max="12278" width="12.5703125" style="68" customWidth="1"/>
    <col min="12279" max="12279" width="13.5703125" style="68" customWidth="1"/>
    <col min="12280" max="12280" width="13" style="68" customWidth="1"/>
    <col min="12281" max="12519" width="9.140625" style="68"/>
    <col min="12520" max="12520" width="3.7109375" style="68" customWidth="1"/>
    <col min="12521" max="12521" width="4" style="68" bestFit="1" customWidth="1"/>
    <col min="12522" max="12522" width="14.5703125" style="68" customWidth="1"/>
    <col min="12523" max="12523" width="11.140625" style="68" customWidth="1"/>
    <col min="12524" max="12524" width="8.7109375" style="68" customWidth="1"/>
    <col min="12525" max="12525" width="9.7109375" style="68" bestFit="1" customWidth="1"/>
    <col min="12526" max="12526" width="10.85546875" style="68" customWidth="1"/>
    <col min="12527" max="12527" width="10.42578125" style="68" customWidth="1"/>
    <col min="12528" max="12528" width="9.7109375" style="68" bestFit="1" customWidth="1"/>
    <col min="12529" max="12531" width="9.28515625" style="68" bestFit="1" customWidth="1"/>
    <col min="12532" max="12532" width="10.7109375" style="68" bestFit="1" customWidth="1"/>
    <col min="12533" max="12533" width="11.28515625" style="68" customWidth="1"/>
    <col min="12534" max="12534" width="12.5703125" style="68" customWidth="1"/>
    <col min="12535" max="12535" width="13.5703125" style="68" customWidth="1"/>
    <col min="12536" max="12536" width="13" style="68" customWidth="1"/>
    <col min="12537" max="12775" width="9.140625" style="68"/>
    <col min="12776" max="12776" width="3.7109375" style="68" customWidth="1"/>
    <col min="12777" max="12777" width="4" style="68" bestFit="1" customWidth="1"/>
    <col min="12778" max="12778" width="14.5703125" style="68" customWidth="1"/>
    <col min="12779" max="12779" width="11.140625" style="68" customWidth="1"/>
    <col min="12780" max="12780" width="8.7109375" style="68" customWidth="1"/>
    <col min="12781" max="12781" width="9.7109375" style="68" bestFit="1" customWidth="1"/>
    <col min="12782" max="12782" width="10.85546875" style="68" customWidth="1"/>
    <col min="12783" max="12783" width="10.42578125" style="68" customWidth="1"/>
    <col min="12784" max="12784" width="9.7109375" style="68" bestFit="1" customWidth="1"/>
    <col min="12785" max="12787" width="9.28515625" style="68" bestFit="1" customWidth="1"/>
    <col min="12788" max="12788" width="10.7109375" style="68" bestFit="1" customWidth="1"/>
    <col min="12789" max="12789" width="11.28515625" style="68" customWidth="1"/>
    <col min="12790" max="12790" width="12.5703125" style="68" customWidth="1"/>
    <col min="12791" max="12791" width="13.5703125" style="68" customWidth="1"/>
    <col min="12792" max="12792" width="13" style="68" customWidth="1"/>
    <col min="12793" max="13031" width="9.140625" style="68"/>
    <col min="13032" max="13032" width="3.7109375" style="68" customWidth="1"/>
    <col min="13033" max="13033" width="4" style="68" bestFit="1" customWidth="1"/>
    <col min="13034" max="13034" width="14.5703125" style="68" customWidth="1"/>
    <col min="13035" max="13035" width="11.140625" style="68" customWidth="1"/>
    <col min="13036" max="13036" width="8.7109375" style="68" customWidth="1"/>
    <col min="13037" max="13037" width="9.7109375" style="68" bestFit="1" customWidth="1"/>
    <col min="13038" max="13038" width="10.85546875" style="68" customWidth="1"/>
    <col min="13039" max="13039" width="10.42578125" style="68" customWidth="1"/>
    <col min="13040" max="13040" width="9.7109375" style="68" bestFit="1" customWidth="1"/>
    <col min="13041" max="13043" width="9.28515625" style="68" bestFit="1" customWidth="1"/>
    <col min="13044" max="13044" width="10.7109375" style="68" bestFit="1" customWidth="1"/>
    <col min="13045" max="13045" width="11.28515625" style="68" customWidth="1"/>
    <col min="13046" max="13046" width="12.5703125" style="68" customWidth="1"/>
    <col min="13047" max="13047" width="13.5703125" style="68" customWidth="1"/>
    <col min="13048" max="13048" width="13" style="68" customWidth="1"/>
    <col min="13049" max="13287" width="9.140625" style="68"/>
    <col min="13288" max="13288" width="3.7109375" style="68" customWidth="1"/>
    <col min="13289" max="13289" width="4" style="68" bestFit="1" customWidth="1"/>
    <col min="13290" max="13290" width="14.5703125" style="68" customWidth="1"/>
    <col min="13291" max="13291" width="11.140625" style="68" customWidth="1"/>
    <col min="13292" max="13292" width="8.7109375" style="68" customWidth="1"/>
    <col min="13293" max="13293" width="9.7109375" style="68" bestFit="1" customWidth="1"/>
    <col min="13294" max="13294" width="10.85546875" style="68" customWidth="1"/>
    <col min="13295" max="13295" width="10.42578125" style="68" customWidth="1"/>
    <col min="13296" max="13296" width="9.7109375" style="68" bestFit="1" customWidth="1"/>
    <col min="13297" max="13299" width="9.28515625" style="68" bestFit="1" customWidth="1"/>
    <col min="13300" max="13300" width="10.7109375" style="68" bestFit="1" customWidth="1"/>
    <col min="13301" max="13301" width="11.28515625" style="68" customWidth="1"/>
    <col min="13302" max="13302" width="12.5703125" style="68" customWidth="1"/>
    <col min="13303" max="13303" width="13.5703125" style="68" customWidth="1"/>
    <col min="13304" max="13304" width="13" style="68" customWidth="1"/>
    <col min="13305" max="13543" width="9.140625" style="68"/>
    <col min="13544" max="13544" width="3.7109375" style="68" customWidth="1"/>
    <col min="13545" max="13545" width="4" style="68" bestFit="1" customWidth="1"/>
    <col min="13546" max="13546" width="14.5703125" style="68" customWidth="1"/>
    <col min="13547" max="13547" width="11.140625" style="68" customWidth="1"/>
    <col min="13548" max="13548" width="8.7109375" style="68" customWidth="1"/>
    <col min="13549" max="13549" width="9.7109375" style="68" bestFit="1" customWidth="1"/>
    <col min="13550" max="13550" width="10.85546875" style="68" customWidth="1"/>
    <col min="13551" max="13551" width="10.42578125" style="68" customWidth="1"/>
    <col min="13552" max="13552" width="9.7109375" style="68" bestFit="1" customWidth="1"/>
    <col min="13553" max="13555" width="9.28515625" style="68" bestFit="1" customWidth="1"/>
    <col min="13556" max="13556" width="10.7109375" style="68" bestFit="1" customWidth="1"/>
    <col min="13557" max="13557" width="11.28515625" style="68" customWidth="1"/>
    <col min="13558" max="13558" width="12.5703125" style="68" customWidth="1"/>
    <col min="13559" max="13559" width="13.5703125" style="68" customWidth="1"/>
    <col min="13560" max="13560" width="13" style="68" customWidth="1"/>
    <col min="13561" max="13799" width="9.140625" style="68"/>
    <col min="13800" max="13800" width="3.7109375" style="68" customWidth="1"/>
    <col min="13801" max="13801" width="4" style="68" bestFit="1" customWidth="1"/>
    <col min="13802" max="13802" width="14.5703125" style="68" customWidth="1"/>
    <col min="13803" max="13803" width="11.140625" style="68" customWidth="1"/>
    <col min="13804" max="13804" width="8.7109375" style="68" customWidth="1"/>
    <col min="13805" max="13805" width="9.7109375" style="68" bestFit="1" customWidth="1"/>
    <col min="13806" max="13806" width="10.85546875" style="68" customWidth="1"/>
    <col min="13807" max="13807" width="10.42578125" style="68" customWidth="1"/>
    <col min="13808" max="13808" width="9.7109375" style="68" bestFit="1" customWidth="1"/>
    <col min="13809" max="13811" width="9.28515625" style="68" bestFit="1" customWidth="1"/>
    <col min="13812" max="13812" width="10.7109375" style="68" bestFit="1" customWidth="1"/>
    <col min="13813" max="13813" width="11.28515625" style="68" customWidth="1"/>
    <col min="13814" max="13814" width="12.5703125" style="68" customWidth="1"/>
    <col min="13815" max="13815" width="13.5703125" style="68" customWidth="1"/>
    <col min="13816" max="13816" width="13" style="68" customWidth="1"/>
    <col min="13817" max="14055" width="9.140625" style="68"/>
    <col min="14056" max="14056" width="3.7109375" style="68" customWidth="1"/>
    <col min="14057" max="14057" width="4" style="68" bestFit="1" customWidth="1"/>
    <col min="14058" max="14058" width="14.5703125" style="68" customWidth="1"/>
    <col min="14059" max="14059" width="11.140625" style="68" customWidth="1"/>
    <col min="14060" max="14060" width="8.7109375" style="68" customWidth="1"/>
    <col min="14061" max="14061" width="9.7109375" style="68" bestFit="1" customWidth="1"/>
    <col min="14062" max="14062" width="10.85546875" style="68" customWidth="1"/>
    <col min="14063" max="14063" width="10.42578125" style="68" customWidth="1"/>
    <col min="14064" max="14064" width="9.7109375" style="68" bestFit="1" customWidth="1"/>
    <col min="14065" max="14067" width="9.28515625" style="68" bestFit="1" customWidth="1"/>
    <col min="14068" max="14068" width="10.7109375" style="68" bestFit="1" customWidth="1"/>
    <col min="14069" max="14069" width="11.28515625" style="68" customWidth="1"/>
    <col min="14070" max="14070" width="12.5703125" style="68" customWidth="1"/>
    <col min="14071" max="14071" width="13.5703125" style="68" customWidth="1"/>
    <col min="14072" max="14072" width="13" style="68" customWidth="1"/>
    <col min="14073" max="14311" width="9.140625" style="68"/>
    <col min="14312" max="14312" width="3.7109375" style="68" customWidth="1"/>
    <col min="14313" max="14313" width="4" style="68" bestFit="1" customWidth="1"/>
    <col min="14314" max="14314" width="14.5703125" style="68" customWidth="1"/>
    <col min="14315" max="14315" width="11.140625" style="68" customWidth="1"/>
    <col min="14316" max="14316" width="8.7109375" style="68" customWidth="1"/>
    <col min="14317" max="14317" width="9.7109375" style="68" bestFit="1" customWidth="1"/>
    <col min="14318" max="14318" width="10.85546875" style="68" customWidth="1"/>
    <col min="14319" max="14319" width="10.42578125" style="68" customWidth="1"/>
    <col min="14320" max="14320" width="9.7109375" style="68" bestFit="1" customWidth="1"/>
    <col min="14321" max="14323" width="9.28515625" style="68" bestFit="1" customWidth="1"/>
    <col min="14324" max="14324" width="10.7109375" style="68" bestFit="1" customWidth="1"/>
    <col min="14325" max="14325" width="11.28515625" style="68" customWidth="1"/>
    <col min="14326" max="14326" width="12.5703125" style="68" customWidth="1"/>
    <col min="14327" max="14327" width="13.5703125" style="68" customWidth="1"/>
    <col min="14328" max="14328" width="13" style="68" customWidth="1"/>
    <col min="14329" max="14567" width="9.140625" style="68"/>
    <col min="14568" max="14568" width="3.7109375" style="68" customWidth="1"/>
    <col min="14569" max="14569" width="4" style="68" bestFit="1" customWidth="1"/>
    <col min="14570" max="14570" width="14.5703125" style="68" customWidth="1"/>
    <col min="14571" max="14571" width="11.140625" style="68" customWidth="1"/>
    <col min="14572" max="14572" width="8.7109375" style="68" customWidth="1"/>
    <col min="14573" max="14573" width="9.7109375" style="68" bestFit="1" customWidth="1"/>
    <col min="14574" max="14574" width="10.85546875" style="68" customWidth="1"/>
    <col min="14575" max="14575" width="10.42578125" style="68" customWidth="1"/>
    <col min="14576" max="14576" width="9.7109375" style="68" bestFit="1" customWidth="1"/>
    <col min="14577" max="14579" width="9.28515625" style="68" bestFit="1" customWidth="1"/>
    <col min="14580" max="14580" width="10.7109375" style="68" bestFit="1" customWidth="1"/>
    <col min="14581" max="14581" width="11.28515625" style="68" customWidth="1"/>
    <col min="14582" max="14582" width="12.5703125" style="68" customWidth="1"/>
    <col min="14583" max="14583" width="13.5703125" style="68" customWidth="1"/>
    <col min="14584" max="14584" width="13" style="68" customWidth="1"/>
    <col min="14585" max="14823" width="9.140625" style="68"/>
    <col min="14824" max="14824" width="3.7109375" style="68" customWidth="1"/>
    <col min="14825" max="14825" width="4" style="68" bestFit="1" customWidth="1"/>
    <col min="14826" max="14826" width="14.5703125" style="68" customWidth="1"/>
    <col min="14827" max="14827" width="11.140625" style="68" customWidth="1"/>
    <col min="14828" max="14828" width="8.7109375" style="68" customWidth="1"/>
    <col min="14829" max="14829" width="9.7109375" style="68" bestFit="1" customWidth="1"/>
    <col min="14830" max="14830" width="10.85546875" style="68" customWidth="1"/>
    <col min="14831" max="14831" width="10.42578125" style="68" customWidth="1"/>
    <col min="14832" max="14832" width="9.7109375" style="68" bestFit="1" customWidth="1"/>
    <col min="14833" max="14835" width="9.28515625" style="68" bestFit="1" customWidth="1"/>
    <col min="14836" max="14836" width="10.7109375" style="68" bestFit="1" customWidth="1"/>
    <col min="14837" max="14837" width="11.28515625" style="68" customWidth="1"/>
    <col min="14838" max="14838" width="12.5703125" style="68" customWidth="1"/>
    <col min="14839" max="14839" width="13.5703125" style="68" customWidth="1"/>
    <col min="14840" max="14840" width="13" style="68" customWidth="1"/>
    <col min="14841" max="15079" width="9.140625" style="68"/>
    <col min="15080" max="15080" width="3.7109375" style="68" customWidth="1"/>
    <col min="15081" max="15081" width="4" style="68" bestFit="1" customWidth="1"/>
    <col min="15082" max="15082" width="14.5703125" style="68" customWidth="1"/>
    <col min="15083" max="15083" width="11.140625" style="68" customWidth="1"/>
    <col min="15084" max="15084" width="8.7109375" style="68" customWidth="1"/>
    <col min="15085" max="15085" width="9.7109375" style="68" bestFit="1" customWidth="1"/>
    <col min="15086" max="15086" width="10.85546875" style="68" customWidth="1"/>
    <col min="15087" max="15087" width="10.42578125" style="68" customWidth="1"/>
    <col min="15088" max="15088" width="9.7109375" style="68" bestFit="1" customWidth="1"/>
    <col min="15089" max="15091" width="9.28515625" style="68" bestFit="1" customWidth="1"/>
    <col min="15092" max="15092" width="10.7109375" style="68" bestFit="1" customWidth="1"/>
    <col min="15093" max="15093" width="11.28515625" style="68" customWidth="1"/>
    <col min="15094" max="15094" width="12.5703125" style="68" customWidth="1"/>
    <col min="15095" max="15095" width="13.5703125" style="68" customWidth="1"/>
    <col min="15096" max="15096" width="13" style="68" customWidth="1"/>
    <col min="15097" max="15335" width="9.140625" style="68"/>
    <col min="15336" max="15336" width="3.7109375" style="68" customWidth="1"/>
    <col min="15337" max="15337" width="4" style="68" bestFit="1" customWidth="1"/>
    <col min="15338" max="15338" width="14.5703125" style="68" customWidth="1"/>
    <col min="15339" max="15339" width="11.140625" style="68" customWidth="1"/>
    <col min="15340" max="15340" width="8.7109375" style="68" customWidth="1"/>
    <col min="15341" max="15341" width="9.7109375" style="68" bestFit="1" customWidth="1"/>
    <col min="15342" max="15342" width="10.85546875" style="68" customWidth="1"/>
    <col min="15343" max="15343" width="10.42578125" style="68" customWidth="1"/>
    <col min="15344" max="15344" width="9.7109375" style="68" bestFit="1" customWidth="1"/>
    <col min="15345" max="15347" width="9.28515625" style="68" bestFit="1" customWidth="1"/>
    <col min="15348" max="15348" width="10.7109375" style="68" bestFit="1" customWidth="1"/>
    <col min="15349" max="15349" width="11.28515625" style="68" customWidth="1"/>
    <col min="15350" max="15350" width="12.5703125" style="68" customWidth="1"/>
    <col min="15351" max="15351" width="13.5703125" style="68" customWidth="1"/>
    <col min="15352" max="15352" width="13" style="68" customWidth="1"/>
    <col min="15353" max="15591" width="9.140625" style="68"/>
    <col min="15592" max="15592" width="3.7109375" style="68" customWidth="1"/>
    <col min="15593" max="15593" width="4" style="68" bestFit="1" customWidth="1"/>
    <col min="15594" max="15594" width="14.5703125" style="68" customWidth="1"/>
    <col min="15595" max="15595" width="11.140625" style="68" customWidth="1"/>
    <col min="15596" max="15596" width="8.7109375" style="68" customWidth="1"/>
    <col min="15597" max="15597" width="9.7109375" style="68" bestFit="1" customWidth="1"/>
    <col min="15598" max="15598" width="10.85546875" style="68" customWidth="1"/>
    <col min="15599" max="15599" width="10.42578125" style="68" customWidth="1"/>
    <col min="15600" max="15600" width="9.7109375" style="68" bestFit="1" customWidth="1"/>
    <col min="15601" max="15603" width="9.28515625" style="68" bestFit="1" customWidth="1"/>
    <col min="15604" max="15604" width="10.7109375" style="68" bestFit="1" customWidth="1"/>
    <col min="15605" max="15605" width="11.28515625" style="68" customWidth="1"/>
    <col min="15606" max="15606" width="12.5703125" style="68" customWidth="1"/>
    <col min="15607" max="15607" width="13.5703125" style="68" customWidth="1"/>
    <col min="15608" max="15608" width="13" style="68" customWidth="1"/>
    <col min="15609" max="15847" width="9.140625" style="68"/>
    <col min="15848" max="15848" width="3.7109375" style="68" customWidth="1"/>
    <col min="15849" max="15849" width="4" style="68" bestFit="1" customWidth="1"/>
    <col min="15850" max="15850" width="14.5703125" style="68" customWidth="1"/>
    <col min="15851" max="15851" width="11.140625" style="68" customWidth="1"/>
    <col min="15852" max="15852" width="8.7109375" style="68" customWidth="1"/>
    <col min="15853" max="15853" width="9.7109375" style="68" bestFit="1" customWidth="1"/>
    <col min="15854" max="15854" width="10.85546875" style="68" customWidth="1"/>
    <col min="15855" max="15855" width="10.42578125" style="68" customWidth="1"/>
    <col min="15856" max="15856" width="9.7109375" style="68" bestFit="1" customWidth="1"/>
    <col min="15857" max="15859" width="9.28515625" style="68" bestFit="1" customWidth="1"/>
    <col min="15860" max="15860" width="10.7109375" style="68" bestFit="1" customWidth="1"/>
    <col min="15861" max="15861" width="11.28515625" style="68" customWidth="1"/>
    <col min="15862" max="15862" width="12.5703125" style="68" customWidth="1"/>
    <col min="15863" max="15863" width="13.5703125" style="68" customWidth="1"/>
    <col min="15864" max="15864" width="13" style="68" customWidth="1"/>
    <col min="15865" max="16103" width="9.140625" style="68"/>
    <col min="16104" max="16104" width="3.7109375" style="68" customWidth="1"/>
    <col min="16105" max="16105" width="4" style="68" bestFit="1" customWidth="1"/>
    <col min="16106" max="16106" width="14.5703125" style="68" customWidth="1"/>
    <col min="16107" max="16107" width="11.140625" style="68" customWidth="1"/>
    <col min="16108" max="16108" width="8.7109375" style="68" customWidth="1"/>
    <col min="16109" max="16109" width="9.7109375" style="68" bestFit="1" customWidth="1"/>
    <col min="16110" max="16110" width="10.85546875" style="68" customWidth="1"/>
    <col min="16111" max="16111" width="10.42578125" style="68" customWidth="1"/>
    <col min="16112" max="16112" width="9.7109375" style="68" bestFit="1" customWidth="1"/>
    <col min="16113" max="16115" width="9.28515625" style="68" bestFit="1" customWidth="1"/>
    <col min="16116" max="16116" width="10.7109375" style="68" bestFit="1" customWidth="1"/>
    <col min="16117" max="16117" width="11.28515625" style="68" customWidth="1"/>
    <col min="16118" max="16118" width="12.5703125" style="68" customWidth="1"/>
    <col min="16119" max="16119" width="13.5703125" style="68" customWidth="1"/>
    <col min="16120" max="16120" width="13" style="68" customWidth="1"/>
    <col min="16121" max="16384" width="9.140625" style="68"/>
  </cols>
  <sheetData>
    <row r="2" spans="2:18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18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</row>
    <row r="4" spans="2:18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335</v>
      </c>
      <c r="R4" s="67"/>
    </row>
    <row r="5" spans="2:18" s="70" customFormat="1">
      <c r="B5" s="71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18" ht="13.9" customHeight="1">
      <c r="B6" s="506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18" ht="15.75" thickBot="1">
      <c r="B7" s="507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18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</row>
    <row r="9" spans="2:18">
      <c r="B9" s="89">
        <v>1</v>
      </c>
      <c r="C9" s="706" t="s">
        <v>263</v>
      </c>
      <c r="D9" s="707"/>
      <c r="E9" s="74">
        <f>'19'!L9</f>
        <v>21163.916378352744</v>
      </c>
      <c r="F9" s="74">
        <f>Production2!D22</f>
        <v>2081.44</v>
      </c>
      <c r="G9" s="74">
        <f>F9+'19'!G9</f>
        <v>58463.680000000015</v>
      </c>
      <c r="H9" s="74">
        <f>F9+'19'!H9</f>
        <v>215330.96000000008</v>
      </c>
      <c r="I9" s="74">
        <f>Production2!E22</f>
        <v>1664</v>
      </c>
      <c r="J9" s="74">
        <f>I9+'19'!J9</f>
        <v>47645</v>
      </c>
      <c r="K9" s="74">
        <f>I9+'19'!K9</f>
        <v>187676</v>
      </c>
      <c r="L9" s="74">
        <f>E9+F9-I9-I23</f>
        <v>21126.617491346744</v>
      </c>
      <c r="M9" s="75">
        <f>I9</f>
        <v>1664</v>
      </c>
      <c r="N9" s="75">
        <f>(I9/I15)*100</f>
        <v>93.012856344326451</v>
      </c>
      <c r="O9" s="515"/>
      <c r="P9" s="285">
        <v>10</v>
      </c>
      <c r="Q9" s="261">
        <f>'Raw mill moisture content'!L35</f>
        <v>9.9999999999999908E-2</v>
      </c>
    </row>
    <row r="10" spans="2:18" ht="13.9" customHeight="1">
      <c r="B10" s="79">
        <v>2</v>
      </c>
      <c r="C10" s="516" t="s">
        <v>75</v>
      </c>
      <c r="D10" s="516"/>
      <c r="E10" s="77">
        <f>'Mines (2)'!L22</f>
        <v>3239</v>
      </c>
      <c r="F10" s="77">
        <f>'Mines (2)'!M22</f>
        <v>0</v>
      </c>
      <c r="G10" s="74">
        <f>F10+'19'!G10</f>
        <v>1287.5600000000002</v>
      </c>
      <c r="H10" s="74">
        <f>F10+'19'!H10</f>
        <v>6556.9600000000009</v>
      </c>
      <c r="I10" s="77">
        <f>'Mines (2)'!N22</f>
        <v>57</v>
      </c>
      <c r="J10" s="74">
        <f>I10+'19'!J10</f>
        <v>1017</v>
      </c>
      <c r="K10" s="74">
        <f>I10+'19'!K10</f>
        <v>3499</v>
      </c>
      <c r="L10" s="77">
        <f t="shared" ref="L10:L15" si="0">E10+F10-I10</f>
        <v>3182</v>
      </c>
      <c r="M10" s="75">
        <f t="shared" ref="M10:M12" si="1">I10</f>
        <v>57</v>
      </c>
      <c r="N10" s="75">
        <f>(I10/I15)*100</f>
        <v>3.1861375069871438</v>
      </c>
      <c r="O10" s="515"/>
      <c r="P10" s="53">
        <v>10</v>
      </c>
      <c r="Q10" s="262">
        <f>'Raw mill moisture content'!M35</f>
        <v>9.9999999999999964E-2</v>
      </c>
    </row>
    <row r="11" spans="2:18">
      <c r="B11" s="79">
        <v>3</v>
      </c>
      <c r="C11" s="516" t="s">
        <v>77</v>
      </c>
      <c r="D11" s="516"/>
      <c r="E11" s="77">
        <f>Clinker!C22</f>
        <v>1390.92</v>
      </c>
      <c r="F11" s="77">
        <f>Clinker!D22</f>
        <v>0</v>
      </c>
      <c r="G11" s="74">
        <f>F11+'19'!G11</f>
        <v>0</v>
      </c>
      <c r="H11" s="74">
        <f>F11+'19'!H11</f>
        <v>417.28000000000003</v>
      </c>
      <c r="I11" s="77">
        <f>Clinker!E22</f>
        <v>68</v>
      </c>
      <c r="J11" s="74">
        <f>I11+'19'!J11</f>
        <v>1325</v>
      </c>
      <c r="K11" s="74">
        <f>I11+'19'!K11</f>
        <v>4460</v>
      </c>
      <c r="L11" s="77">
        <f t="shared" si="0"/>
        <v>1322.92</v>
      </c>
      <c r="M11" s="75">
        <f t="shared" si="1"/>
        <v>68</v>
      </c>
      <c r="N11" s="75">
        <f>(I11/I15)*100</f>
        <v>3.8010061486864171</v>
      </c>
      <c r="O11" s="515"/>
      <c r="P11" s="53">
        <v>7</v>
      </c>
      <c r="Q11" s="262">
        <f>'Raw mill moisture content'!N35</f>
        <v>6.9999999999999854E-2</v>
      </c>
    </row>
    <row r="12" spans="2:18" ht="13.9" customHeight="1">
      <c r="B12" s="79">
        <v>4</v>
      </c>
      <c r="C12" s="516" t="s">
        <v>264</v>
      </c>
      <c r="D12" s="516"/>
      <c r="E12" s="77">
        <f>'Mines (2)'!Q22</f>
        <v>3.999999999996362E-2</v>
      </c>
      <c r="F12" s="77">
        <f>'Mines (2)'!R22</f>
        <v>0</v>
      </c>
      <c r="G12" s="74">
        <f>F12+'19'!G12</f>
        <v>0</v>
      </c>
      <c r="H12" s="74">
        <f>F12+'19'!H12</f>
        <v>137.76</v>
      </c>
      <c r="I12" s="77">
        <f>'Mines (2)'!S22</f>
        <v>0</v>
      </c>
      <c r="J12" s="74">
        <f>I12+'19'!J12</f>
        <v>0</v>
      </c>
      <c r="K12" s="74">
        <f>I12+'19'!K12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18" ht="13.9" customHeight="1">
      <c r="B13" s="79"/>
      <c r="C13" s="80"/>
      <c r="D13" s="80"/>
      <c r="E13" s="77"/>
      <c r="F13" s="77"/>
      <c r="G13" s="74"/>
      <c r="H13" s="74"/>
      <c r="I13" s="77"/>
      <c r="J13" s="74"/>
      <c r="K13" s="74"/>
      <c r="L13" s="77"/>
      <c r="M13" s="75"/>
      <c r="N13" s="75"/>
      <c r="O13" s="515"/>
      <c r="P13" s="95"/>
      <c r="Q13" s="459"/>
    </row>
    <row r="14" spans="2:18" ht="13.9" customHeight="1">
      <c r="B14" s="79"/>
      <c r="C14" s="80"/>
      <c r="D14" s="80"/>
      <c r="E14" s="77"/>
      <c r="F14" s="77"/>
      <c r="G14" s="74"/>
      <c r="H14" s="74"/>
      <c r="I14" s="77"/>
      <c r="J14" s="74"/>
      <c r="K14" s="74"/>
      <c r="L14" s="77"/>
      <c r="M14" s="75"/>
      <c r="N14" s="75"/>
      <c r="O14" s="515"/>
      <c r="P14" s="95"/>
      <c r="Q14" s="459"/>
    </row>
    <row r="15" spans="2:18" ht="13.9" customHeight="1">
      <c r="B15" s="79" t="s">
        <v>262</v>
      </c>
      <c r="C15" s="521" t="s">
        <v>265</v>
      </c>
      <c r="D15" s="521"/>
      <c r="E15" s="127">
        <f t="shared" ref="E15:K15" si="2">SUM(E9:E12)</f>
        <v>25793.876378352747</v>
      </c>
      <c r="F15" s="127">
        <f t="shared" si="2"/>
        <v>2081.44</v>
      </c>
      <c r="G15" s="127">
        <f t="shared" si="2"/>
        <v>59751.240000000013</v>
      </c>
      <c r="H15" s="127">
        <f t="shared" si="2"/>
        <v>222442.96000000008</v>
      </c>
      <c r="I15" s="127">
        <f t="shared" si="2"/>
        <v>1789</v>
      </c>
      <c r="J15" s="127">
        <f t="shared" si="2"/>
        <v>49987</v>
      </c>
      <c r="K15" s="127">
        <f t="shared" si="2"/>
        <v>196373</v>
      </c>
      <c r="L15" s="127">
        <f t="shared" si="0"/>
        <v>26086.316378352745</v>
      </c>
      <c r="M15" s="128">
        <f>SUM(M9:M12)</f>
        <v>1789</v>
      </c>
      <c r="N15" s="128">
        <f>SUM(N9:N12)</f>
        <v>100</v>
      </c>
      <c r="O15" s="515"/>
      <c r="P15" s="522"/>
      <c r="Q15" s="523"/>
    </row>
    <row r="16" spans="2:18">
      <c r="B16" s="512">
        <v>6</v>
      </c>
      <c r="C16" s="517" t="s">
        <v>266</v>
      </c>
      <c r="D16" s="80" t="s">
        <v>63</v>
      </c>
      <c r="E16" s="77">
        <f>Clinker!EB22</f>
        <v>2574.5769999999902</v>
      </c>
      <c r="F16" s="77">
        <f>Clinker!EC22</f>
        <v>0</v>
      </c>
      <c r="G16" s="77">
        <f>F16+'19'!G16</f>
        <v>2812.7200000000003</v>
      </c>
      <c r="H16" s="77">
        <f>F16+'19'!H16</f>
        <v>3617.96</v>
      </c>
      <c r="I16" s="77">
        <f>Clinker!ED22</f>
        <v>227.78</v>
      </c>
      <c r="J16" s="77">
        <f>I16+'19'!J16</f>
        <v>5093.9999999999991</v>
      </c>
      <c r="K16" s="77">
        <f>I16+'19'!K16</f>
        <v>19811.309999999998</v>
      </c>
      <c r="L16" s="77">
        <f>E16+F16-Clinker!N22-Clinker!Z22-Clinker!AS22-Clinker!AX22-Clinker!BC22-Clinker!BW22-Clinker!BH22-Clinker!BM22-Clinker!BR22-Clinker!CV22-Clinker!DP22</f>
        <v>2574.5769999999902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</row>
    <row r="17" spans="2:18">
      <c r="B17" s="512"/>
      <c r="C17" s="517"/>
      <c r="D17" s="80" t="s">
        <v>62</v>
      </c>
      <c r="E17" s="77">
        <f>Clinker!EF22</f>
        <v>4203.0699999999933</v>
      </c>
      <c r="F17" s="77">
        <f>Clinker!EG22</f>
        <v>0</v>
      </c>
      <c r="G17" s="77">
        <f>F17+'19'!G17</f>
        <v>2892.3500000000004</v>
      </c>
      <c r="H17" s="77">
        <f>F17+'19'!H17</f>
        <v>5033.2999999999993</v>
      </c>
      <c r="I17" s="77">
        <f>Clinker!EH22</f>
        <v>171</v>
      </c>
      <c r="J17" s="77">
        <f>I17+'19'!J17</f>
        <v>2909</v>
      </c>
      <c r="K17" s="77">
        <f>I17+'19'!K17</f>
        <v>11081</v>
      </c>
      <c r="L17" s="77">
        <f>E17+F17-I16-Clinker!T22-Clinker!AE22-Clinker!AJ22-Clinker!CL22-Clinker!CQ22-Clinker!CG22</f>
        <v>3804.2899999999931</v>
      </c>
      <c r="M17" s="81"/>
      <c r="N17" s="81"/>
      <c r="O17" s="515"/>
      <c r="P17" s="53"/>
      <c r="Q17" s="82"/>
      <c r="R17" s="83"/>
    </row>
    <row r="18" spans="2:18">
      <c r="B18" s="512"/>
      <c r="C18" s="476"/>
      <c r="D18" s="124" t="s">
        <v>162</v>
      </c>
      <c r="E18" s="125">
        <f>E16+E17</f>
        <v>6777.6469999999836</v>
      </c>
      <c r="F18" s="125">
        <f t="shared" ref="F18:K18" si="3">F16+F17</f>
        <v>0</v>
      </c>
      <c r="G18" s="125">
        <f t="shared" si="3"/>
        <v>5705.0700000000006</v>
      </c>
      <c r="H18" s="125">
        <f t="shared" si="3"/>
        <v>8651.2599999999984</v>
      </c>
      <c r="I18" s="125">
        <f t="shared" si="3"/>
        <v>398.78</v>
      </c>
      <c r="J18" s="125">
        <f>J16+J17</f>
        <v>8002.9999999999991</v>
      </c>
      <c r="K18" s="125">
        <f t="shared" si="3"/>
        <v>30892.309999999998</v>
      </c>
      <c r="L18" s="125">
        <f>E18+F18-I18</f>
        <v>6378.8669999999838</v>
      </c>
      <c r="M18" s="126"/>
      <c r="N18" s="126"/>
      <c r="O18" s="515"/>
      <c r="P18" s="131"/>
      <c r="Q18" s="131"/>
      <c r="R18" s="83"/>
    </row>
    <row r="19" spans="2:18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</row>
    <row r="20" spans="2:18">
      <c r="B20" s="512">
        <v>7</v>
      </c>
      <c r="C20" s="477" t="s">
        <v>268</v>
      </c>
      <c r="D20" s="85" t="s">
        <v>269</v>
      </c>
      <c r="E20" s="74">
        <f>Clinker!EJ22</f>
        <v>22501.599567493366</v>
      </c>
      <c r="F20" s="74">
        <f>Clinker!EK22</f>
        <v>1270</v>
      </c>
      <c r="G20" s="74">
        <f>F20+'19'!G20</f>
        <v>29517</v>
      </c>
      <c r="H20" s="74">
        <f>F20+'19'!H20</f>
        <v>115043</v>
      </c>
      <c r="I20" s="74">
        <f>Clinker!EL22</f>
        <v>2446.5670030946003</v>
      </c>
      <c r="J20" s="74">
        <f>I20+'19'!J20</f>
        <v>34137.776521362917</v>
      </c>
      <c r="K20" s="74">
        <f>I20+'19'!K20</f>
        <v>96999.507535227953</v>
      </c>
      <c r="L20" s="74">
        <f>E20+F20-I20-I22</f>
        <v>21325.032564398767</v>
      </c>
      <c r="M20" s="641">
        <f>((I20+I21)/(J42+J48))*100</f>
        <v>81.389454527431809</v>
      </c>
      <c r="N20" s="525"/>
      <c r="O20" s="527"/>
      <c r="P20" s="535"/>
      <c r="Q20" s="536"/>
      <c r="R20" s="190"/>
    </row>
    <row r="21" spans="2:18" ht="45">
      <c r="B21" s="512"/>
      <c r="C21" s="477"/>
      <c r="D21" s="85" t="s">
        <v>70</v>
      </c>
      <c r="E21" s="74">
        <f>Clinker!EO22</f>
        <v>381.52100800013591</v>
      </c>
      <c r="F21" s="74">
        <f>Clinker!EP22</f>
        <v>0</v>
      </c>
      <c r="G21" s="74">
        <f>F21+'19'!G21</f>
        <v>0</v>
      </c>
      <c r="H21" s="74">
        <f>F21+'19'!H21</f>
        <v>13390.660000000003</v>
      </c>
      <c r="I21" s="74">
        <f>Clinker!EQ22</f>
        <v>0</v>
      </c>
      <c r="J21" s="74">
        <f>I21+'19'!J21</f>
        <v>4924.5880000000006</v>
      </c>
      <c r="K21" s="74">
        <f>I21+'19'!K21</f>
        <v>21858.687999999998</v>
      </c>
      <c r="L21" s="74">
        <f>E21+F21-I21</f>
        <v>381.52100800013591</v>
      </c>
      <c r="M21" s="642"/>
      <c r="N21" s="525"/>
      <c r="O21" s="527"/>
      <c r="P21" s="535"/>
      <c r="Q21" s="536"/>
      <c r="R21" s="20"/>
    </row>
    <row r="22" spans="2:18" ht="30">
      <c r="B22" s="512"/>
      <c r="C22" s="524"/>
      <c r="D22" s="86" t="s">
        <v>270</v>
      </c>
      <c r="E22" s="77"/>
      <c r="F22" s="77">
        <f>Clinker!EN22</f>
        <v>0</v>
      </c>
      <c r="G22" s="74">
        <f>F22+'19'!G22</f>
        <v>0</v>
      </c>
      <c r="H22" s="74">
        <f>F22+'19'!H22</f>
        <v>0</v>
      </c>
      <c r="I22" s="77">
        <f>Clinker!EN22</f>
        <v>0</v>
      </c>
      <c r="J22" s="74">
        <f>I22+'19'!J22</f>
        <v>0</v>
      </c>
      <c r="K22" s="74">
        <f>I22+'19'!K22</f>
        <v>0</v>
      </c>
      <c r="L22" s="74"/>
      <c r="M22" s="78"/>
      <c r="N22" s="526"/>
      <c r="O22" s="527"/>
      <c r="P22" s="570"/>
      <c r="Q22" s="571"/>
      <c r="R22" s="20"/>
    </row>
    <row r="23" spans="2:18">
      <c r="B23" s="89">
        <v>8</v>
      </c>
      <c r="C23" s="474" t="s">
        <v>263</v>
      </c>
      <c r="D23" s="475"/>
      <c r="E23" s="77">
        <f>Cement!P22</f>
        <v>0</v>
      </c>
      <c r="F23" s="77">
        <f>Cement!Q22</f>
        <v>0</v>
      </c>
      <c r="G23" s="74">
        <f>F23+'19'!G23</f>
        <v>0</v>
      </c>
      <c r="H23" s="74">
        <f>F23+'19'!H23</f>
        <v>0</v>
      </c>
      <c r="I23" s="77">
        <f>Cement!S22</f>
        <v>454.73888700599991</v>
      </c>
      <c r="J23" s="74">
        <f>I23+'19'!J23</f>
        <v>9159.8627709844222</v>
      </c>
      <c r="K23" s="74">
        <f>I23+'19'!K23</f>
        <v>29633.214205837103</v>
      </c>
      <c r="L23" s="74"/>
      <c r="M23" s="78">
        <f>(I23/(J42+J48))*100</f>
        <v>15.127707485229539</v>
      </c>
      <c r="N23" s="78"/>
      <c r="O23" s="527"/>
      <c r="P23" s="87">
        <v>10</v>
      </c>
      <c r="Q23" s="572"/>
      <c r="R23" s="20"/>
    </row>
    <row r="24" spans="2:18">
      <c r="B24" s="89">
        <v>9</v>
      </c>
      <c r="C24" s="517" t="s">
        <v>271</v>
      </c>
      <c r="D24" s="517"/>
      <c r="E24" s="77">
        <f>Cement!C22</f>
        <v>2893.5835771541638</v>
      </c>
      <c r="F24" s="77">
        <f>Cement!D22</f>
        <v>0</v>
      </c>
      <c r="G24" s="74">
        <f>F24+'19'!G24</f>
        <v>1157.02</v>
      </c>
      <c r="H24" s="74">
        <f>F24+'19'!H24</f>
        <v>3283.6399999999994</v>
      </c>
      <c r="I24" s="77">
        <f>Cement!F22</f>
        <v>158.07157747368424</v>
      </c>
      <c r="J24" s="74">
        <f>I24+'19'!J24</f>
        <v>2629.8385376441602</v>
      </c>
      <c r="K24" s="74">
        <f>I24+'19'!K24</f>
        <v>7993.5080594693036</v>
      </c>
      <c r="L24" s="74">
        <f t="shared" ref="L24:L26" si="4">E24+F24-I24</f>
        <v>2735.5119996804797</v>
      </c>
      <c r="M24" s="78">
        <f>(I24/(J42+J48))*100</f>
        <v>5.2585355114332755</v>
      </c>
      <c r="N24" s="78"/>
      <c r="O24" s="527"/>
      <c r="P24" s="87">
        <v>5</v>
      </c>
      <c r="Q24" s="573"/>
      <c r="R24" s="20"/>
    </row>
    <row r="25" spans="2:18">
      <c r="B25" s="512">
        <v>10</v>
      </c>
      <c r="C25" s="476" t="s">
        <v>272</v>
      </c>
      <c r="D25" s="76" t="s">
        <v>82</v>
      </c>
      <c r="E25" s="77">
        <f>Cement!H22</f>
        <v>0.23999999999796273</v>
      </c>
      <c r="F25" s="77">
        <f>Cement!I22</f>
        <v>0</v>
      </c>
      <c r="G25" s="74">
        <f>F25+'19'!G25</f>
        <v>0</v>
      </c>
      <c r="H25" s="74">
        <f>F25+'19'!H25</f>
        <v>0</v>
      </c>
      <c r="I25" s="77">
        <f>Cement!J22</f>
        <v>0</v>
      </c>
      <c r="J25" s="74">
        <f>I25+'19'!J25</f>
        <v>0</v>
      </c>
      <c r="K25" s="74">
        <f>I25+'19'!K25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</row>
    <row r="26" spans="2:18">
      <c r="B26" s="512"/>
      <c r="C26" s="524"/>
      <c r="D26" s="76" t="s">
        <v>273</v>
      </c>
      <c r="E26" s="77">
        <v>0</v>
      </c>
      <c r="F26" s="77">
        <v>0</v>
      </c>
      <c r="G26" s="74">
        <f>F26+'19'!G26</f>
        <v>0</v>
      </c>
      <c r="H26" s="74">
        <f>F26+'19'!H26</f>
        <v>0</v>
      </c>
      <c r="I26" s="77">
        <v>0</v>
      </c>
      <c r="J26" s="74">
        <f>I26+'19'!J26</f>
        <v>0</v>
      </c>
      <c r="K26" s="74">
        <f>I26+'19'!K26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</row>
    <row r="27" spans="2:18" ht="14.45" customHeight="1" thickBot="1">
      <c r="B27" s="90" t="s">
        <v>262</v>
      </c>
      <c r="C27" s="539" t="s">
        <v>274</v>
      </c>
      <c r="D27" s="539"/>
      <c r="E27" s="122">
        <f>E20+E21+E23+E24+E25+E26</f>
        <v>25776.944152647662</v>
      </c>
      <c r="F27" s="122">
        <f t="shared" ref="F27:L27" si="5">F20+F21+F23+F24+F25+F26</f>
        <v>1270</v>
      </c>
      <c r="G27" s="122">
        <f t="shared" si="5"/>
        <v>30674.02</v>
      </c>
      <c r="H27" s="122">
        <f t="shared" si="5"/>
        <v>131717.29999999999</v>
      </c>
      <c r="I27" s="122">
        <f t="shared" si="5"/>
        <v>3059.3774675742843</v>
      </c>
      <c r="J27" s="122">
        <f t="shared" si="5"/>
        <v>50852.065829991501</v>
      </c>
      <c r="K27" s="122">
        <f t="shared" si="5"/>
        <v>156484.91780053437</v>
      </c>
      <c r="L27" s="122">
        <f t="shared" si="5"/>
        <v>24442.305572079378</v>
      </c>
      <c r="M27" s="540"/>
      <c r="N27" s="540"/>
      <c r="O27" s="528"/>
      <c r="P27" s="537"/>
      <c r="Q27" s="538"/>
      <c r="R27" s="83"/>
    </row>
    <row r="28" spans="2:18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</row>
    <row r="29" spans="2:18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</row>
    <row r="30" spans="2:18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</row>
    <row r="31" spans="2:18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</row>
    <row r="32" spans="2:18">
      <c r="B32" s="91">
        <v>1</v>
      </c>
      <c r="C32" s="567" t="s">
        <v>281</v>
      </c>
      <c r="D32" s="568"/>
      <c r="E32" s="92">
        <v>250</v>
      </c>
      <c r="F32" s="75">
        <f>Production2!C22</f>
        <v>10.67</v>
      </c>
      <c r="G32" s="75">
        <f>F32+'19'!G32</f>
        <v>362.25000000000006</v>
      </c>
      <c r="H32" s="75">
        <f>F32+'19'!H32</f>
        <v>1331.38</v>
      </c>
      <c r="I32" s="74">
        <f>'Mines (2)'!C22+'Mines (2)'!H22+'Mines (2)'!V22+'Mines (2)'!Z22+'Mines (2)'!AD22</f>
        <v>21163.916378352744</v>
      </c>
      <c r="J32" s="74">
        <f>Production2!D22</f>
        <v>2081.44</v>
      </c>
      <c r="K32" s="74">
        <f>J32+'19'!K32</f>
        <v>58463.680000000015</v>
      </c>
      <c r="L32" s="74">
        <f>J32+'19'!L32</f>
        <v>215330.96000000008</v>
      </c>
      <c r="M32" s="74">
        <f>I9+I23</f>
        <v>2118.7388870059999</v>
      </c>
      <c r="N32" s="74">
        <f>M32+'19'!N32</f>
        <v>56804.862770984422</v>
      </c>
      <c r="O32" s="74">
        <f>M32+'19'!O32</f>
        <v>217309.21420583711</v>
      </c>
      <c r="P32" s="74">
        <f>I32+J32-M32</f>
        <v>21126.617491346744</v>
      </c>
      <c r="Q32" s="93">
        <f>J32/F32</f>
        <v>195.07403936269915</v>
      </c>
      <c r="R32" s="94"/>
    </row>
    <row r="33" spans="2:18">
      <c r="B33" s="79">
        <v>2</v>
      </c>
      <c r="C33" s="501" t="s">
        <v>322</v>
      </c>
      <c r="D33" s="502"/>
      <c r="E33" s="95">
        <v>120</v>
      </c>
      <c r="F33" s="78">
        <f>Production2!G22</f>
        <v>14.77</v>
      </c>
      <c r="G33" s="75">
        <f>F33+'19'!G33</f>
        <v>364.9</v>
      </c>
      <c r="H33" s="75">
        <f>F33+'19'!H33</f>
        <v>1434.4399999999996</v>
      </c>
      <c r="I33" s="541">
        <f>Production2!H22</f>
        <v>900.70001683751798</v>
      </c>
      <c r="J33" s="78">
        <f>Production2!N22</f>
        <v>1612.14</v>
      </c>
      <c r="K33" s="74">
        <f>J33+'19'!K33</f>
        <v>42581.450000000004</v>
      </c>
      <c r="L33" s="74">
        <f>J33+'19'!L33</f>
        <v>168867.03999999998</v>
      </c>
      <c r="M33" s="541">
        <f>Production2!K22</f>
        <v>1968.5</v>
      </c>
      <c r="N33" s="541">
        <f>M33+'19'!N33</f>
        <v>45751.350000000006</v>
      </c>
      <c r="O33" s="541">
        <f>M33+'19'!O33</f>
        <v>178316.65</v>
      </c>
      <c r="P33" s="541">
        <f>I33+J33+J34-M33</f>
        <v>544.34001683751831</v>
      </c>
      <c r="Q33" s="96">
        <f t="shared" ref="Q33:Q48" si="6">J33/F33</f>
        <v>109.14962762356129</v>
      </c>
      <c r="R33" s="94"/>
    </row>
    <row r="34" spans="2:18">
      <c r="B34" s="91">
        <v>3</v>
      </c>
      <c r="C34" s="501" t="s">
        <v>283</v>
      </c>
      <c r="D34" s="502"/>
      <c r="E34" s="95">
        <v>20</v>
      </c>
      <c r="F34" s="78">
        <f>Production2!P22</f>
        <v>0</v>
      </c>
      <c r="G34" s="75">
        <f>F34+'19'!G34</f>
        <v>269.88</v>
      </c>
      <c r="H34" s="75">
        <f>F34+'19'!H34</f>
        <v>885.55</v>
      </c>
      <c r="I34" s="473"/>
      <c r="J34" s="78">
        <f>Production2!Q22</f>
        <v>0</v>
      </c>
      <c r="K34" s="74">
        <f>J34+'19'!K34</f>
        <v>2446.6</v>
      </c>
      <c r="L34" s="74">
        <f>J34+'19'!L34</f>
        <v>8000.22</v>
      </c>
      <c r="M34" s="473"/>
      <c r="N34" s="473"/>
      <c r="O34" s="473"/>
      <c r="P34" s="473"/>
      <c r="Q34" s="96" t="e">
        <f>J34/F34</f>
        <v>#DIV/0!</v>
      </c>
      <c r="R34" s="94"/>
    </row>
    <row r="35" spans="2:18">
      <c r="B35" s="79">
        <v>4</v>
      </c>
      <c r="C35" s="501" t="s">
        <v>157</v>
      </c>
      <c r="D35" s="502"/>
      <c r="E35" s="95">
        <v>10</v>
      </c>
      <c r="F35" s="78">
        <f>Production2!S22</f>
        <v>15</v>
      </c>
      <c r="G35" s="75">
        <f>F35+'19'!G35</f>
        <v>337.91999999999996</v>
      </c>
      <c r="H35" s="75">
        <f>F35+'19'!H35</f>
        <v>1291.25</v>
      </c>
      <c r="I35" s="77">
        <f>Production2!T22</f>
        <v>61.709999999999809</v>
      </c>
      <c r="J35" s="77">
        <f>Production2!U22</f>
        <v>205</v>
      </c>
      <c r="K35" s="74">
        <f>J35+'19'!K35</f>
        <v>4584.6000000000004</v>
      </c>
      <c r="L35" s="74">
        <f>J35+'19'!L35</f>
        <v>17830.199999999997</v>
      </c>
      <c r="M35" s="77">
        <f>Production2!V22</f>
        <v>208</v>
      </c>
      <c r="N35" s="74">
        <f>M35+'19'!N35</f>
        <v>4568</v>
      </c>
      <c r="O35" s="74">
        <f>M35+'19'!O35</f>
        <v>17787</v>
      </c>
      <c r="P35" s="74">
        <f t="shared" ref="P35" si="7">I35+J35-M35</f>
        <v>58.709999999999809</v>
      </c>
      <c r="Q35" s="96">
        <f t="shared" si="6"/>
        <v>13.666666666666666</v>
      </c>
      <c r="R35" s="94"/>
    </row>
    <row r="36" spans="2:18">
      <c r="B36" s="91">
        <v>5</v>
      </c>
      <c r="C36" s="501" t="s">
        <v>63</v>
      </c>
      <c r="D36" s="502"/>
      <c r="E36" s="95">
        <v>50</v>
      </c>
      <c r="F36" s="78">
        <f>Production2!Y22</f>
        <v>22.44</v>
      </c>
      <c r="G36" s="75">
        <f>F36+'19'!G36</f>
        <v>471.46000000000004</v>
      </c>
      <c r="H36" s="75">
        <f>F36+'19'!H36</f>
        <v>1786.27</v>
      </c>
      <c r="I36" s="77">
        <f>Clinker!EJ22</f>
        <v>22501.599567493366</v>
      </c>
      <c r="J36" s="77">
        <f>Clinker!EK22</f>
        <v>1270</v>
      </c>
      <c r="K36" s="74">
        <f>J36+'19'!K36</f>
        <v>29517</v>
      </c>
      <c r="L36" s="74">
        <f>J36+'19'!L36</f>
        <v>115043</v>
      </c>
      <c r="M36" s="77">
        <f>Clinker!EL22</f>
        <v>2446.5670030946003</v>
      </c>
      <c r="N36" s="74">
        <f>M36+'19'!N36</f>
        <v>34137.776521362917</v>
      </c>
      <c r="O36" s="74">
        <f>M36+'19'!O36</f>
        <v>96999.507535227953</v>
      </c>
      <c r="P36" s="74">
        <f>I36+J36-M36-I22</f>
        <v>21325.032564398767</v>
      </c>
      <c r="Q36" s="96">
        <f t="shared" si="6"/>
        <v>56.595365418894829</v>
      </c>
      <c r="R36" s="94"/>
    </row>
    <row r="37" spans="2:18">
      <c r="B37" s="569">
        <v>6</v>
      </c>
      <c r="C37" s="476" t="s">
        <v>158</v>
      </c>
      <c r="D37" s="80" t="s">
        <v>285</v>
      </c>
      <c r="E37" s="97">
        <v>90</v>
      </c>
      <c r="F37" s="78">
        <f>'Daily CEM-1'!I23</f>
        <v>2</v>
      </c>
      <c r="G37" s="75">
        <f>F37+'19'!G37</f>
        <v>14</v>
      </c>
      <c r="H37" s="75">
        <f>F37+'19'!H37</f>
        <v>53.7</v>
      </c>
      <c r="I37" s="77">
        <f>Production2!BJ22</f>
        <v>192.29999999999995</v>
      </c>
      <c r="J37" s="77">
        <f>'Daily CEM-1'!D23</f>
        <v>136</v>
      </c>
      <c r="K37" s="74">
        <f>J37+'19'!K37</f>
        <v>973</v>
      </c>
      <c r="L37" s="74">
        <f>J37+'19'!L37</f>
        <v>3607</v>
      </c>
      <c r="M37" s="77">
        <f>Production2!BL22</f>
        <v>182</v>
      </c>
      <c r="N37" s="74">
        <f>M37+'19'!N37</f>
        <v>2243</v>
      </c>
      <c r="O37" s="74">
        <f>M37+'19'!O37</f>
        <v>7281</v>
      </c>
      <c r="P37" s="74">
        <f>I37+J37+J43-M37-F61</f>
        <v>146.29999999999995</v>
      </c>
      <c r="Q37" s="96">
        <f t="shared" si="6"/>
        <v>68</v>
      </c>
      <c r="R37" s="94"/>
    </row>
    <row r="38" spans="2:18">
      <c r="B38" s="564"/>
      <c r="C38" s="477"/>
      <c r="D38" s="80" t="s">
        <v>286</v>
      </c>
      <c r="E38" s="97">
        <v>78</v>
      </c>
      <c r="F38" s="78">
        <f>'Daily CEM-1'!H23</f>
        <v>19</v>
      </c>
      <c r="G38" s="75">
        <f>F38+'19'!G38</f>
        <v>372.65</v>
      </c>
      <c r="H38" s="75">
        <f>F38+'19'!H38</f>
        <v>871.12</v>
      </c>
      <c r="I38" s="77">
        <f>Production2!BF22</f>
        <v>930.11799999997766</v>
      </c>
      <c r="J38" s="77">
        <f>'Daily CEM-1'!C23</f>
        <v>1258</v>
      </c>
      <c r="K38" s="74">
        <f>J38+'19'!K38</f>
        <v>24483</v>
      </c>
      <c r="L38" s="74">
        <f>J38+'19'!L38</f>
        <v>55813</v>
      </c>
      <c r="M38" s="77">
        <f>Production2!BH22</f>
        <v>2153.25</v>
      </c>
      <c r="N38" s="74">
        <f>M38+'19'!N38</f>
        <v>42921.86</v>
      </c>
      <c r="O38" s="74">
        <f>M38+'19'!O38</f>
        <v>123664.68999999997</v>
      </c>
      <c r="P38" s="74">
        <f>I38+J38+J44-M38-F59</f>
        <v>1442.8679999999777</v>
      </c>
      <c r="Q38" s="96">
        <f t="shared" si="6"/>
        <v>66.21052631578948</v>
      </c>
      <c r="R38" s="94"/>
    </row>
    <row r="39" spans="2:18">
      <c r="B39" s="564"/>
      <c r="C39" s="477"/>
      <c r="D39" s="80" t="s">
        <v>287</v>
      </c>
      <c r="E39" s="97">
        <v>78</v>
      </c>
      <c r="F39" s="78">
        <f>'Daily CEM-1'!J23</f>
        <v>0</v>
      </c>
      <c r="G39" s="75">
        <f>F39+'19'!G39</f>
        <v>0</v>
      </c>
      <c r="H39" s="75">
        <f>F39+'19'!H39</f>
        <v>0</v>
      </c>
      <c r="I39" s="77">
        <f>Production2!BN22</f>
        <v>9.0000000000849845E-2</v>
      </c>
      <c r="J39" s="77">
        <f>'Daily CEM-1'!E23</f>
        <v>0</v>
      </c>
      <c r="K39" s="74">
        <f>J39+'19'!K39</f>
        <v>0</v>
      </c>
      <c r="L39" s="74">
        <f>J39+'19'!L39</f>
        <v>0</v>
      </c>
      <c r="M39" s="77">
        <f>Production2!BP22</f>
        <v>0</v>
      </c>
      <c r="N39" s="74">
        <f>M39+'19'!N39</f>
        <v>0</v>
      </c>
      <c r="O39" s="74">
        <f>M39+'19'!O39</f>
        <v>-0.15</v>
      </c>
      <c r="P39" s="74">
        <f>I39+J39+J45-M39-F60</f>
        <v>9.0000000000849845E-2</v>
      </c>
      <c r="Q39" s="96" t="e">
        <f t="shared" si="6"/>
        <v>#DIV/0!</v>
      </c>
      <c r="R39" s="94"/>
    </row>
    <row r="40" spans="2:18">
      <c r="B40" s="564"/>
      <c r="C40" s="477"/>
      <c r="D40" s="194" t="s">
        <v>187</v>
      </c>
      <c r="E40" s="97">
        <v>65</v>
      </c>
      <c r="F40" s="84">
        <f>Production2!AK22</f>
        <v>0</v>
      </c>
      <c r="G40" s="75">
        <f>F40+'19'!G40</f>
        <v>1</v>
      </c>
      <c r="H40" s="75">
        <f>F40+'19'!H40</f>
        <v>6</v>
      </c>
      <c r="I40" s="195">
        <f>Production2!BR22</f>
        <v>114.35000000000002</v>
      </c>
      <c r="J40" s="195">
        <f>Production2!AL22</f>
        <v>0</v>
      </c>
      <c r="K40" s="74">
        <f>J40+'19'!K40</f>
        <v>65</v>
      </c>
      <c r="L40" s="74">
        <f>J40+'19'!L40</f>
        <v>365</v>
      </c>
      <c r="M40" s="195">
        <f>Production2!BT22</f>
        <v>0</v>
      </c>
      <c r="N40" s="74">
        <f>M40+'19'!N40</f>
        <v>1361</v>
      </c>
      <c r="O40" s="74">
        <f>M40+'19'!O40</f>
        <v>4393.5</v>
      </c>
      <c r="P40" s="74">
        <f>I40+J40+J46-M40</f>
        <v>114.35000000000002</v>
      </c>
      <c r="Q40" s="96" t="e">
        <f t="shared" si="6"/>
        <v>#DIV/0!</v>
      </c>
      <c r="R40" s="94"/>
    </row>
    <row r="41" spans="2:18">
      <c r="B41" s="564"/>
      <c r="C41" s="477"/>
      <c r="D41" s="80" t="s">
        <v>288</v>
      </c>
      <c r="E41" s="97">
        <v>78</v>
      </c>
      <c r="F41" s="84">
        <f>Production2!AN22</f>
        <v>3</v>
      </c>
      <c r="G41" s="75">
        <f>F41+'19'!G41</f>
        <v>45.5</v>
      </c>
      <c r="H41" s="75">
        <f>F41+'19'!H41</f>
        <v>171.67</v>
      </c>
      <c r="I41" s="195">
        <f>Production2!BV22</f>
        <v>307.88000000000011</v>
      </c>
      <c r="J41" s="195">
        <f>Production2!AO22</f>
        <v>204</v>
      </c>
      <c r="K41" s="74">
        <f>J41+'19'!K41</f>
        <v>3131</v>
      </c>
      <c r="L41" s="74">
        <f>J41+'19'!L41</f>
        <v>11309</v>
      </c>
      <c r="M41" s="77">
        <f>Production2!BX22</f>
        <v>399.64</v>
      </c>
      <c r="N41" s="74">
        <f>M41+'19'!N41</f>
        <v>5152.16</v>
      </c>
      <c r="O41" s="74">
        <f>M41+'19'!O41</f>
        <v>19147.47</v>
      </c>
      <c r="P41" s="74">
        <f>I41+J41+J47-M41</f>
        <v>112.24000000000012</v>
      </c>
      <c r="Q41" s="96">
        <f t="shared" si="6"/>
        <v>68</v>
      </c>
      <c r="R41" s="94"/>
    </row>
    <row r="42" spans="2:18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8">G37+G38+G39+G40+G41</f>
        <v>433.15</v>
      </c>
      <c r="H42" s="132">
        <f t="shared" si="8"/>
        <v>1102.49</v>
      </c>
      <c r="I42" s="122">
        <f>I37+I38+I39+I40+I41</f>
        <v>1544.7379999999785</v>
      </c>
      <c r="J42" s="122">
        <f>J37+J38+J39+J40+J41</f>
        <v>1598</v>
      </c>
      <c r="K42" s="122">
        <f>K37+K38+K39+K40+K41</f>
        <v>28652</v>
      </c>
      <c r="L42" s="122">
        <f>L37+L38+L39+L40+L41</f>
        <v>71094</v>
      </c>
      <c r="M42" s="122">
        <f t="shared" ref="M42:O42" si="9">M37+M38+M39+M40+M41</f>
        <v>2734.89</v>
      </c>
      <c r="N42" s="122">
        <f t="shared" si="9"/>
        <v>51678.020000000004</v>
      </c>
      <c r="O42" s="122">
        <f t="shared" si="9"/>
        <v>154486.50999999998</v>
      </c>
      <c r="P42" s="122">
        <f>P37+P38+P39+P40+P41</f>
        <v>1815.8479999999786</v>
      </c>
      <c r="Q42" s="123">
        <f t="shared" si="6"/>
        <v>66.583333333333329</v>
      </c>
      <c r="R42" s="94"/>
    </row>
    <row r="43" spans="2:18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Production2!AT22</f>
        <v>0</v>
      </c>
      <c r="G43" s="75">
        <f>F43+'19'!G43</f>
        <v>13.5</v>
      </c>
      <c r="H43" s="75">
        <f>F43+'19'!H43</f>
        <v>58.929999999999993</v>
      </c>
      <c r="I43" s="471"/>
      <c r="J43" s="77">
        <f>Production2!AU22</f>
        <v>0</v>
      </c>
      <c r="K43" s="74">
        <f>J43+'19'!K43</f>
        <v>838</v>
      </c>
      <c r="L43" s="74">
        <f>J43+'19'!L43</f>
        <v>3588</v>
      </c>
      <c r="M43" s="542"/>
      <c r="N43" s="543"/>
      <c r="O43" s="543"/>
      <c r="P43" s="544"/>
      <c r="Q43" s="96" t="e">
        <f t="shared" si="6"/>
        <v>#DIV/0!</v>
      </c>
      <c r="R43" s="94"/>
    </row>
    <row r="44" spans="2:18">
      <c r="B44" s="564"/>
      <c r="C44" s="477"/>
      <c r="D44" s="80" t="s">
        <v>286</v>
      </c>
      <c r="E44" s="97">
        <v>70</v>
      </c>
      <c r="F44" s="78">
        <f>Production2!AQ22</f>
        <v>24</v>
      </c>
      <c r="G44" s="75">
        <f>F44+'19'!G44</f>
        <v>307.02999999999997</v>
      </c>
      <c r="H44" s="75">
        <f>F44+'19'!H44</f>
        <v>1157.44</v>
      </c>
      <c r="I44" s="472"/>
      <c r="J44" s="77">
        <f>Production2!AR22</f>
        <v>1408</v>
      </c>
      <c r="K44" s="74">
        <f>J44+'19'!K44</f>
        <v>18065</v>
      </c>
      <c r="L44" s="74">
        <f>J44+'19'!L44</f>
        <v>68026</v>
      </c>
      <c r="M44" s="545"/>
      <c r="N44" s="546"/>
      <c r="O44" s="546"/>
      <c r="P44" s="547"/>
      <c r="Q44" s="96">
        <f t="shared" si="6"/>
        <v>58.666666666666664</v>
      </c>
      <c r="R44" s="94"/>
    </row>
    <row r="45" spans="2:18">
      <c r="B45" s="564"/>
      <c r="C45" s="477"/>
      <c r="D45" s="80" t="s">
        <v>287</v>
      </c>
      <c r="E45" s="97">
        <v>70</v>
      </c>
      <c r="F45" s="78">
        <f>Production2!AW22</f>
        <v>0</v>
      </c>
      <c r="G45" s="75">
        <f>F45+'19'!G45</f>
        <v>0</v>
      </c>
      <c r="H45" s="75">
        <f>F45+'19'!H45</f>
        <v>0</v>
      </c>
      <c r="I45" s="472"/>
      <c r="J45" s="77">
        <f>Production2!AX22</f>
        <v>0</v>
      </c>
      <c r="K45" s="74">
        <f>J45+'19'!K45</f>
        <v>0</v>
      </c>
      <c r="L45" s="74">
        <f>J45+'19'!L45</f>
        <v>0</v>
      </c>
      <c r="M45" s="545"/>
      <c r="N45" s="546"/>
      <c r="O45" s="546"/>
      <c r="P45" s="547"/>
      <c r="Q45" s="96" t="e">
        <f t="shared" si="6"/>
        <v>#DIV/0!</v>
      </c>
      <c r="R45" s="94"/>
    </row>
    <row r="46" spans="2:18">
      <c r="B46" s="564"/>
      <c r="C46" s="477"/>
      <c r="D46" s="194" t="s">
        <v>187</v>
      </c>
      <c r="E46" s="97">
        <v>60</v>
      </c>
      <c r="F46" s="84">
        <f>Production2!AZ22</f>
        <v>0</v>
      </c>
      <c r="G46" s="75">
        <f>F46+'19'!G46</f>
        <v>22.77</v>
      </c>
      <c r="H46" s="75">
        <f>F46+'19'!H46</f>
        <v>70.649999999999991</v>
      </c>
      <c r="I46" s="472"/>
      <c r="J46" s="195">
        <f>Production2!BA22</f>
        <v>0</v>
      </c>
      <c r="K46" s="74">
        <f>J46+'19'!K46</f>
        <v>1283</v>
      </c>
      <c r="L46" s="74">
        <f>J46+'19'!L46</f>
        <v>3930</v>
      </c>
      <c r="M46" s="545"/>
      <c r="N46" s="546"/>
      <c r="O46" s="546"/>
      <c r="P46" s="547"/>
      <c r="Q46" s="96" t="e">
        <f t="shared" si="6"/>
        <v>#DIV/0!</v>
      </c>
      <c r="R46" s="94"/>
    </row>
    <row r="47" spans="2:18">
      <c r="B47" s="564"/>
      <c r="C47" s="477"/>
      <c r="D47" s="80" t="s">
        <v>288</v>
      </c>
      <c r="E47" s="97">
        <v>70</v>
      </c>
      <c r="F47" s="84">
        <f>Production2!BC22</f>
        <v>0</v>
      </c>
      <c r="G47" s="75">
        <f>F47+'19'!G47</f>
        <v>16</v>
      </c>
      <c r="H47" s="75">
        <f>F47+'19'!H47</f>
        <v>124.67</v>
      </c>
      <c r="I47" s="473"/>
      <c r="J47" s="195">
        <f>Production2!BD22</f>
        <v>0</v>
      </c>
      <c r="K47" s="74">
        <f>J47+'19'!K47</f>
        <v>966</v>
      </c>
      <c r="L47" s="74">
        <f>J47+'19'!L47</f>
        <v>7581</v>
      </c>
      <c r="M47" s="548"/>
      <c r="N47" s="549"/>
      <c r="O47" s="549"/>
      <c r="P47" s="550"/>
      <c r="Q47" s="96" t="e">
        <f t="shared" si="6"/>
        <v>#DIV/0!</v>
      </c>
      <c r="R47" s="94"/>
    </row>
    <row r="48" spans="2:18" ht="15.75" thickBot="1">
      <c r="B48" s="565"/>
      <c r="C48" s="478"/>
      <c r="D48" s="120" t="s">
        <v>162</v>
      </c>
      <c r="E48" s="121">
        <v>70</v>
      </c>
      <c r="F48" s="132">
        <f>F43+F44+F45+F46+F47</f>
        <v>24</v>
      </c>
      <c r="G48" s="132">
        <f>G43+G44+G45+G46+G47</f>
        <v>359.29999999999995</v>
      </c>
      <c r="H48" s="132">
        <f t="shared" ref="H48" si="10">H43+H44+H45+H46+H47</f>
        <v>1411.6900000000003</v>
      </c>
      <c r="I48" s="122"/>
      <c r="J48" s="122">
        <f>J43+J44+J45+J46+J47</f>
        <v>1408</v>
      </c>
      <c r="K48" s="122">
        <f>K43+K44+K45+K46+K47</f>
        <v>21152</v>
      </c>
      <c r="L48" s="122">
        <f>L43+L44+L45+L46+L47</f>
        <v>83125</v>
      </c>
      <c r="M48" s="574"/>
      <c r="N48" s="575"/>
      <c r="O48" s="575"/>
      <c r="P48" s="576"/>
      <c r="Q48" s="123">
        <f t="shared" si="6"/>
        <v>58.666666666666664</v>
      </c>
      <c r="R48" s="94"/>
    </row>
    <row r="49" spans="2:18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</row>
    <row r="50" spans="2:18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</row>
    <row r="51" spans="2:18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8" ht="14.45" customHeight="1">
      <c r="B52" s="91">
        <v>1</v>
      </c>
      <c r="C52" s="586" t="s">
        <v>295</v>
      </c>
      <c r="D52" s="586"/>
      <c r="E52" s="99">
        <f>E55/J32</f>
        <v>0.52703897301867941</v>
      </c>
      <c r="F52" s="99">
        <f>F55/(J33+J34)</f>
        <v>26.542359844678501</v>
      </c>
      <c r="G52" s="99" t="e">
        <f>G55/J34</f>
        <v>#DIV/0!</v>
      </c>
      <c r="H52" s="99">
        <f>H55/J36</f>
        <v>41.418110236220471</v>
      </c>
      <c r="I52" s="99">
        <f>I55/J35</f>
        <v>61.775609756097559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16.377952755905511</v>
      </c>
    </row>
    <row r="53" spans="2:18" ht="14.45" customHeight="1">
      <c r="B53" s="79">
        <v>2</v>
      </c>
      <c r="C53" s="516" t="s">
        <v>297</v>
      </c>
      <c r="D53" s="516"/>
      <c r="E53" s="102">
        <f>E52*(I9/J36)</f>
        <v>0.69054555204967127</v>
      </c>
      <c r="F53" s="102">
        <f>F52*1.55</f>
        <v>41.140657759251674</v>
      </c>
      <c r="G53" s="102" t="e">
        <f>G52*1.55</f>
        <v>#DIV/0!</v>
      </c>
      <c r="H53" s="102">
        <f>H52</f>
        <v>41.418110236220471</v>
      </c>
      <c r="I53" s="102">
        <f>I52*(Q52/100)</f>
        <v>10.117580180526215</v>
      </c>
      <c r="J53" s="102"/>
      <c r="K53" s="102"/>
      <c r="L53" s="102"/>
      <c r="M53" s="96"/>
      <c r="N53" s="306">
        <f>SUM(E53:F53,H53:I53)</f>
        <v>93.366893728048026</v>
      </c>
      <c r="O53" s="516" t="s">
        <v>298</v>
      </c>
      <c r="P53" s="516"/>
      <c r="Q53" s="104">
        <v>5320</v>
      </c>
    </row>
    <row r="54" spans="2:18" ht="14.45" customHeight="1">
      <c r="B54" s="79">
        <v>3</v>
      </c>
      <c r="C54" s="588" t="s">
        <v>299</v>
      </c>
      <c r="D54" s="588"/>
      <c r="E54" s="102">
        <f>E53*M20/100</f>
        <v>0.56203125807667009</v>
      </c>
      <c r="F54" s="102">
        <f>F53*M20/100</f>
        <v>33.484156939252486</v>
      </c>
      <c r="G54" s="102" t="e">
        <f>G53*M20/100</f>
        <v>#DIV/0!</v>
      </c>
      <c r="H54" s="102">
        <f>H53*M20/100</f>
        <v>33.709973996830243</v>
      </c>
      <c r="I54" s="102">
        <f>I53*M20/100</f>
        <v>8.2346433203058371</v>
      </c>
      <c r="J54" s="99">
        <f>J55/(J42+J48)</f>
        <v>38.988689288090484</v>
      </c>
      <c r="K54" s="99">
        <f>K55/(J48+J42)</f>
        <v>0.67564870259481036</v>
      </c>
      <c r="L54" s="99">
        <f>L55/(M42)</f>
        <v>2.875801220524409</v>
      </c>
      <c r="M54" s="96">
        <f>M55/(J48+J42)</f>
        <v>1.0192947438456421</v>
      </c>
      <c r="N54" s="306">
        <f>SUM(E54:F54,H54:M54)</f>
        <v>119.55023946952059</v>
      </c>
      <c r="O54" s="516" t="s">
        <v>300</v>
      </c>
      <c r="P54" s="516"/>
      <c r="Q54" s="104">
        <f>Q53*Q52/100</f>
        <v>871.30708661417316</v>
      </c>
    </row>
    <row r="55" spans="2:18" ht="15" customHeight="1" thickBot="1">
      <c r="B55" s="90" t="s">
        <v>262</v>
      </c>
      <c r="C55" s="589" t="s">
        <v>301</v>
      </c>
      <c r="D55" s="589"/>
      <c r="E55" s="118">
        <f>'Daily unit'!B22</f>
        <v>1097</v>
      </c>
      <c r="F55" s="118">
        <f>'Daily unit'!C22</f>
        <v>42790</v>
      </c>
      <c r="G55" s="118">
        <f>'Daily unit'!D22</f>
        <v>0</v>
      </c>
      <c r="H55" s="118">
        <f>'Daily unit'!E22</f>
        <v>52601</v>
      </c>
      <c r="I55" s="118">
        <f>'Daily unit'!F22</f>
        <v>12664</v>
      </c>
      <c r="J55" s="118">
        <f>'Daily unit'!G22</f>
        <v>117200</v>
      </c>
      <c r="K55" s="118">
        <f>'Daily unit'!H22</f>
        <v>2031</v>
      </c>
      <c r="L55" s="118">
        <f>'Daily unit'!I22</f>
        <v>7865</v>
      </c>
      <c r="M55" s="119">
        <f>'Daily unit'!J22</f>
        <v>3064</v>
      </c>
      <c r="N55" s="317">
        <f>SUM(E55:M55)</f>
        <v>239312</v>
      </c>
      <c r="O55" s="106"/>
      <c r="P55" s="107"/>
      <c r="Q55" s="108"/>
    </row>
    <row r="56" spans="2:18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8" ht="14.45" customHeight="1" thickBot="1">
      <c r="B57" s="628" t="s">
        <v>302</v>
      </c>
      <c r="C57" s="629"/>
      <c r="D57" s="629"/>
      <c r="E57" s="629"/>
      <c r="F57" s="629"/>
      <c r="G57" s="629"/>
      <c r="H57" s="629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8" s="110" customFormat="1" ht="14.45" customHeight="1" thickBot="1">
      <c r="B58" s="214" t="s">
        <v>250</v>
      </c>
      <c r="C58" s="688" t="s">
        <v>304</v>
      </c>
      <c r="D58" s="688"/>
      <c r="E58" s="688"/>
      <c r="F58" s="215" t="s">
        <v>305</v>
      </c>
      <c r="G58" s="215" t="s">
        <v>27</v>
      </c>
      <c r="H58" s="23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8" ht="14.45" customHeight="1" thickBot="1">
      <c r="B59" s="705">
        <v>1</v>
      </c>
      <c r="C59" s="704" t="s">
        <v>306</v>
      </c>
      <c r="D59" s="704"/>
      <c r="E59" s="217" t="s">
        <v>336</v>
      </c>
      <c r="F59" s="218">
        <f>'Internal use cement'!F22</f>
        <v>0</v>
      </c>
      <c r="G59" s="218">
        <f>F59+'19'!G59</f>
        <v>0</v>
      </c>
      <c r="H59" s="219">
        <f>F59+'19'!H59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8" ht="14.45" customHeight="1" thickBot="1">
      <c r="B60" s="512"/>
      <c r="C60" s="627"/>
      <c r="D60" s="627"/>
      <c r="E60" s="80" t="s">
        <v>211</v>
      </c>
      <c r="F60" s="53">
        <f>'Internal use cement'!Q22</f>
        <v>0</v>
      </c>
      <c r="G60" s="218">
        <f>F60+'19'!G60</f>
        <v>0</v>
      </c>
      <c r="H60" s="219">
        <f>F60+'19'!H60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8" ht="15" customHeight="1" thickBot="1">
      <c r="B61" s="512"/>
      <c r="C61" s="627"/>
      <c r="D61" s="627"/>
      <c r="E61" s="80">
        <v>32.5</v>
      </c>
      <c r="F61" s="53">
        <f>'Internal use cement'!Y22</f>
        <v>0</v>
      </c>
      <c r="G61" s="218">
        <f>F61+'19'!G61</f>
        <v>0</v>
      </c>
      <c r="H61" s="219">
        <f>F61+'19'!H61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8" ht="15" customHeight="1" thickBot="1">
      <c r="B62" s="699"/>
      <c r="C62" s="698"/>
      <c r="D62" s="698"/>
      <c r="E62" s="112" t="s">
        <v>187</v>
      </c>
      <c r="F62" s="113">
        <f>'Internal use cement'!AJ22</f>
        <v>0</v>
      </c>
      <c r="G62" s="218">
        <f>F62+'19'!G62</f>
        <v>0.35</v>
      </c>
      <c r="H62" s="219">
        <f>F62+'19'!H62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8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8">
      <c r="R64" s="115"/>
    </row>
    <row r="65" spans="2:18">
      <c r="R65" s="116"/>
    </row>
    <row r="66" spans="2:18">
      <c r="R66" s="94"/>
    </row>
    <row r="67" spans="2:18">
      <c r="R67" s="94"/>
    </row>
    <row r="68" spans="2:18">
      <c r="R68" s="94"/>
    </row>
    <row r="69" spans="2:18">
      <c r="R69" s="109"/>
    </row>
    <row r="70" spans="2:18">
      <c r="R70" s="94"/>
    </row>
    <row r="71" spans="2:18">
      <c r="R71" s="117"/>
    </row>
    <row r="72" spans="2:18">
      <c r="R72" s="117"/>
    </row>
    <row r="73" spans="2:18">
      <c r="R73" s="117"/>
    </row>
    <row r="74" spans="2:1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  <row r="156" spans="2:18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</row>
    <row r="157" spans="2:18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</row>
    <row r="158" spans="2:18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</row>
  </sheetData>
  <mergeCells count="86">
    <mergeCell ref="I33:I34"/>
    <mergeCell ref="M33:M34"/>
    <mergeCell ref="N33:N34"/>
    <mergeCell ref="O33:O34"/>
    <mergeCell ref="P33:P34"/>
    <mergeCell ref="B16:B18"/>
    <mergeCell ref="C16:C18"/>
    <mergeCell ref="B2:Q2"/>
    <mergeCell ref="B3:Q3"/>
    <mergeCell ref="N6:N7"/>
    <mergeCell ref="O6:O7"/>
    <mergeCell ref="P6:P7"/>
    <mergeCell ref="Q6:Q7"/>
    <mergeCell ref="B4:O4"/>
    <mergeCell ref="B6:B7"/>
    <mergeCell ref="C6:C7"/>
    <mergeCell ref="D6:D7"/>
    <mergeCell ref="E6:E7"/>
    <mergeCell ref="F6:H6"/>
    <mergeCell ref="I6:K6"/>
    <mergeCell ref="C8:Q8"/>
    <mergeCell ref="P15:Q15"/>
    <mergeCell ref="C9:D9"/>
    <mergeCell ref="L6:L7"/>
    <mergeCell ref="M6:M7"/>
    <mergeCell ref="Q23:Q24"/>
    <mergeCell ref="C24:D24"/>
    <mergeCell ref="C23:D23"/>
    <mergeCell ref="C19:Q19"/>
    <mergeCell ref="O9:O18"/>
    <mergeCell ref="C10:D10"/>
    <mergeCell ref="C11:D11"/>
    <mergeCell ref="C12:D12"/>
    <mergeCell ref="C15:D15"/>
    <mergeCell ref="B20:B22"/>
    <mergeCell ref="C20:C22"/>
    <mergeCell ref="N20:N22"/>
    <mergeCell ref="O20:O27"/>
    <mergeCell ref="B28:Q28"/>
    <mergeCell ref="M20:M21"/>
    <mergeCell ref="P20:Q22"/>
    <mergeCell ref="B25:B26"/>
    <mergeCell ref="C25:C26"/>
    <mergeCell ref="M25:N26"/>
    <mergeCell ref="P25:Q27"/>
    <mergeCell ref="C27:D27"/>
    <mergeCell ref="M27:N27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C32:D32"/>
    <mergeCell ref="C33:D33"/>
    <mergeCell ref="C35:D35"/>
    <mergeCell ref="C36:D36"/>
    <mergeCell ref="B37:B42"/>
    <mergeCell ref="C37:C42"/>
    <mergeCell ref="C34:D34"/>
    <mergeCell ref="B56:Q56"/>
    <mergeCell ref="B57:H57"/>
    <mergeCell ref="C58:E58"/>
    <mergeCell ref="C59:D62"/>
    <mergeCell ref="B59:B62"/>
    <mergeCell ref="I57:Q62"/>
    <mergeCell ref="C54:D54"/>
    <mergeCell ref="O54:P54"/>
    <mergeCell ref="C55:D55"/>
    <mergeCell ref="C51:D51"/>
    <mergeCell ref="O51:P51"/>
    <mergeCell ref="C52:D52"/>
    <mergeCell ref="O52:P52"/>
    <mergeCell ref="C53:D53"/>
    <mergeCell ref="O53:P53"/>
    <mergeCell ref="B50:N50"/>
    <mergeCell ref="O50:Q50"/>
    <mergeCell ref="B49:Q49"/>
    <mergeCell ref="M48:P48"/>
    <mergeCell ref="B43:B48"/>
    <mergeCell ref="C43:C48"/>
    <mergeCell ref="I43:I47"/>
    <mergeCell ref="M43:P47"/>
  </mergeCells>
  <pageMargins left="0" right="0" top="0.75" bottom="0.75" header="0.3" footer="0.3"/>
  <pageSetup paperSize="9" scale="5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B2:U158"/>
  <sheetViews>
    <sheetView zoomScale="90" zoomScaleNormal="90" workbookViewId="0">
      <pane xSplit="4" ySplit="1" topLeftCell="E42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37" t="s">
        <v>337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 t="s">
        <v>326</v>
      </c>
      <c r="N5" s="140" t="s">
        <v>327</v>
      </c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258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'20'!L9</f>
        <v>21126.617491346744</v>
      </c>
      <c r="F9" s="74">
        <f>Production2!D23</f>
        <v>3370.48</v>
      </c>
      <c r="G9" s="74">
        <f>F9+'20'!G9</f>
        <v>61834.160000000018</v>
      </c>
      <c r="H9" s="74">
        <f>F9+'20'!H9</f>
        <v>218701.44000000009</v>
      </c>
      <c r="I9" s="74">
        <f>Production2!E23</f>
        <v>1906</v>
      </c>
      <c r="J9" s="74">
        <f>I9+'20'!J9</f>
        <v>49551</v>
      </c>
      <c r="K9" s="74">
        <f>I9+'20'!K9</f>
        <v>189582</v>
      </c>
      <c r="L9" s="74">
        <f>E9+F9-I9-I23</f>
        <v>22173.919713568968</v>
      </c>
      <c r="M9" s="75">
        <f>I9</f>
        <v>1906</v>
      </c>
      <c r="N9" s="75">
        <f>(I9/I15)*100</f>
        <v>94.873071179691394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(2)'!L23</f>
        <v>3182</v>
      </c>
      <c r="F10" s="77">
        <f>'Mines (2)'!M23</f>
        <v>0</v>
      </c>
      <c r="G10" s="74">
        <f>F10+'20'!G10</f>
        <v>1287.5600000000002</v>
      </c>
      <c r="H10" s="74">
        <f>F10+'20'!H10</f>
        <v>6556.9600000000009</v>
      </c>
      <c r="I10" s="77">
        <f>'Mines (2)'!N23</f>
        <v>41</v>
      </c>
      <c r="J10" s="74">
        <f>I10+'20'!J10</f>
        <v>1058</v>
      </c>
      <c r="K10" s="74">
        <f>I10+'20'!K10</f>
        <v>3540</v>
      </c>
      <c r="L10" s="77">
        <f t="shared" ref="L10:L18" si="0">E10+F10-I10</f>
        <v>3141</v>
      </c>
      <c r="M10" s="75">
        <f t="shared" ref="M10:M12" si="1">I10</f>
        <v>41</v>
      </c>
      <c r="N10" s="75">
        <f>(I10/I15)*100</f>
        <v>2.0408163265306123</v>
      </c>
      <c r="O10" s="515"/>
      <c r="P10" s="53">
        <v>10</v>
      </c>
      <c r="Q10" s="262">
        <f>'Raw mill moisture content'!M35</f>
        <v>9.9999999999999964E-2</v>
      </c>
    </row>
    <row r="11" spans="2:21">
      <c r="B11" s="199">
        <v>3</v>
      </c>
      <c r="C11" s="516" t="s">
        <v>77</v>
      </c>
      <c r="D11" s="516"/>
      <c r="E11" s="77">
        <f>Clinker!C23</f>
        <v>1322.92</v>
      </c>
      <c r="F11" s="77">
        <f>Clinker!D23</f>
        <v>0</v>
      </c>
      <c r="G11" s="74">
        <f>F11+'20'!G11</f>
        <v>0</v>
      </c>
      <c r="H11" s="74">
        <f>F11+'20'!H11</f>
        <v>417.28000000000003</v>
      </c>
      <c r="I11" s="77">
        <f>Clinker!E23</f>
        <v>42</v>
      </c>
      <c r="J11" s="74">
        <f>I11+'20'!J11</f>
        <v>1367</v>
      </c>
      <c r="K11" s="74">
        <f>I11+'20'!K11</f>
        <v>4502</v>
      </c>
      <c r="L11" s="77">
        <f t="shared" si="0"/>
        <v>1280.92</v>
      </c>
      <c r="M11" s="75">
        <f t="shared" si="1"/>
        <v>42</v>
      </c>
      <c r="N11" s="75">
        <f>(I11/I15)*100</f>
        <v>2.0905923344947737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(2)'!Q23</f>
        <v>3.999999999996362E-2</v>
      </c>
      <c r="F12" s="77">
        <f>'Mines (2)'!R23</f>
        <v>0</v>
      </c>
      <c r="G12" s="74">
        <f>F12+'20'!G12</f>
        <v>0</v>
      </c>
      <c r="H12" s="74">
        <f>F12+'20'!H12</f>
        <v>137.76</v>
      </c>
      <c r="I12" s="77">
        <f>'Mines (2)'!S23</f>
        <v>0</v>
      </c>
      <c r="J12" s="74">
        <f>I12+'20'!J12</f>
        <v>0</v>
      </c>
      <c r="K12" s="74">
        <f>I12+'20'!K12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>
        <f>'Raw mill moisture content'!N36</f>
        <v>0</v>
      </c>
    </row>
    <row r="13" spans="2:21" ht="13.9" customHeight="1">
      <c r="B13" s="199">
        <v>5</v>
      </c>
      <c r="C13" s="501" t="s">
        <v>8</v>
      </c>
      <c r="D13" s="502"/>
      <c r="E13" s="77">
        <f>'Mines (2)'!AH23</f>
        <v>298.36</v>
      </c>
      <c r="F13" s="77">
        <v>0</v>
      </c>
      <c r="G13" s="74">
        <v>0</v>
      </c>
      <c r="H13" s="77">
        <v>0</v>
      </c>
      <c r="I13" s="77">
        <f>'Mines (2)'!AK23</f>
        <v>20</v>
      </c>
      <c r="J13" s="74">
        <f>I13+'20'!J13</f>
        <v>20</v>
      </c>
      <c r="K13" s="74">
        <f>I13+'20'!K13</f>
        <v>20</v>
      </c>
      <c r="L13" s="77">
        <f t="shared" si="0"/>
        <v>278.36</v>
      </c>
      <c r="M13" s="74">
        <v>0</v>
      </c>
      <c r="N13" s="75">
        <f>(I13/I15)*100</f>
        <v>0.99552015928322546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v>0</v>
      </c>
      <c r="H14" s="77">
        <v>0</v>
      </c>
      <c r="I14" s="77">
        <v>0</v>
      </c>
      <c r="J14" s="74">
        <f>I14+'20'!J14</f>
        <v>0</v>
      </c>
      <c r="K14" s="74">
        <f>I14+'20'!K14</f>
        <v>0</v>
      </c>
      <c r="L14" s="77">
        <f t="shared" si="0"/>
        <v>0</v>
      </c>
      <c r="M14" s="74"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521" t="s">
        <v>265</v>
      </c>
      <c r="D15" s="521"/>
      <c r="E15" s="127">
        <f>SUM(E9:E14)</f>
        <v>25929.937491346747</v>
      </c>
      <c r="F15" s="127">
        <f t="shared" ref="F15:N15" si="2">SUM(F9:F14)</f>
        <v>3370.48</v>
      </c>
      <c r="G15" s="127">
        <f t="shared" si="2"/>
        <v>63121.720000000016</v>
      </c>
      <c r="H15" s="127">
        <f t="shared" si="2"/>
        <v>225813.44000000009</v>
      </c>
      <c r="I15" s="127">
        <f t="shared" si="2"/>
        <v>2009</v>
      </c>
      <c r="J15" s="127">
        <f t="shared" si="2"/>
        <v>51996</v>
      </c>
      <c r="K15" s="127">
        <f t="shared" si="2"/>
        <v>198382</v>
      </c>
      <c r="L15" s="127">
        <f>SUM(L9:L14)</f>
        <v>26874.239713568968</v>
      </c>
      <c r="M15" s="127">
        <f t="shared" si="2"/>
        <v>1989</v>
      </c>
      <c r="N15" s="127">
        <f t="shared" si="2"/>
        <v>100.00000000000001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Clinker!EB23</f>
        <v>2346.79699999999</v>
      </c>
      <c r="F16" s="77">
        <f>Clinker!EC23</f>
        <v>0</v>
      </c>
      <c r="G16" s="77">
        <f>F16+'20'!G16</f>
        <v>2812.7200000000003</v>
      </c>
      <c r="H16" s="77">
        <f>F16+'20'!H16</f>
        <v>3617.96</v>
      </c>
      <c r="I16" s="77">
        <f>Clinker!ED23</f>
        <v>211.11</v>
      </c>
      <c r="J16" s="77">
        <f>I16+'20'!J16</f>
        <v>5305.1099999999988</v>
      </c>
      <c r="K16" s="77">
        <f>I16+'20'!K16</f>
        <v>20022.419999999998</v>
      </c>
      <c r="L16" s="77">
        <f>E16+F16-Clinker!N23-Clinker!Z23-Clinker!AS23-Clinker!AX23-Clinker!BC23-Clinker!BW23-Clinker!BH23-Clinker!BM23-Clinker!BR23-Clinker!CV23-Clinker!DP23</f>
        <v>2346.79699999999</v>
      </c>
      <c r="M16" s="81"/>
      <c r="N16" s="81"/>
      <c r="O16" s="515"/>
      <c r="P16" s="82">
        <v>7</v>
      </c>
      <c r="Q16" s="262">
        <v>7.0000000000000007E-2</v>
      </c>
      <c r="R16" s="83"/>
      <c r="S16" s="83"/>
    </row>
    <row r="17" spans="2:19">
      <c r="B17" s="512"/>
      <c r="C17" s="517"/>
      <c r="D17" s="80" t="s">
        <v>62</v>
      </c>
      <c r="E17" s="77">
        <f>Clinker!EF23</f>
        <v>4032.0699999999933</v>
      </c>
      <c r="F17" s="77">
        <f>Clinker!EG23</f>
        <v>0</v>
      </c>
      <c r="G17" s="77">
        <f>F17+'20'!G17</f>
        <v>2892.3500000000004</v>
      </c>
      <c r="H17" s="77">
        <f>F17+'20'!H17</f>
        <v>5033.2999999999993</v>
      </c>
      <c r="I17" s="77">
        <f>Clinker!EH23</f>
        <v>144</v>
      </c>
      <c r="J17" s="77">
        <f>I17+'20'!J17</f>
        <v>3053</v>
      </c>
      <c r="K17" s="77">
        <f>I17+'20'!K17</f>
        <v>11225</v>
      </c>
      <c r="L17" s="77">
        <f>E17+F17-I16-Clinker!T23-Clinker!AE23-Clinker!AJ23-Clinker!CL23-Clinker!CQ23-Clinker!CG23</f>
        <v>3676.9599999999932</v>
      </c>
      <c r="M17" s="81"/>
      <c r="N17" s="81"/>
      <c r="O17" s="515"/>
      <c r="P17" s="82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6378.8669999999838</v>
      </c>
      <c r="F18" s="125">
        <f t="shared" ref="F18:K18" si="3">F16+F17</f>
        <v>0</v>
      </c>
      <c r="G18" s="125">
        <f t="shared" si="3"/>
        <v>5705.0700000000006</v>
      </c>
      <c r="H18" s="125">
        <f t="shared" si="3"/>
        <v>8651.2599999999984</v>
      </c>
      <c r="I18" s="125">
        <f t="shared" si="3"/>
        <v>355.11</v>
      </c>
      <c r="J18" s="125">
        <f>J16+J17</f>
        <v>8358.1099999999988</v>
      </c>
      <c r="K18" s="125">
        <f t="shared" si="3"/>
        <v>31247.42</v>
      </c>
      <c r="L18" s="125">
        <f t="shared" si="0"/>
        <v>6023.7569999999841</v>
      </c>
      <c r="M18" s="126"/>
      <c r="N18" s="126"/>
      <c r="O18" s="515"/>
      <c r="P18" s="131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Clinker!EJ23</f>
        <v>21325.032564398767</v>
      </c>
      <c r="F20" s="74">
        <f>Clinker!EK23</f>
        <v>1160</v>
      </c>
      <c r="G20" s="74">
        <f>F20+'20'!G20</f>
        <v>30677</v>
      </c>
      <c r="H20" s="74">
        <f>F20+'20'!H20</f>
        <v>116203</v>
      </c>
      <c r="I20" s="74">
        <f>Clinker!EL23</f>
        <v>2192.277000000001</v>
      </c>
      <c r="J20" s="74">
        <f>I20+'20'!J20</f>
        <v>36330.053521362919</v>
      </c>
      <c r="K20" s="74">
        <f>I20+'20'!K20</f>
        <v>99191.784535227955</v>
      </c>
      <c r="L20" s="74">
        <f>E20+F20-I20-I22</f>
        <v>20292.755564398765</v>
      </c>
      <c r="M20" s="75">
        <f>((I20+I21)/(J42+J48))*100</f>
        <v>82.526245847176099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Clinker!EO23</f>
        <v>381.52100800013591</v>
      </c>
      <c r="F21" s="74">
        <f>Clinker!EP23</f>
        <v>0</v>
      </c>
      <c r="G21" s="74">
        <f>F21+'20'!G21</f>
        <v>0</v>
      </c>
      <c r="H21" s="74">
        <f>F21+'20'!H21</f>
        <v>13390.660000000003</v>
      </c>
      <c r="I21" s="74">
        <f>Clinker!EQ23</f>
        <v>291.76299999999998</v>
      </c>
      <c r="J21" s="74">
        <f>I21+'20'!J21</f>
        <v>5216.3510000000006</v>
      </c>
      <c r="K21" s="74">
        <f>I21+'20'!K21</f>
        <v>22150.450999999997</v>
      </c>
      <c r="L21" s="74">
        <f>E21+F21-I21</f>
        <v>89.758008000135931</v>
      </c>
      <c r="M21" s="75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f>Clinker!EN23</f>
        <v>0</v>
      </c>
      <c r="G22" s="74">
        <f>F22+'20'!G22</f>
        <v>0</v>
      </c>
      <c r="H22" s="74">
        <f>F22+'20'!H22</f>
        <v>0</v>
      </c>
      <c r="I22" s="77">
        <f>Clinker!EN23</f>
        <v>0</v>
      </c>
      <c r="J22" s="77">
        <f>I22+'20'!J22</f>
        <v>0</v>
      </c>
      <c r="K22" s="77">
        <f>I22+'20'!K22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222" t="s">
        <v>263</v>
      </c>
      <c r="D23" s="223"/>
      <c r="E23" s="77">
        <f>Cement!P23</f>
        <v>0</v>
      </c>
      <c r="F23" s="77">
        <f>Cement!Q23</f>
        <v>0</v>
      </c>
      <c r="G23" s="74">
        <f>F23+'20'!G23</f>
        <v>0</v>
      </c>
      <c r="H23" s="74">
        <f>F23+'20'!H23</f>
        <v>0</v>
      </c>
      <c r="I23" s="77">
        <f>Cement!S23</f>
        <v>417.17777777777678</v>
      </c>
      <c r="J23" s="77">
        <f>I23+'20'!J23</f>
        <v>9577.0405487621993</v>
      </c>
      <c r="K23" s="77">
        <f>I23+'20'!K23</f>
        <v>30050.391983614878</v>
      </c>
      <c r="L23" s="74"/>
      <c r="M23" s="78">
        <f>(I23/(J42+J48))*100</f>
        <v>13.85972683647099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Cement!C23</f>
        <v>2735.5119996804797</v>
      </c>
      <c r="F24" s="77">
        <f>Cement!D23</f>
        <v>0</v>
      </c>
      <c r="G24" s="74">
        <f>F24+'20'!G24</f>
        <v>1157.02</v>
      </c>
      <c r="H24" s="74">
        <f>F24+'20'!H24</f>
        <v>3283.6399999999994</v>
      </c>
      <c r="I24" s="77">
        <f>Cement!F23</f>
        <v>158.42105263157896</v>
      </c>
      <c r="J24" s="77">
        <f>I24+'20'!J24</f>
        <v>2788.2595902757394</v>
      </c>
      <c r="K24" s="77">
        <f>I24+'20'!K24</f>
        <v>8151.9291121008828</v>
      </c>
      <c r="L24" s="74">
        <f t="shared" ref="L24:L25" si="4">E24+F24-I24</f>
        <v>2577.0909470489005</v>
      </c>
      <c r="M24" s="78">
        <f>(I24/(J42+J48))*100</f>
        <v>5.2631578947368425</v>
      </c>
      <c r="N24" s="78"/>
      <c r="O24" s="527"/>
      <c r="P24" s="87"/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Cement!H23</f>
        <v>0.23999999999796273</v>
      </c>
      <c r="F25" s="77">
        <f>Cement!I23</f>
        <v>0</v>
      </c>
      <c r="G25" s="77">
        <f>F25+'20'!G25</f>
        <v>0</v>
      </c>
      <c r="H25" s="77">
        <f>F25+'20'!H25</f>
        <v>0</v>
      </c>
      <c r="I25" s="77">
        <f>Cement!J23</f>
        <v>0</v>
      </c>
      <c r="J25" s="77">
        <f>I25+'20'!J25</f>
        <v>0</v>
      </c>
      <c r="K25" s="77">
        <f>I25+'20'!K25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v>0</v>
      </c>
      <c r="F26" s="77">
        <v>0</v>
      </c>
      <c r="G26" s="77">
        <f>F26+'20'!G26</f>
        <v>0</v>
      </c>
      <c r="H26" s="77">
        <f>F26+'20'!H26</f>
        <v>0</v>
      </c>
      <c r="I26" s="77">
        <v>0</v>
      </c>
      <c r="J26" s="77">
        <f>I26+'20'!J26</f>
        <v>0</v>
      </c>
      <c r="K26" s="77">
        <f>I26+'20'!K26</f>
        <v>0</v>
      </c>
      <c r="L26" s="74">
        <f>E26+F26-I26</f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24442.305572079378</v>
      </c>
      <c r="F27" s="122">
        <f t="shared" ref="F27:L27" si="5">F20+F21+F23+F24+F25+F26</f>
        <v>1160</v>
      </c>
      <c r="G27" s="122">
        <f t="shared" si="5"/>
        <v>31834.02</v>
      </c>
      <c r="H27" s="122">
        <f t="shared" si="5"/>
        <v>132877.29999999999</v>
      </c>
      <c r="I27" s="122">
        <f>I20+I21+I23+I24+I25+I26</f>
        <v>3059.6388304093571</v>
      </c>
      <c r="J27" s="122">
        <f t="shared" si="5"/>
        <v>53911.704660400857</v>
      </c>
      <c r="K27" s="122">
        <f t="shared" si="5"/>
        <v>159544.55663094373</v>
      </c>
      <c r="L27" s="122">
        <f t="shared" si="5"/>
        <v>22959.844519447797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Production2!C23</f>
        <v>21.4</v>
      </c>
      <c r="G32" s="75">
        <f>F32+'20'!G32</f>
        <v>383.65000000000003</v>
      </c>
      <c r="H32" s="75">
        <f>F32+'20'!H32</f>
        <v>1352.7800000000002</v>
      </c>
      <c r="I32" s="74">
        <f>'Mines (2)'!C23+'Mines (2)'!H23+'Mines (2)'!V23+'Mines (2)'!Z23+'Mines (2)'!AD23</f>
        <v>21126.61749134674</v>
      </c>
      <c r="J32" s="74">
        <f>Production2!D23</f>
        <v>3370.48</v>
      </c>
      <c r="K32" s="74">
        <f>J32+'20'!K32</f>
        <v>61834.160000000018</v>
      </c>
      <c r="L32" s="74">
        <f>J32+'20'!L32</f>
        <v>218701.44000000009</v>
      </c>
      <c r="M32" s="74">
        <f>I9+I23</f>
        <v>2323.177777777777</v>
      </c>
      <c r="N32" s="74">
        <f>M32+'20'!N32</f>
        <v>59128.040548762197</v>
      </c>
      <c r="O32" s="74">
        <f>M32+'20'!O32</f>
        <v>219632.39198361489</v>
      </c>
      <c r="P32" s="74">
        <f>I32+J32-M32</f>
        <v>22173.919713568961</v>
      </c>
      <c r="Q32" s="93">
        <f>J32/F32</f>
        <v>157.49906542056075</v>
      </c>
      <c r="R32" s="94"/>
      <c r="S32" s="94"/>
    </row>
    <row r="33" spans="2:19">
      <c r="B33" s="79">
        <v>2</v>
      </c>
      <c r="C33" s="501" t="s">
        <v>315</v>
      </c>
      <c r="D33" s="502"/>
      <c r="E33" s="95">
        <v>120</v>
      </c>
      <c r="F33" s="78">
        <f>Production2!G23</f>
        <v>16.53</v>
      </c>
      <c r="G33" s="75">
        <f>F33+'20'!G33</f>
        <v>381.42999999999995</v>
      </c>
      <c r="H33" s="75">
        <f>F33+'20'!H33</f>
        <v>1450.9699999999996</v>
      </c>
      <c r="I33" s="541">
        <f>Production2!H23</f>
        <v>544.34001683751831</v>
      </c>
      <c r="J33" s="77">
        <f>Production2!N23</f>
        <v>1809.96</v>
      </c>
      <c r="K33" s="74">
        <f>J33+'20'!K33</f>
        <v>44391.41</v>
      </c>
      <c r="L33" s="74">
        <f>J33+'20'!L33</f>
        <v>170676.99999999997</v>
      </c>
      <c r="M33" s="541">
        <f>Production2!K23</f>
        <v>1798</v>
      </c>
      <c r="N33" s="541">
        <f>M33+'20'!N33</f>
        <v>47549.350000000006</v>
      </c>
      <c r="O33" s="541">
        <f>M33+'20'!O33</f>
        <v>180114.65</v>
      </c>
      <c r="P33" s="641">
        <f>I33+J33+J34-M33</f>
        <v>556.30001683751834</v>
      </c>
      <c r="Q33" s="96">
        <f t="shared" ref="Q33:Q48" si="6">J33/F33</f>
        <v>109.49546279491832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Production2!P23</f>
        <v>0</v>
      </c>
      <c r="G34" s="75">
        <f>F34+'20'!G34</f>
        <v>269.88</v>
      </c>
      <c r="H34" s="75">
        <f>F34+'20'!H34</f>
        <v>885.55</v>
      </c>
      <c r="I34" s="473"/>
      <c r="J34" s="78">
        <f>Production2!Q23</f>
        <v>0</v>
      </c>
      <c r="K34" s="74">
        <f>J34+'20'!K34</f>
        <v>2446.6</v>
      </c>
      <c r="L34" s="74">
        <f>J34+'20'!L34</f>
        <v>8000.22</v>
      </c>
      <c r="M34" s="473"/>
      <c r="N34" s="473"/>
      <c r="O34" s="473"/>
      <c r="P34" s="642"/>
      <c r="Q34" s="96" t="e">
        <f>J34/F34</f>
        <v>#DIV/0!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Production2!S23</f>
        <v>15</v>
      </c>
      <c r="G35" s="75">
        <f>F35+'20'!G35</f>
        <v>352.91999999999996</v>
      </c>
      <c r="H35" s="75">
        <f>F35+'20'!H35</f>
        <v>1306.25</v>
      </c>
      <c r="I35" s="77">
        <f>Production2!T23</f>
        <v>58.709999999999809</v>
      </c>
      <c r="J35" s="77">
        <f>Production2!U23</f>
        <v>190</v>
      </c>
      <c r="K35" s="74">
        <f>J35+'20'!K35</f>
        <v>4774.6000000000004</v>
      </c>
      <c r="L35" s="74">
        <f>J35+'20'!L35</f>
        <v>18020.199999999997</v>
      </c>
      <c r="M35" s="77">
        <f>Production2!V23</f>
        <v>190</v>
      </c>
      <c r="N35" s="74">
        <f>M35+'20'!N35</f>
        <v>4758</v>
      </c>
      <c r="O35" s="74">
        <f>M35+'20'!O35</f>
        <v>17977</v>
      </c>
      <c r="P35" s="75">
        <f t="shared" ref="P35" si="7">I35+J35-M35</f>
        <v>58.709999999999809</v>
      </c>
      <c r="Q35" s="96">
        <f t="shared" si="6"/>
        <v>12.666666666666666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Production2!Y23</f>
        <v>21.07</v>
      </c>
      <c r="G36" s="75">
        <f>F36+'20'!G36</f>
        <v>492.53000000000003</v>
      </c>
      <c r="H36" s="75">
        <f>F36+'20'!H36</f>
        <v>1807.34</v>
      </c>
      <c r="I36" s="77">
        <f>Clinker!EJ23</f>
        <v>21325.032564398767</v>
      </c>
      <c r="J36" s="77">
        <f>Clinker!EK23</f>
        <v>1160</v>
      </c>
      <c r="K36" s="74">
        <f>J36+'20'!K36</f>
        <v>30677</v>
      </c>
      <c r="L36" s="74">
        <f>J36+'20'!L36</f>
        <v>116203</v>
      </c>
      <c r="M36" s="77">
        <f>Clinker!EL23</f>
        <v>2192.277000000001</v>
      </c>
      <c r="N36" s="74">
        <f>M36+'20'!N36</f>
        <v>36330.053521362919</v>
      </c>
      <c r="O36" s="74">
        <f>M36+'20'!O36</f>
        <v>99191.784535227955</v>
      </c>
      <c r="P36" s="74">
        <f>I36+J36-M36-I22</f>
        <v>20292.755564398765</v>
      </c>
      <c r="Q36" s="96">
        <f t="shared" si="6"/>
        <v>55.054579971523495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'Daily CEM-1'!I24</f>
        <v>2.2000000000000002</v>
      </c>
      <c r="G37" s="75">
        <f>F37+'20'!G37</f>
        <v>16.2</v>
      </c>
      <c r="H37" s="75">
        <f>F37+'20'!H37</f>
        <v>55.900000000000006</v>
      </c>
      <c r="I37" s="77">
        <f>Production2!BJ23</f>
        <v>146.29999999999995</v>
      </c>
      <c r="J37" s="77">
        <f>'Daily CEM-1'!D24</f>
        <v>150</v>
      </c>
      <c r="K37" s="74">
        <f>J37+'20'!K37</f>
        <v>1123</v>
      </c>
      <c r="L37" s="74">
        <f>J37+'20'!L37</f>
        <v>3757</v>
      </c>
      <c r="M37" s="77">
        <f>Production2!BL23</f>
        <v>128</v>
      </c>
      <c r="N37" s="74">
        <f>M37+'20'!N37</f>
        <v>2371</v>
      </c>
      <c r="O37" s="74">
        <f>M37+'20'!O37</f>
        <v>7409</v>
      </c>
      <c r="P37" s="74">
        <f>I37+J37+J43-M37-F61</f>
        <v>168.29999999999995</v>
      </c>
      <c r="Q37" s="96">
        <f t="shared" si="6"/>
        <v>68.181818181818173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'Daily CEM-1'!H24</f>
        <v>12.8</v>
      </c>
      <c r="G38" s="75">
        <f>F38+'20'!G38</f>
        <v>385.45</v>
      </c>
      <c r="H38" s="75">
        <f>F38+'20'!H38</f>
        <v>883.92</v>
      </c>
      <c r="I38" s="77">
        <f>Production2!BF23</f>
        <v>1442.8679999999777</v>
      </c>
      <c r="J38" s="77">
        <f>'Daily CEM-1'!C24</f>
        <v>840</v>
      </c>
      <c r="K38" s="74">
        <f>J38+'20'!K38</f>
        <v>25323</v>
      </c>
      <c r="L38" s="74">
        <f>J38+'20'!L38</f>
        <v>56653</v>
      </c>
      <c r="M38" s="77">
        <f>Production2!BH23</f>
        <v>2847.23</v>
      </c>
      <c r="N38" s="74">
        <f>M38+'20'!N38</f>
        <v>45769.090000000004</v>
      </c>
      <c r="O38" s="74">
        <f>M38+'20'!O38</f>
        <v>126511.91999999997</v>
      </c>
      <c r="P38" s="74">
        <f>I38+J38+J44-M38-F59</f>
        <v>855.63799999997764</v>
      </c>
      <c r="Q38" s="96">
        <f t="shared" si="6"/>
        <v>65.625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'Daily CEM-1'!J24</f>
        <v>0</v>
      </c>
      <c r="G39" s="75">
        <f>F39+'20'!G39</f>
        <v>0</v>
      </c>
      <c r="H39" s="75">
        <f>F39+'20'!H39</f>
        <v>0</v>
      </c>
      <c r="I39" s="77">
        <f>Production2!BN23</f>
        <v>9.0000000000849845E-2</v>
      </c>
      <c r="J39" s="77">
        <f>'Daily CEM-1'!E24</f>
        <v>0</v>
      </c>
      <c r="K39" s="74">
        <f>J39+'20'!K39</f>
        <v>0</v>
      </c>
      <c r="L39" s="74">
        <f>J39+'20'!L39</f>
        <v>0</v>
      </c>
      <c r="M39" s="77">
        <f>Production2!BP23</f>
        <v>0</v>
      </c>
      <c r="N39" s="74">
        <f>M39+'20'!N39</f>
        <v>0</v>
      </c>
      <c r="O39" s="74">
        <f>M39+'20'!O39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Production2!AK23</f>
        <v>2</v>
      </c>
      <c r="G40" s="75">
        <f>F40+'20'!G40</f>
        <v>3</v>
      </c>
      <c r="H40" s="75">
        <f>F40+'20'!H40</f>
        <v>8</v>
      </c>
      <c r="I40" s="195">
        <f>Production2!BR23</f>
        <v>114.35000000000002</v>
      </c>
      <c r="J40" s="195">
        <f>Production2!AL23</f>
        <v>120</v>
      </c>
      <c r="K40" s="74">
        <f>J40+'20'!K40</f>
        <v>185</v>
      </c>
      <c r="L40" s="74">
        <f>J40+'20'!L40</f>
        <v>485</v>
      </c>
      <c r="M40" s="195">
        <f>Production2!BT23</f>
        <v>90</v>
      </c>
      <c r="N40" s="74">
        <f>M40+'20'!N40</f>
        <v>1451</v>
      </c>
      <c r="O40" s="74">
        <f>M40+'20'!O40</f>
        <v>4483.5</v>
      </c>
      <c r="P40" s="74">
        <f>I40+J40+J46-M40-F62</f>
        <v>144.35000000000002</v>
      </c>
      <c r="Q40" s="96">
        <f t="shared" si="6"/>
        <v>60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Production2!AN23</f>
        <v>7</v>
      </c>
      <c r="G41" s="75">
        <f>F41+'20'!G41</f>
        <v>52.5</v>
      </c>
      <c r="H41" s="75">
        <f>F41+'20'!H41</f>
        <v>178.67</v>
      </c>
      <c r="I41" s="195">
        <f>Production2!BV23</f>
        <v>112.24000000000012</v>
      </c>
      <c r="J41" s="195">
        <f>Production2!AO23</f>
        <v>480</v>
      </c>
      <c r="K41" s="74">
        <f>J41+'20'!K41</f>
        <v>3611</v>
      </c>
      <c r="L41" s="74">
        <f>J41+'20'!L41</f>
        <v>11789</v>
      </c>
      <c r="M41" s="77">
        <f>Production2!BX23</f>
        <v>456.48</v>
      </c>
      <c r="N41" s="74">
        <f>M41+'20'!N41</f>
        <v>5608.6399999999994</v>
      </c>
      <c r="O41" s="74">
        <f>M41+'20'!O41</f>
        <v>19603.95</v>
      </c>
      <c r="P41" s="74">
        <f>I41+J41+J47-M41</f>
        <v>135.7600000000001</v>
      </c>
      <c r="Q41" s="96">
        <f t="shared" si="6"/>
        <v>68.571428571428569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8">G37+G38+G39+G40+G41</f>
        <v>457.15</v>
      </c>
      <c r="H42" s="132">
        <f t="shared" si="8"/>
        <v>1126.49</v>
      </c>
      <c r="I42" s="122">
        <f>I37+I38+I39+I40+I41</f>
        <v>1815.8479999999786</v>
      </c>
      <c r="J42" s="122">
        <f t="shared" ref="J42:P42" si="9">J37+J38+J39+J40+J41</f>
        <v>1590</v>
      </c>
      <c r="K42" s="122">
        <f t="shared" si="9"/>
        <v>30242</v>
      </c>
      <c r="L42" s="122">
        <f t="shared" si="9"/>
        <v>72684</v>
      </c>
      <c r="M42" s="122">
        <f t="shared" si="9"/>
        <v>3521.71</v>
      </c>
      <c r="N42" s="122">
        <f t="shared" si="9"/>
        <v>55199.73</v>
      </c>
      <c r="O42" s="122">
        <f t="shared" si="9"/>
        <v>158008.22</v>
      </c>
      <c r="P42" s="122">
        <f t="shared" si="9"/>
        <v>1304.1379999999785</v>
      </c>
      <c r="Q42" s="123">
        <f t="shared" si="6"/>
        <v>66.25</v>
      </c>
      <c r="R42" s="94"/>
      <c r="S42" s="94"/>
    </row>
    <row r="43" spans="2:19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Production2!AT23</f>
        <v>0</v>
      </c>
      <c r="G43" s="75">
        <f>F43+'20'!G43</f>
        <v>13.5</v>
      </c>
      <c r="H43" s="75">
        <f>F43+'20'!H43</f>
        <v>58.929999999999993</v>
      </c>
      <c r="I43" s="471"/>
      <c r="J43" s="77">
        <f>Production2!AU23</f>
        <v>0</v>
      </c>
      <c r="K43" s="74">
        <f>J43+'20'!K43</f>
        <v>838</v>
      </c>
      <c r="L43" s="74">
        <f>J43+'20'!L43</f>
        <v>3588</v>
      </c>
      <c r="M43" s="542"/>
      <c r="N43" s="543"/>
      <c r="O43" s="543"/>
      <c r="P43" s="544"/>
      <c r="Q43" s="96" t="e">
        <f t="shared" si="6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Production2!AQ23</f>
        <v>24</v>
      </c>
      <c r="G44" s="75">
        <f>F44+'20'!G44</f>
        <v>331.03</v>
      </c>
      <c r="H44" s="75">
        <f>F44+'20'!H44</f>
        <v>1181.44</v>
      </c>
      <c r="I44" s="472"/>
      <c r="J44" s="77">
        <f>Production2!AR23</f>
        <v>1420</v>
      </c>
      <c r="K44" s="74">
        <f>J44+'20'!K44</f>
        <v>19485</v>
      </c>
      <c r="L44" s="74">
        <f>J44+'20'!L44</f>
        <v>69446</v>
      </c>
      <c r="M44" s="545"/>
      <c r="N44" s="546"/>
      <c r="O44" s="546"/>
      <c r="P44" s="547"/>
      <c r="Q44" s="96">
        <f t="shared" si="6"/>
        <v>59.166666666666664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Production2!AW23</f>
        <v>0</v>
      </c>
      <c r="G45" s="75">
        <f>F45+'20'!G45</f>
        <v>0</v>
      </c>
      <c r="H45" s="75">
        <f>F45+'20'!H45</f>
        <v>0</v>
      </c>
      <c r="I45" s="472"/>
      <c r="J45" s="77">
        <f>Production2!AX23</f>
        <v>0</v>
      </c>
      <c r="K45" s="74">
        <f>J45+'20'!K45</f>
        <v>0</v>
      </c>
      <c r="L45" s="74">
        <f>J45+'20'!L45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Production2!AZ23</f>
        <v>0</v>
      </c>
      <c r="G46" s="75">
        <f>F46+'20'!G46</f>
        <v>22.77</v>
      </c>
      <c r="H46" s="75">
        <f>F46+'20'!H46</f>
        <v>70.649999999999991</v>
      </c>
      <c r="I46" s="472"/>
      <c r="J46" s="195">
        <f>Production2!BA23</f>
        <v>0</v>
      </c>
      <c r="K46" s="74">
        <f>J46+'20'!K46</f>
        <v>1283</v>
      </c>
      <c r="L46" s="74">
        <f>J46+'20'!L46</f>
        <v>3930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Production2!BC23</f>
        <v>0</v>
      </c>
      <c r="G47" s="75">
        <f>F47+'20'!G47</f>
        <v>16</v>
      </c>
      <c r="H47" s="75">
        <f>F47+'20'!H47</f>
        <v>124.67</v>
      </c>
      <c r="I47" s="473"/>
      <c r="J47" s="195">
        <f>Production2!BD23</f>
        <v>0</v>
      </c>
      <c r="K47" s="74">
        <f>J47+'20'!K47</f>
        <v>966</v>
      </c>
      <c r="L47" s="74">
        <f>J47+'20'!L47</f>
        <v>7581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24</v>
      </c>
      <c r="G48" s="132">
        <f t="shared" ref="G48:H48" si="10">G43+G44+G45+G46+G47</f>
        <v>383.29999999999995</v>
      </c>
      <c r="H48" s="132">
        <f t="shared" si="10"/>
        <v>1435.6900000000003</v>
      </c>
      <c r="I48" s="122">
        <f t="shared" ref="I48" si="11">I43+I44+I45+I46</f>
        <v>0</v>
      </c>
      <c r="J48" s="122">
        <f>J43+J44+J45+J46+J47</f>
        <v>1420</v>
      </c>
      <c r="K48" s="122">
        <f t="shared" ref="K48:L48" si="12">K43+K44+K45+K46+K47</f>
        <v>22572</v>
      </c>
      <c r="L48" s="122">
        <f t="shared" si="12"/>
        <v>84545</v>
      </c>
      <c r="M48" s="574"/>
      <c r="N48" s="575"/>
      <c r="O48" s="575"/>
      <c r="P48" s="576"/>
      <c r="Q48" s="123">
        <f t="shared" si="6"/>
        <v>59.166666666666664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0.53731219292207633</v>
      </c>
      <c r="F52" s="99">
        <f>F55/J33</f>
        <v>26.040906981369755</v>
      </c>
      <c r="G52" s="99">
        <v>0</v>
      </c>
      <c r="H52" s="99">
        <f>H55/J36</f>
        <v>39.293965517241382</v>
      </c>
      <c r="I52" s="99">
        <f>I55/J35</f>
        <v>58.60526315789474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16.379310344827587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0.88285951699092879</v>
      </c>
      <c r="F53" s="102">
        <f>F52*1.55</f>
        <v>40.363405821123123</v>
      </c>
      <c r="G53" s="102">
        <f>G52*1.55</f>
        <v>0</v>
      </c>
      <c r="H53" s="102">
        <f>H52</f>
        <v>39.293965517241382</v>
      </c>
      <c r="I53" s="102">
        <f>I52*(Q52/100)</f>
        <v>9.599137931034484</v>
      </c>
      <c r="J53" s="102"/>
      <c r="K53" s="102"/>
      <c r="L53" s="102"/>
      <c r="M53" s="96"/>
      <c r="N53" s="306">
        <f>SUM(E53:I53)</f>
        <v>90.139368786389923</v>
      </c>
      <c r="O53" s="516" t="s">
        <v>298</v>
      </c>
      <c r="P53" s="516"/>
      <c r="Q53" s="104">
        <v>5420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0.72859081547712534</v>
      </c>
      <c r="F54" s="102">
        <f>F53*M20/100</f>
        <v>33.310403520233457</v>
      </c>
      <c r="G54" s="102">
        <f>G53*M20/100</f>
        <v>0</v>
      </c>
      <c r="H54" s="102">
        <f>H53*M20/100</f>
        <v>32.427834585863224</v>
      </c>
      <c r="I54" s="102">
        <f>I53*M20/100</f>
        <v>7.9218081681750512</v>
      </c>
      <c r="J54" s="99">
        <f>J55/(J42+J48)</f>
        <v>37.944518272425249</v>
      </c>
      <c r="K54" s="99">
        <f>K55/(J48+J42)</f>
        <v>0.6617940199335548</v>
      </c>
      <c r="L54" s="99">
        <f>L55/(M42)</f>
        <v>2.1855859795383492</v>
      </c>
      <c r="M54" s="96">
        <f>M55/(J48+J42)</f>
        <v>1.1564784053156145</v>
      </c>
      <c r="N54" s="306">
        <f>SUM(E54:M54)</f>
        <v>116.3370137669616</v>
      </c>
      <c r="O54" s="516" t="s">
        <v>300</v>
      </c>
      <c r="P54" s="516"/>
      <c r="Q54" s="104">
        <f>Q53*Q52/100</f>
        <v>887.75862068965523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unit'!B23</f>
        <v>1811</v>
      </c>
      <c r="F55" s="118">
        <f>'Daily unit'!C23</f>
        <v>47133</v>
      </c>
      <c r="G55" s="118">
        <f>'Daily unit'!D23</f>
        <v>0</v>
      </c>
      <c r="H55" s="118">
        <f>'Daily unit'!E23</f>
        <v>45581</v>
      </c>
      <c r="I55" s="118">
        <f>'Daily unit'!F23</f>
        <v>11135</v>
      </c>
      <c r="J55" s="118">
        <f>'Daily unit'!G23</f>
        <v>114213</v>
      </c>
      <c r="K55" s="118">
        <f>'Daily unit'!H23</f>
        <v>1992</v>
      </c>
      <c r="L55" s="118">
        <f>'Daily unit'!I23</f>
        <v>7697</v>
      </c>
      <c r="M55" s="119">
        <f>'Daily unit'!J23</f>
        <v>3481</v>
      </c>
      <c r="N55" s="317">
        <f>SUM(E55:M55)</f>
        <v>233043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149" t="s">
        <v>250</v>
      </c>
      <c r="C58" s="578" t="s">
        <v>304</v>
      </c>
      <c r="D58" s="578"/>
      <c r="E58" s="578"/>
      <c r="F58" s="150" t="s">
        <v>305</v>
      </c>
      <c r="G58" s="150" t="s">
        <v>27</v>
      </c>
      <c r="H58" s="151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12">
        <v>1</v>
      </c>
      <c r="C59" s="626" t="s">
        <v>306</v>
      </c>
      <c r="D59" s="661"/>
      <c r="E59" s="80">
        <v>42.5</v>
      </c>
      <c r="F59" s="53">
        <f>'Internal use cement'!F23</f>
        <v>0</v>
      </c>
      <c r="G59" s="53">
        <f>F59+'20'!G59</f>
        <v>0</v>
      </c>
      <c r="H59" s="104">
        <f>F59+'20'!H59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12"/>
      <c r="C60" s="466"/>
      <c r="D60" s="663"/>
      <c r="E60" s="80" t="s">
        <v>211</v>
      </c>
      <c r="F60" s="53">
        <f>'Internal use cement'!Q23</f>
        <v>0</v>
      </c>
      <c r="G60" s="53">
        <f>F60+'20'!G60</f>
        <v>0</v>
      </c>
      <c r="H60" s="104">
        <f>F60+'20'!H60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12"/>
      <c r="C61" s="466"/>
      <c r="D61" s="663"/>
      <c r="E61" s="80">
        <v>32.5</v>
      </c>
      <c r="F61" s="53">
        <f>'Internal use cement'!Y23</f>
        <v>0</v>
      </c>
      <c r="G61" s="53">
        <f>F61+'20'!G61</f>
        <v>0</v>
      </c>
      <c r="H61" s="104">
        <f>F61+'20'!H61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699"/>
      <c r="C62" s="467"/>
      <c r="D62" s="665"/>
      <c r="E62" s="112" t="s">
        <v>187</v>
      </c>
      <c r="F62" s="113">
        <f>'Internal use cement'!AJ23</f>
        <v>0</v>
      </c>
      <c r="G62" s="53">
        <f>F62+'20'!G62</f>
        <v>0.35</v>
      </c>
      <c r="H62" s="104">
        <f>F62+'20'!H62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6">
    <mergeCell ref="I57:Q62"/>
    <mergeCell ref="B6:B7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5:D55"/>
    <mergeCell ref="C54:D54"/>
    <mergeCell ref="O54:P54"/>
    <mergeCell ref="O50:Q50"/>
    <mergeCell ref="B50:N50"/>
    <mergeCell ref="B28:Q28"/>
    <mergeCell ref="B2:Q2"/>
    <mergeCell ref="B3:Q3"/>
    <mergeCell ref="B43:B48"/>
    <mergeCell ref="C43:C48"/>
    <mergeCell ref="C32:D32"/>
    <mergeCell ref="M30:O30"/>
    <mergeCell ref="P30:P31"/>
    <mergeCell ref="Q30:Q31"/>
    <mergeCell ref="P25:Q27"/>
    <mergeCell ref="M48:P48"/>
    <mergeCell ref="M33:M34"/>
    <mergeCell ref="I33:I34"/>
    <mergeCell ref="I43:I47"/>
    <mergeCell ref="M43:P47"/>
    <mergeCell ref="B4:O4"/>
    <mergeCell ref="O33:O34"/>
    <mergeCell ref="P33:P34"/>
    <mergeCell ref="C35:D35"/>
    <mergeCell ref="C33:D33"/>
    <mergeCell ref="J30:L30"/>
    <mergeCell ref="O6:O7"/>
    <mergeCell ref="I6:K6"/>
    <mergeCell ref="C12:D12"/>
    <mergeCell ref="C15:D15"/>
    <mergeCell ref="O9:O18"/>
    <mergeCell ref="C10:D10"/>
    <mergeCell ref="C9:D9"/>
    <mergeCell ref="C13:D13"/>
    <mergeCell ref="C8:Q8"/>
    <mergeCell ref="C11:D11"/>
    <mergeCell ref="C6:C7"/>
    <mergeCell ref="D6:D7"/>
    <mergeCell ref="E6:E7"/>
    <mergeCell ref="F6:H6"/>
    <mergeCell ref="P15:Q15"/>
    <mergeCell ref="C14:D14"/>
    <mergeCell ref="C27:D27"/>
    <mergeCell ref="M27:N27"/>
    <mergeCell ref="C37:C42"/>
    <mergeCell ref="B37:B42"/>
    <mergeCell ref="L6:L7"/>
    <mergeCell ref="M6:M7"/>
    <mergeCell ref="N6:N7"/>
    <mergeCell ref="C25:C26"/>
    <mergeCell ref="M25:N26"/>
    <mergeCell ref="C36:D36"/>
    <mergeCell ref="C34:D34"/>
    <mergeCell ref="I30:I31"/>
    <mergeCell ref="N33:N34"/>
    <mergeCell ref="B29:Q29"/>
    <mergeCell ref="P6:P7"/>
    <mergeCell ref="Q6:Q7"/>
    <mergeCell ref="B30:B31"/>
    <mergeCell ref="C30:D31"/>
    <mergeCell ref="F30:H30"/>
    <mergeCell ref="B59:B62"/>
    <mergeCell ref="B16:B18"/>
    <mergeCell ref="C16:C18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59:D62"/>
  </mergeCells>
  <pageMargins left="0" right="0" top="0.5" bottom="0.5" header="0.3" footer="0.3"/>
  <pageSetup paperSize="9" scale="55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B2:U155"/>
  <sheetViews>
    <sheetView zoomScale="90" zoomScaleNormal="90" workbookViewId="0">
      <pane xSplit="4" ySplit="1" topLeftCell="E55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339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'21'!L9</f>
        <v>22173.919713568968</v>
      </c>
      <c r="F9" s="74">
        <f>Production2!D24</f>
        <v>2538.2800000000002</v>
      </c>
      <c r="G9" s="74">
        <f>F9+'21'!G9</f>
        <v>64372.440000000017</v>
      </c>
      <c r="H9" s="74">
        <f>F9+'21'!H9</f>
        <v>221239.72000000009</v>
      </c>
      <c r="I9" s="74">
        <f>Production2!E24</f>
        <v>1587</v>
      </c>
      <c r="J9" s="74">
        <f>I9+'21'!J9</f>
        <v>51138</v>
      </c>
      <c r="K9" s="74">
        <f>I9+'21'!K9</f>
        <v>191169</v>
      </c>
      <c r="L9" s="74">
        <f>E9+F9-I9-I23</f>
        <v>22692.890824660855</v>
      </c>
      <c r="M9" s="75">
        <f>I9</f>
        <v>1587</v>
      </c>
      <c r="N9" s="75">
        <f>(I9/I15)*100</f>
        <v>94.74626865671641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(2)'!L24</f>
        <v>3141</v>
      </c>
      <c r="F10" s="77">
        <f>'Mines (2)'!M24</f>
        <v>120.46</v>
      </c>
      <c r="G10" s="74">
        <f>F10+'21'!G10</f>
        <v>1408.0200000000002</v>
      </c>
      <c r="H10" s="74">
        <f>F10+'21'!H10</f>
        <v>6677.420000000001</v>
      </c>
      <c r="I10" s="77">
        <f>'Mines (2)'!N24</f>
        <v>17</v>
      </c>
      <c r="J10" s="74">
        <f>I10+'21'!J10</f>
        <v>1075</v>
      </c>
      <c r="K10" s="74">
        <f>I10+'21'!K10</f>
        <v>3557</v>
      </c>
      <c r="L10" s="77">
        <f t="shared" ref="L10:L18" si="0">E10+F10-I10</f>
        <v>3244.46</v>
      </c>
      <c r="M10" s="75">
        <f t="shared" ref="M10:M12" si="1">I10</f>
        <v>17</v>
      </c>
      <c r="N10" s="75">
        <f>(I10/I15)*100</f>
        <v>1.0149253731343284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Clinker!C24</f>
        <v>1280.92</v>
      </c>
      <c r="F11" s="77">
        <f>Clinker!D24</f>
        <v>29.72</v>
      </c>
      <c r="G11" s="74">
        <f>F11+'21'!G11</f>
        <v>29.72</v>
      </c>
      <c r="H11" s="74">
        <f>F11+'21'!H11</f>
        <v>447</v>
      </c>
      <c r="I11" s="77">
        <f>Clinker!E24</f>
        <v>55</v>
      </c>
      <c r="J11" s="74">
        <f>I11+'21'!J11</f>
        <v>1422</v>
      </c>
      <c r="K11" s="74">
        <f>I11+'21'!K11</f>
        <v>4557</v>
      </c>
      <c r="L11" s="77">
        <f t="shared" si="0"/>
        <v>1255.6400000000001</v>
      </c>
      <c r="M11" s="75">
        <f t="shared" si="1"/>
        <v>55</v>
      </c>
      <c r="N11" s="75">
        <f>(I11/I15)*100</f>
        <v>3.2835820895522385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(2)'!Q24</f>
        <v>3.999999999996362E-2</v>
      </c>
      <c r="F12" s="77">
        <f>'Mines (2)'!R24</f>
        <v>0</v>
      </c>
      <c r="G12" s="74">
        <f>F12+'21'!G12</f>
        <v>0</v>
      </c>
      <c r="H12" s="74">
        <f>F12+'21'!H12</f>
        <v>137.76</v>
      </c>
      <c r="I12" s="77">
        <f>'Mines (2)'!S24</f>
        <v>0</v>
      </c>
      <c r="J12" s="74">
        <f>I12+'21'!J12</f>
        <v>0</v>
      </c>
      <c r="K12" s="74">
        <f>I12+'21'!K12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199">
        <v>5</v>
      </c>
      <c r="C13" s="501" t="s">
        <v>8</v>
      </c>
      <c r="D13" s="502"/>
      <c r="E13" s="77">
        <f>'Mines (2)'!AH24</f>
        <v>278.36</v>
      </c>
      <c r="F13" s="77">
        <f>'Mines (2)'!AI24</f>
        <v>90.7</v>
      </c>
      <c r="G13" s="74">
        <f>F13+'21'!G13</f>
        <v>90.7</v>
      </c>
      <c r="H13" s="74">
        <f>F13+'21'!H13</f>
        <v>90.7</v>
      </c>
      <c r="I13" s="77">
        <f>'Mines (2)'!AK24</f>
        <v>16</v>
      </c>
      <c r="J13" s="74">
        <f>I13+'21'!J13</f>
        <v>36</v>
      </c>
      <c r="K13" s="74">
        <f>I13+'21'!K13</f>
        <v>36</v>
      </c>
      <c r="L13" s="77">
        <f>E13+F13-I13</f>
        <v>353.06</v>
      </c>
      <c r="M13" s="74">
        <v>0</v>
      </c>
      <c r="N13" s="75">
        <f>(I13/I15)*100</f>
        <v>0.95522388059701491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F14+'21'!G14</f>
        <v>0</v>
      </c>
      <c r="H14" s="74">
        <f>F14+'21'!H14</f>
        <v>0</v>
      </c>
      <c r="I14" s="77">
        <v>0</v>
      </c>
      <c r="J14" s="74">
        <f>I14+'21'!J14</f>
        <v>0</v>
      </c>
      <c r="K14" s="74">
        <f>I14+'21'!K14</f>
        <v>0</v>
      </c>
      <c r="L14" s="77">
        <f t="shared" si="0"/>
        <v>0</v>
      </c>
      <c r="M14" s="74"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521" t="s">
        <v>265</v>
      </c>
      <c r="D15" s="521"/>
      <c r="E15" s="127">
        <f>SUM(E9:E14)</f>
        <v>26874.239713568968</v>
      </c>
      <c r="F15" s="127">
        <f t="shared" ref="F15:L15" si="2">SUM(F9:F14)</f>
        <v>2779.16</v>
      </c>
      <c r="G15" s="127">
        <f t="shared" si="2"/>
        <v>65900.880000000019</v>
      </c>
      <c r="H15" s="127">
        <f t="shared" si="2"/>
        <v>228592.60000000012</v>
      </c>
      <c r="I15" s="127">
        <f t="shared" si="2"/>
        <v>1675</v>
      </c>
      <c r="J15" s="127">
        <f t="shared" si="2"/>
        <v>53671</v>
      </c>
      <c r="K15" s="127">
        <f t="shared" si="2"/>
        <v>200057</v>
      </c>
      <c r="L15" s="127">
        <f t="shared" si="2"/>
        <v>27546.090824660856</v>
      </c>
      <c r="M15" s="128">
        <f>SUM(M9:M12)</f>
        <v>1659</v>
      </c>
      <c r="N15" s="128">
        <v>99.999999999999986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Clinker!EB24</f>
        <v>2135.6869999999899</v>
      </c>
      <c r="F16" s="77">
        <f>Clinker!EC24</f>
        <v>1009.82</v>
      </c>
      <c r="G16" s="77">
        <f>F16+'21'!G16</f>
        <v>3822.5400000000004</v>
      </c>
      <c r="H16" s="77">
        <f>F16+'21'!H16</f>
        <v>4627.78</v>
      </c>
      <c r="I16" s="77">
        <f>Clinker!ED24</f>
        <v>169</v>
      </c>
      <c r="J16" s="77">
        <f>I16+'21'!J16</f>
        <v>5474.1099999999988</v>
      </c>
      <c r="K16" s="77">
        <f>I16+'21'!K16</f>
        <v>20191.419999999998</v>
      </c>
      <c r="L16" s="77">
        <f>E16+F16-I16-Clinker!N24-Clinker!Z24-Clinker!AS24-Clinker!AX24-Clinker!BC24-Clinker!BW24-Clinker!BH24-Clinker!BM24-Clinker!BR24-Clinker!CV24-Clinker!DP24</f>
        <v>2976.5069999999901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Clinker!EF24</f>
        <v>3888.0699999999933</v>
      </c>
      <c r="F17" s="77">
        <f>Clinker!EG24</f>
        <v>330.25</v>
      </c>
      <c r="G17" s="77">
        <f>F17+'21'!G17</f>
        <v>3222.6000000000004</v>
      </c>
      <c r="H17" s="77">
        <f>F17+'21'!H17</f>
        <v>5363.5499999999993</v>
      </c>
      <c r="I17" s="77">
        <f>Clinker!EH24</f>
        <v>161</v>
      </c>
      <c r="J17" s="77">
        <f>I17+'21'!J17</f>
        <v>3214</v>
      </c>
      <c r="K17" s="77">
        <f>I17+'21'!K17</f>
        <v>11386</v>
      </c>
      <c r="L17" s="77">
        <f>E17+F17-Clinker!T24-Clinker!AE24-Clinker!AJ24-Clinker!CL24-Clinker!CQ24-Clinker!CG24</f>
        <v>4057.3199999999933</v>
      </c>
      <c r="M17" s="81"/>
      <c r="N17" s="81"/>
      <c r="O17" s="515"/>
      <c r="P17" s="82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6023.7569999999832</v>
      </c>
      <c r="F18" s="125">
        <f t="shared" ref="F18:K18" si="3">F16+F17</f>
        <v>1340.0700000000002</v>
      </c>
      <c r="G18" s="125">
        <f t="shared" si="3"/>
        <v>7045.1400000000012</v>
      </c>
      <c r="H18" s="125">
        <f t="shared" si="3"/>
        <v>9991.3299999999981</v>
      </c>
      <c r="I18" s="125">
        <f t="shared" si="3"/>
        <v>330</v>
      </c>
      <c r="J18" s="125">
        <f>J16+J17</f>
        <v>8688.1099999999988</v>
      </c>
      <c r="K18" s="125">
        <f t="shared" si="3"/>
        <v>31577.42</v>
      </c>
      <c r="L18" s="125">
        <f t="shared" si="0"/>
        <v>7033.8269999999829</v>
      </c>
      <c r="M18" s="126"/>
      <c r="N18" s="126"/>
      <c r="O18" s="515"/>
      <c r="P18" s="131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Clinker!EJ24</f>
        <v>20292.755564398765</v>
      </c>
      <c r="F20" s="74">
        <f>Clinker!EK24</f>
        <v>1005</v>
      </c>
      <c r="G20" s="74">
        <f>F20+'21'!G20</f>
        <v>31682</v>
      </c>
      <c r="H20" s="74">
        <f>F20+'21'!H20</f>
        <v>117208</v>
      </c>
      <c r="I20" s="74">
        <f>Clinker!EL24</f>
        <v>2456.1979999759005</v>
      </c>
      <c r="J20" s="74">
        <f>I20+'21'!J20</f>
        <v>38786.251521338818</v>
      </c>
      <c r="K20" s="74">
        <f>I20+'21'!K20</f>
        <v>101647.98253520386</v>
      </c>
      <c r="L20" s="74">
        <f>E20+F20-I20-I22</f>
        <v>18841.557564422867</v>
      </c>
      <c r="M20" s="641">
        <f>((I20+I21)/(J42+J48))*100</f>
        <v>82.009949915722885</v>
      </c>
      <c r="N20" s="525"/>
      <c r="O20" s="527"/>
      <c r="P20" s="535"/>
      <c r="Q20" s="536"/>
      <c r="R20" s="190"/>
      <c r="S20" s="20"/>
    </row>
    <row r="21" spans="2:19" ht="45">
      <c r="B21" s="512"/>
      <c r="C21" s="477"/>
      <c r="D21" s="85" t="s">
        <v>70</v>
      </c>
      <c r="E21" s="74">
        <f>Clinker!EO24</f>
        <v>89.758008000135931</v>
      </c>
      <c r="F21" s="74">
        <f>Clinker!EP24</f>
        <v>0</v>
      </c>
      <c r="G21" s="74">
        <f>F21+'21'!G21</f>
        <v>0</v>
      </c>
      <c r="H21" s="74">
        <f>F21+'21'!H21</f>
        <v>13390.660000000003</v>
      </c>
      <c r="I21" s="74">
        <f>Clinker!EQ24</f>
        <v>0</v>
      </c>
      <c r="J21" s="74">
        <f>I21+'21'!J21</f>
        <v>5216.3510000000006</v>
      </c>
      <c r="K21" s="74">
        <f>I21+'21'!K21</f>
        <v>22150.450999999997</v>
      </c>
      <c r="L21" s="74">
        <f>E21+F21-I21</f>
        <v>89.758008000135931</v>
      </c>
      <c r="M21" s="642"/>
      <c r="N21" s="525"/>
      <c r="O21" s="527"/>
      <c r="P21" s="535"/>
      <c r="Q21" s="536"/>
      <c r="R21" s="190"/>
      <c r="S21" s="190"/>
    </row>
    <row r="22" spans="2:19" ht="30">
      <c r="B22" s="512"/>
      <c r="C22" s="524"/>
      <c r="D22" s="86" t="s">
        <v>270</v>
      </c>
      <c r="E22" s="77"/>
      <c r="F22" s="77">
        <f>Clinker!EN24</f>
        <v>0</v>
      </c>
      <c r="G22" s="74">
        <f>F22+'21'!G22</f>
        <v>0</v>
      </c>
      <c r="H22" s="74">
        <f>F22+'21'!H22</f>
        <v>0</v>
      </c>
      <c r="I22" s="77">
        <f>Clinker!EN24</f>
        <v>0</v>
      </c>
      <c r="J22" s="77">
        <f>I22+'21'!J22</f>
        <v>0</v>
      </c>
      <c r="K22" s="77">
        <f>I22+'21'!K22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263</v>
      </c>
      <c r="D23" s="475"/>
      <c r="E23" s="77">
        <f>Cement!P24</f>
        <v>0</v>
      </c>
      <c r="F23" s="77">
        <f>Cement!Q24</f>
        <v>0</v>
      </c>
      <c r="G23" s="74">
        <f>F23+'21'!G23</f>
        <v>0</v>
      </c>
      <c r="H23" s="74">
        <f>F23+'21'!H23</f>
        <v>0</v>
      </c>
      <c r="I23" s="77">
        <f>Cement!S24</f>
        <v>432.30888890811036</v>
      </c>
      <c r="J23" s="77">
        <f>I23+'21'!J23</f>
        <v>10009.349437670309</v>
      </c>
      <c r="K23" s="77">
        <f>I23+'21'!K23</f>
        <v>30482.70087252299</v>
      </c>
      <c r="L23" s="74"/>
      <c r="M23" s="78">
        <f>(I23/(J42+J48))*100</f>
        <v>14.434353552858441</v>
      </c>
      <c r="N23" s="78"/>
      <c r="O23" s="527"/>
      <c r="P23" s="87">
        <v>10</v>
      </c>
      <c r="Q23" s="572"/>
      <c r="R23" s="20"/>
      <c r="S23" s="190"/>
    </row>
    <row r="24" spans="2:19">
      <c r="B24" s="89">
        <v>9</v>
      </c>
      <c r="C24" s="517" t="s">
        <v>271</v>
      </c>
      <c r="D24" s="517"/>
      <c r="E24" s="77">
        <f>Cement!C24</f>
        <v>2577.0909470489005</v>
      </c>
      <c r="F24" s="77">
        <f>Cement!D24</f>
        <v>453.74</v>
      </c>
      <c r="G24" s="75">
        <f>F24+'21'!G24</f>
        <v>1610.76</v>
      </c>
      <c r="H24" s="74">
        <f>F24+'21'!H24</f>
        <v>3737.3799999999992</v>
      </c>
      <c r="I24" s="77">
        <f>Cement!F24</f>
        <v>157.60421053347369</v>
      </c>
      <c r="J24" s="77">
        <f>I24+'21'!J24</f>
        <v>2945.863800809213</v>
      </c>
      <c r="K24" s="77">
        <f>I24+'21'!K24</f>
        <v>8309.5333226343573</v>
      </c>
      <c r="L24" s="74">
        <f t="shared" ref="L24:L26" si="4">E24+F24-I24</f>
        <v>2873.2267365154266</v>
      </c>
      <c r="M24" s="78">
        <f>(I24/(J42+J48))*100</f>
        <v>5.2622440912679025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Cement!H24</f>
        <v>0.23999999999796273</v>
      </c>
      <c r="F25" s="77">
        <f>Cement!I24</f>
        <v>0</v>
      </c>
      <c r="G25" s="77">
        <f>F25+'21'!G25</f>
        <v>0</v>
      </c>
      <c r="H25" s="77">
        <f>F25+'21'!H25</f>
        <v>0</v>
      </c>
      <c r="I25" s="77">
        <v>0</v>
      </c>
      <c r="J25" s="77">
        <f>I25+'21'!J25</f>
        <v>0</v>
      </c>
      <c r="K25" s="77">
        <f>I25+'21'!K25</f>
        <v>0</v>
      </c>
      <c r="L25" s="74">
        <f t="shared" si="4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Cement!L24</f>
        <v>0</v>
      </c>
      <c r="F26" s="77">
        <f>Cement!M24</f>
        <v>0</v>
      </c>
      <c r="G26" s="77">
        <f>F26+'21'!G26</f>
        <v>0</v>
      </c>
      <c r="H26" s="77">
        <f>F26+'21'!H26</f>
        <v>0</v>
      </c>
      <c r="I26" s="77">
        <v>0</v>
      </c>
      <c r="J26" s="77">
        <f>I26+'21'!J26</f>
        <v>0</v>
      </c>
      <c r="K26" s="77">
        <f>I26+'21'!K26</f>
        <v>0</v>
      </c>
      <c r="L26" s="74">
        <f t="shared" si="4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E20+E21++E23+E24+E25+E26</f>
        <v>22959.844519447797</v>
      </c>
      <c r="F27" s="122">
        <f t="shared" ref="F27:L27" si="5">F20+F21++F23+F24+F25+F26</f>
        <v>1458.74</v>
      </c>
      <c r="G27" s="122">
        <f t="shared" si="5"/>
        <v>33292.76</v>
      </c>
      <c r="H27" s="122">
        <f t="shared" si="5"/>
        <v>134336.04</v>
      </c>
      <c r="I27" s="122">
        <f>I20+I21++I23+I24+I25+I26</f>
        <v>3046.1110994174846</v>
      </c>
      <c r="J27" s="122">
        <f t="shared" si="5"/>
        <v>56957.815759818346</v>
      </c>
      <c r="K27" s="122">
        <f t="shared" si="5"/>
        <v>162590.66773036119</v>
      </c>
      <c r="L27" s="122">
        <f t="shared" si="5"/>
        <v>21804.782308938426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Production2!C24</f>
        <v>21.65</v>
      </c>
      <c r="G32" s="75">
        <f>F32+'21'!G32</f>
        <v>405.3</v>
      </c>
      <c r="H32" s="75">
        <f>F32+'21'!H32</f>
        <v>1374.4300000000003</v>
      </c>
      <c r="I32" s="74">
        <f>'Mines (2)'!C24+'Mines (2)'!H24+'Mines (2)'!V24+'Mines (2)'!Z24+'Mines (2)'!AD24</f>
        <v>22173.919713568965</v>
      </c>
      <c r="J32" s="74">
        <f>Production2!D24</f>
        <v>2538.2800000000002</v>
      </c>
      <c r="K32" s="74">
        <f>J32+'21'!K32</f>
        <v>64372.440000000017</v>
      </c>
      <c r="L32" s="74">
        <f>J32+'21'!L32</f>
        <v>221239.72000000009</v>
      </c>
      <c r="M32" s="74">
        <f>I9+I23</f>
        <v>2019.3088889081105</v>
      </c>
      <c r="N32" s="75">
        <f>M32+'21'!N32</f>
        <v>61147.349437670309</v>
      </c>
      <c r="O32" s="74">
        <f>M32+'21'!O32</f>
        <v>221651.70087252298</v>
      </c>
      <c r="P32" s="74">
        <f>I32+J32-M32</f>
        <v>22692.890824660852</v>
      </c>
      <c r="Q32" s="93">
        <f>J32/F32</f>
        <v>117.24157043879909</v>
      </c>
      <c r="R32" s="94"/>
      <c r="S32" s="94"/>
    </row>
    <row r="33" spans="2:20">
      <c r="B33" s="79">
        <v>2</v>
      </c>
      <c r="C33" s="501" t="s">
        <v>322</v>
      </c>
      <c r="D33" s="502"/>
      <c r="E33" s="95">
        <v>120</v>
      </c>
      <c r="F33" s="78">
        <f>Production2!G24</f>
        <v>13.55</v>
      </c>
      <c r="G33" s="75">
        <f>F33+'21'!G33</f>
        <v>394.97999999999996</v>
      </c>
      <c r="H33" s="75">
        <f>F33+'21'!H33</f>
        <v>1464.5199999999995</v>
      </c>
      <c r="I33" s="541">
        <f>Production2!H24</f>
        <v>556.30001683751834</v>
      </c>
      <c r="J33" s="78">
        <f>Production2!N24</f>
        <v>1509.63</v>
      </c>
      <c r="K33" s="74">
        <f>J33+'21'!K33</f>
        <v>45901.04</v>
      </c>
      <c r="L33" s="74">
        <f>J33+'21'!L33</f>
        <v>172186.62999999998</v>
      </c>
      <c r="M33" s="541">
        <f>Production2!K24</f>
        <v>1557.75</v>
      </c>
      <c r="N33" s="541">
        <f>M33+'21'!N33</f>
        <v>49107.100000000006</v>
      </c>
      <c r="O33" s="541">
        <f>M33+'21'!O33</f>
        <v>181672.4</v>
      </c>
      <c r="P33" s="541">
        <f>I33+J33+J34-M33</f>
        <v>508.18001683751845</v>
      </c>
      <c r="Q33" s="96">
        <f t="shared" ref="Q33:Q48" si="6">J33/F33</f>
        <v>111.41180811808118</v>
      </c>
      <c r="R33" s="94"/>
      <c r="S33" s="94"/>
    </row>
    <row r="34" spans="2:20">
      <c r="B34" s="91">
        <v>3</v>
      </c>
      <c r="C34" s="501" t="s">
        <v>283</v>
      </c>
      <c r="D34" s="502"/>
      <c r="E34" s="95">
        <v>20</v>
      </c>
      <c r="F34" s="78">
        <f>Production2!P24</f>
        <v>0</v>
      </c>
      <c r="G34" s="75">
        <f>F34+'21'!G34</f>
        <v>269.88</v>
      </c>
      <c r="H34" s="75">
        <f>F34+'21'!H34</f>
        <v>885.55</v>
      </c>
      <c r="I34" s="473"/>
      <c r="J34" s="77">
        <f>Production2!Q24</f>
        <v>0</v>
      </c>
      <c r="K34" s="74">
        <f>J34+'21'!K34</f>
        <v>2446.6</v>
      </c>
      <c r="L34" s="74">
        <f>J34+'21'!L34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20">
      <c r="B35" s="79">
        <v>4</v>
      </c>
      <c r="C35" s="501" t="s">
        <v>157</v>
      </c>
      <c r="D35" s="502"/>
      <c r="E35" s="95">
        <v>10</v>
      </c>
      <c r="F35" s="78">
        <f>Production2!S24</f>
        <v>11.08</v>
      </c>
      <c r="G35" s="75">
        <f>F35+'21'!G35</f>
        <v>363.99999999999994</v>
      </c>
      <c r="H35" s="75">
        <f>F35+'21'!H35</f>
        <v>1317.33</v>
      </c>
      <c r="I35" s="77">
        <f>Production2!T24</f>
        <v>58.709999999999809</v>
      </c>
      <c r="J35" s="77">
        <f>Production2!U24</f>
        <v>152.1</v>
      </c>
      <c r="K35" s="74">
        <f>J35+'21'!K35</f>
        <v>4926.7000000000007</v>
      </c>
      <c r="L35" s="74">
        <f>J35+'21'!L35</f>
        <v>18172.299999999996</v>
      </c>
      <c r="M35" s="77">
        <f>Production2!V24</f>
        <v>161</v>
      </c>
      <c r="N35" s="74">
        <f>M35+'21'!N35</f>
        <v>4919</v>
      </c>
      <c r="O35" s="74">
        <f>M35+'21'!O35</f>
        <v>18138</v>
      </c>
      <c r="P35" s="74">
        <f t="shared" ref="P35:P36" si="7">I35+J35-M35</f>
        <v>49.809999999999803</v>
      </c>
      <c r="Q35" s="96">
        <f t="shared" si="6"/>
        <v>13.727436823104693</v>
      </c>
      <c r="R35" s="94"/>
      <c r="S35" s="94"/>
    </row>
    <row r="36" spans="2:20">
      <c r="B36" s="91">
        <v>5</v>
      </c>
      <c r="C36" s="501" t="s">
        <v>63</v>
      </c>
      <c r="D36" s="502"/>
      <c r="E36" s="95">
        <v>50</v>
      </c>
      <c r="F36" s="78">
        <f>Production2!Y24</f>
        <v>19.05</v>
      </c>
      <c r="G36" s="75">
        <f>F36+'21'!G36</f>
        <v>511.58000000000004</v>
      </c>
      <c r="H36" s="75">
        <f>F36+'21'!H36</f>
        <v>1826.3899999999999</v>
      </c>
      <c r="I36" s="77">
        <f>Clinker!EJ24</f>
        <v>20292.755564398765</v>
      </c>
      <c r="J36" s="77">
        <f>Clinker!EK24</f>
        <v>1005</v>
      </c>
      <c r="K36" s="74">
        <f>J36+'21'!K36</f>
        <v>31682</v>
      </c>
      <c r="L36" s="74">
        <f>J36+'21'!L36</f>
        <v>117208</v>
      </c>
      <c r="M36" s="77">
        <f>Clinker!EL24</f>
        <v>2456.1979999759005</v>
      </c>
      <c r="N36" s="74">
        <f>M36+'21'!N36</f>
        <v>38786.251521338818</v>
      </c>
      <c r="O36" s="74">
        <f>M36+'21'!O36</f>
        <v>101647.98253520386</v>
      </c>
      <c r="P36" s="74">
        <f t="shared" si="7"/>
        <v>18841.557564422867</v>
      </c>
      <c r="Q36" s="96">
        <f t="shared" si="6"/>
        <v>52.755905511811022</v>
      </c>
      <c r="R36" s="94"/>
      <c r="S36" s="94"/>
    </row>
    <row r="37" spans="2:20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Production2!AE24</f>
        <v>3</v>
      </c>
      <c r="G37" s="75">
        <f>F37+'21'!G37</f>
        <v>19.2</v>
      </c>
      <c r="H37" s="75">
        <f>F37+'21'!H37</f>
        <v>58.900000000000006</v>
      </c>
      <c r="I37" s="77">
        <f>Production2!BJ24</f>
        <v>168.29999999999995</v>
      </c>
      <c r="J37" s="77">
        <f>Production2!AF24</f>
        <v>201</v>
      </c>
      <c r="K37" s="74">
        <f>J37+'21'!K37</f>
        <v>1324</v>
      </c>
      <c r="L37" s="74">
        <f>J37+'21'!L37</f>
        <v>3958</v>
      </c>
      <c r="M37" s="77">
        <f>Production2!BL24</f>
        <v>184</v>
      </c>
      <c r="N37" s="74">
        <f>M37+'21'!N37</f>
        <v>2555</v>
      </c>
      <c r="O37" s="74">
        <f>M37+'21'!O37</f>
        <v>7593</v>
      </c>
      <c r="P37" s="74">
        <f>I37+J37+J43-M37</f>
        <v>185.29999999999995</v>
      </c>
      <c r="Q37" s="96">
        <f t="shared" si="6"/>
        <v>67</v>
      </c>
      <c r="R37" s="94"/>
      <c r="S37" s="94"/>
    </row>
    <row r="38" spans="2:20">
      <c r="B38" s="564"/>
      <c r="C38" s="477"/>
      <c r="D38" s="80" t="s">
        <v>286</v>
      </c>
      <c r="E38" s="97">
        <v>78</v>
      </c>
      <c r="F38" s="78">
        <f>Production2!AB24</f>
        <v>17</v>
      </c>
      <c r="G38" s="75">
        <f>F38+'21'!G38</f>
        <v>402.45</v>
      </c>
      <c r="H38" s="75">
        <f>F38+'21'!H38</f>
        <v>900.92</v>
      </c>
      <c r="I38" s="77">
        <f>Production2!BF24</f>
        <v>855.63799999997764</v>
      </c>
      <c r="J38" s="77">
        <f>Production2!AC24</f>
        <v>1102</v>
      </c>
      <c r="K38" s="74">
        <f>J38+'21'!K38</f>
        <v>26425</v>
      </c>
      <c r="L38" s="74">
        <f>J38+'21'!L38</f>
        <v>57755</v>
      </c>
      <c r="M38" s="77">
        <f>Production2!BH24</f>
        <v>2078</v>
      </c>
      <c r="N38" s="74">
        <f>M38+'21'!N38</f>
        <v>47847.090000000004</v>
      </c>
      <c r="O38" s="74">
        <f>M38+'21'!O38</f>
        <v>128589.91999999997</v>
      </c>
      <c r="P38" s="74">
        <f>I38+J38+J44-M38-F59</f>
        <v>1299.6379999999776</v>
      </c>
      <c r="Q38" s="96">
        <f t="shared" si="6"/>
        <v>64.82352941176471</v>
      </c>
      <c r="R38" s="94"/>
      <c r="S38" s="94"/>
    </row>
    <row r="39" spans="2:20">
      <c r="B39" s="564"/>
      <c r="C39" s="477"/>
      <c r="D39" s="80" t="s">
        <v>287</v>
      </c>
      <c r="E39" s="97">
        <v>78</v>
      </c>
      <c r="F39" s="78">
        <f>Production2!AH24</f>
        <v>0</v>
      </c>
      <c r="G39" s="75">
        <f>F39+'21'!G39</f>
        <v>0</v>
      </c>
      <c r="H39" s="75">
        <f>F39+'21'!H39</f>
        <v>0</v>
      </c>
      <c r="I39" s="77">
        <f>Production2!BN24</f>
        <v>9.0000000000849845E-2</v>
      </c>
      <c r="J39" s="77">
        <f>Production2!AI24</f>
        <v>0</v>
      </c>
      <c r="K39" s="74">
        <f>J39+'21'!K39</f>
        <v>0</v>
      </c>
      <c r="L39" s="74">
        <f>J39+'21'!L39</f>
        <v>0</v>
      </c>
      <c r="M39" s="77">
        <f>Production2!BP24</f>
        <v>0</v>
      </c>
      <c r="N39" s="74">
        <f>M39+'21'!N39</f>
        <v>0</v>
      </c>
      <c r="O39" s="74">
        <f>M39+'21'!O39</f>
        <v>-0.15</v>
      </c>
      <c r="P39" s="74">
        <f>I39+J39+J45-M39-F60</f>
        <v>9.0000000000849845E-2</v>
      </c>
      <c r="Q39" s="96" t="e">
        <f t="shared" si="6"/>
        <v>#DIV/0!</v>
      </c>
      <c r="R39" s="94"/>
      <c r="S39" s="94"/>
    </row>
    <row r="40" spans="2:20">
      <c r="B40" s="564"/>
      <c r="C40" s="477"/>
      <c r="D40" s="194" t="s">
        <v>187</v>
      </c>
      <c r="E40" s="97">
        <v>65</v>
      </c>
      <c r="F40" s="84">
        <f>Production2!AK24</f>
        <v>0</v>
      </c>
      <c r="G40" s="75">
        <f>F40+'21'!G40</f>
        <v>3</v>
      </c>
      <c r="H40" s="75">
        <f>F40+'21'!H40</f>
        <v>8</v>
      </c>
      <c r="I40" s="195">
        <f>Production2!BR24</f>
        <v>144.35000000000002</v>
      </c>
      <c r="J40" s="195">
        <f>Production2!AL24</f>
        <v>0</v>
      </c>
      <c r="K40" s="74">
        <f>J40+'21'!K40</f>
        <v>185</v>
      </c>
      <c r="L40" s="74">
        <f>J40+'21'!L40</f>
        <v>485</v>
      </c>
      <c r="M40" s="195">
        <f>Production2!BT24</f>
        <v>60</v>
      </c>
      <c r="N40" s="74">
        <f>M40+'21'!N40</f>
        <v>1511</v>
      </c>
      <c r="O40" s="74">
        <f>M40+'21'!O40</f>
        <v>4543.5</v>
      </c>
      <c r="P40" s="74">
        <f>I40+J40+J46-M40-F61</f>
        <v>84.350000000000023</v>
      </c>
      <c r="Q40" s="96" t="e">
        <f t="shared" si="6"/>
        <v>#DIV/0!</v>
      </c>
      <c r="R40" s="94"/>
      <c r="S40" s="94"/>
    </row>
    <row r="41" spans="2:20">
      <c r="B41" s="564"/>
      <c r="C41" s="477"/>
      <c r="D41" s="80" t="s">
        <v>288</v>
      </c>
      <c r="E41" s="97">
        <v>78</v>
      </c>
      <c r="F41" s="84">
        <f>Production2!AN24</f>
        <v>4</v>
      </c>
      <c r="G41" s="75">
        <f>F41+'21'!G41</f>
        <v>56.5</v>
      </c>
      <c r="H41" s="75">
        <f>F41+'21'!H41</f>
        <v>182.67</v>
      </c>
      <c r="I41" s="195">
        <f>Production2!BV24</f>
        <v>135.7600000000001</v>
      </c>
      <c r="J41" s="195">
        <f>Production2!AO24</f>
        <v>272</v>
      </c>
      <c r="K41" s="74">
        <f>J41+'21'!K41</f>
        <v>3883</v>
      </c>
      <c r="L41" s="74">
        <f>J41+'21'!L41</f>
        <v>12061</v>
      </c>
      <c r="M41" s="77">
        <f>Production2!BX24</f>
        <v>210.74</v>
      </c>
      <c r="N41" s="74">
        <f>M41+'21'!N41</f>
        <v>5819.3799999999992</v>
      </c>
      <c r="O41" s="74">
        <f>M41+'21'!O41</f>
        <v>19814.690000000002</v>
      </c>
      <c r="P41" s="74">
        <f>I41+J41+J47-M41</f>
        <v>197.0200000000001</v>
      </c>
      <c r="Q41" s="96">
        <f t="shared" si="6"/>
        <v>68</v>
      </c>
      <c r="R41" s="94"/>
      <c r="S41" s="94"/>
    </row>
    <row r="42" spans="2:20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8">G37+G38+G39+G40+G41</f>
        <v>481.15</v>
      </c>
      <c r="H42" s="132">
        <f t="shared" si="8"/>
        <v>1150.49</v>
      </c>
      <c r="I42" s="122">
        <f>I37+I38+I39+I40+I41</f>
        <v>1304.1379999999785</v>
      </c>
      <c r="J42" s="122">
        <f t="shared" ref="J42:O42" si="9">J37+J38+J39+J40+J41</f>
        <v>1575</v>
      </c>
      <c r="K42" s="122">
        <f t="shared" si="9"/>
        <v>31817</v>
      </c>
      <c r="L42" s="122">
        <f t="shared" si="9"/>
        <v>74259</v>
      </c>
      <c r="M42" s="122">
        <f t="shared" si="9"/>
        <v>2532.7399999999998</v>
      </c>
      <c r="N42" s="122">
        <f t="shared" si="9"/>
        <v>57732.47</v>
      </c>
      <c r="O42" s="122">
        <f t="shared" si="9"/>
        <v>160540.96</v>
      </c>
      <c r="P42" s="122">
        <f>P37+P38+P39+P40+P41</f>
        <v>1766.3979999999783</v>
      </c>
      <c r="Q42" s="123">
        <f t="shared" si="6"/>
        <v>65.625</v>
      </c>
      <c r="R42" s="94"/>
      <c r="S42" s="94"/>
    </row>
    <row r="43" spans="2:20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Production2!AT24</f>
        <v>0</v>
      </c>
      <c r="G43" s="75">
        <f>F43+'21'!G43</f>
        <v>13.5</v>
      </c>
      <c r="H43" s="75">
        <f>F43+'21'!H43</f>
        <v>58.929999999999993</v>
      </c>
      <c r="I43" s="471"/>
      <c r="J43" s="77">
        <f>Production2!AU24</f>
        <v>0</v>
      </c>
      <c r="K43" s="74">
        <f>J43+'21'!K43</f>
        <v>838</v>
      </c>
      <c r="L43" s="74">
        <f>J43+'21'!L43</f>
        <v>3588</v>
      </c>
      <c r="M43" s="542"/>
      <c r="N43" s="543"/>
      <c r="O43" s="543"/>
      <c r="P43" s="544"/>
      <c r="Q43" s="96" t="e">
        <f t="shared" si="6"/>
        <v>#DIV/0!</v>
      </c>
      <c r="R43" s="94"/>
      <c r="S43" s="94"/>
      <c r="T43" s="176"/>
    </row>
    <row r="44" spans="2:20">
      <c r="B44" s="564"/>
      <c r="C44" s="477"/>
      <c r="D44" s="80" t="s">
        <v>286</v>
      </c>
      <c r="E44" s="97">
        <v>70</v>
      </c>
      <c r="F44" s="78">
        <f>Production2!AQ24</f>
        <v>24</v>
      </c>
      <c r="G44" s="75">
        <f>F44+'21'!G44</f>
        <v>355.03</v>
      </c>
      <c r="H44" s="75">
        <f>F44+'21'!H44</f>
        <v>1205.44</v>
      </c>
      <c r="I44" s="472"/>
      <c r="J44" s="77">
        <f>Production2!AR24</f>
        <v>1420</v>
      </c>
      <c r="K44" s="74">
        <f>J44+'21'!K44</f>
        <v>20905</v>
      </c>
      <c r="L44" s="74">
        <f>J44+'21'!L44</f>
        <v>70866</v>
      </c>
      <c r="M44" s="545"/>
      <c r="N44" s="546"/>
      <c r="O44" s="546"/>
      <c r="P44" s="547"/>
      <c r="Q44" s="96">
        <f t="shared" si="6"/>
        <v>59.166666666666664</v>
      </c>
      <c r="R44" s="94"/>
      <c r="S44" s="94"/>
    </row>
    <row r="45" spans="2:20">
      <c r="B45" s="564"/>
      <c r="C45" s="477"/>
      <c r="D45" s="80" t="s">
        <v>287</v>
      </c>
      <c r="E45" s="97">
        <v>70</v>
      </c>
      <c r="F45" s="78">
        <f>Production2!AW24</f>
        <v>0</v>
      </c>
      <c r="G45" s="75">
        <f>F45+'21'!G45</f>
        <v>0</v>
      </c>
      <c r="H45" s="75">
        <f>F45+'21'!H45</f>
        <v>0</v>
      </c>
      <c r="I45" s="472"/>
      <c r="J45" s="77">
        <f>Production2!AX24</f>
        <v>0</v>
      </c>
      <c r="K45" s="74">
        <f>J45+'21'!K45</f>
        <v>0</v>
      </c>
      <c r="L45" s="74">
        <f>J45+'21'!L45</f>
        <v>0</v>
      </c>
      <c r="M45" s="545"/>
      <c r="N45" s="546"/>
      <c r="O45" s="546"/>
      <c r="P45" s="547"/>
      <c r="Q45" s="96" t="e">
        <f t="shared" si="6"/>
        <v>#DIV/0!</v>
      </c>
      <c r="R45" s="94"/>
      <c r="S45" s="94"/>
    </row>
    <row r="46" spans="2:20">
      <c r="B46" s="564"/>
      <c r="C46" s="477"/>
      <c r="D46" s="194" t="s">
        <v>187</v>
      </c>
      <c r="E46" s="97">
        <v>60</v>
      </c>
      <c r="F46" s="84">
        <f>Production2!AZ24</f>
        <v>0</v>
      </c>
      <c r="G46" s="75">
        <f>F46+'21'!G46</f>
        <v>22.77</v>
      </c>
      <c r="H46" s="75">
        <f>F46+'21'!H46</f>
        <v>70.649999999999991</v>
      </c>
      <c r="I46" s="472"/>
      <c r="J46" s="195">
        <f>Production2!BA24</f>
        <v>0</v>
      </c>
      <c r="K46" s="74">
        <f>J46+'21'!K46</f>
        <v>1283</v>
      </c>
      <c r="L46" s="74">
        <f>J46+'21'!L46</f>
        <v>3930</v>
      </c>
      <c r="M46" s="545"/>
      <c r="N46" s="546"/>
      <c r="O46" s="546"/>
      <c r="P46" s="547"/>
      <c r="Q46" s="96" t="e">
        <f t="shared" si="6"/>
        <v>#DIV/0!</v>
      </c>
      <c r="R46" s="94"/>
      <c r="S46" s="94"/>
    </row>
    <row r="47" spans="2:20">
      <c r="B47" s="564"/>
      <c r="C47" s="477"/>
      <c r="D47" s="80" t="s">
        <v>288</v>
      </c>
      <c r="E47" s="97">
        <v>70</v>
      </c>
      <c r="F47" s="84">
        <f>Production2!BC24</f>
        <v>0</v>
      </c>
      <c r="G47" s="75">
        <f>F47+'21'!G47</f>
        <v>16</v>
      </c>
      <c r="H47" s="75">
        <f>F47+'21'!H47</f>
        <v>124.67</v>
      </c>
      <c r="I47" s="473"/>
      <c r="J47" s="195">
        <f>Production2!BD24</f>
        <v>0</v>
      </c>
      <c r="K47" s="74">
        <f>J47+'21'!K47</f>
        <v>966</v>
      </c>
      <c r="L47" s="74">
        <f>J47+'21'!L47</f>
        <v>7581</v>
      </c>
      <c r="M47" s="548"/>
      <c r="N47" s="549"/>
      <c r="O47" s="549"/>
      <c r="P47" s="550"/>
      <c r="Q47" s="96" t="e">
        <f t="shared" si="6"/>
        <v>#DIV/0!</v>
      </c>
      <c r="R47" s="94"/>
      <c r="S47" s="94"/>
    </row>
    <row r="48" spans="2:20" ht="15.75" thickBot="1">
      <c r="B48" s="565"/>
      <c r="C48" s="478"/>
      <c r="D48" s="120" t="s">
        <v>162</v>
      </c>
      <c r="E48" s="121">
        <v>70</v>
      </c>
      <c r="F48" s="132">
        <f>F43+F44+F45+F46+F47</f>
        <v>24</v>
      </c>
      <c r="G48" s="132">
        <f t="shared" ref="G48:H48" si="10">G43+G44+G45+G46+G47</f>
        <v>407.29999999999995</v>
      </c>
      <c r="H48" s="132">
        <f t="shared" si="10"/>
        <v>1459.6900000000003</v>
      </c>
      <c r="I48" s="122">
        <f t="shared" ref="I48" si="11">I43+I44+I45+I46</f>
        <v>0</v>
      </c>
      <c r="J48" s="122">
        <f>J43+J44+J45+J46+J47</f>
        <v>1420</v>
      </c>
      <c r="K48" s="122">
        <f t="shared" ref="K48:L48" si="12">K43+K44+K45+K46+K47</f>
        <v>23992</v>
      </c>
      <c r="L48" s="122">
        <f t="shared" si="12"/>
        <v>85965</v>
      </c>
      <c r="M48" s="574"/>
      <c r="N48" s="575"/>
      <c r="O48" s="575"/>
      <c r="P48" s="576"/>
      <c r="Q48" s="123">
        <f t="shared" si="6"/>
        <v>59.166666666666664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0.67644231526860699</v>
      </c>
      <c r="F52" s="99">
        <f>F55/(J33+J34)</f>
        <v>27.461695912243396</v>
      </c>
      <c r="G52" s="99">
        <v>0</v>
      </c>
      <c r="H52" s="99">
        <f>H55/J36</f>
        <v>43.030845771144278</v>
      </c>
      <c r="I52" s="99">
        <f>I55/J35</f>
        <v>69.967126890203815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16.019900497512438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1.068173088886845</v>
      </c>
      <c r="F53" s="102">
        <f>F52*1.55</f>
        <v>42.565628663977265</v>
      </c>
      <c r="G53" s="102">
        <f>G52*1.55</f>
        <v>0</v>
      </c>
      <c r="H53" s="102">
        <f>H52</f>
        <v>43.030845771144278</v>
      </c>
      <c r="I53" s="102">
        <f>I52*(Q52/100)</f>
        <v>11.208664108778919</v>
      </c>
      <c r="J53" s="102"/>
      <c r="K53" s="102"/>
      <c r="L53" s="102"/>
      <c r="M53" s="96"/>
      <c r="N53" s="306">
        <f>SUM(E53:I53)</f>
        <v>97.873311632787306</v>
      </c>
      <c r="O53" s="516" t="s">
        <v>298</v>
      </c>
      <c r="P53" s="516"/>
      <c r="Q53" s="104">
        <v>5355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0.8760082152093317</v>
      </c>
      <c r="F54" s="102">
        <f>F53*M20/100</f>
        <v>34.908050748640342</v>
      </c>
      <c r="G54" s="102">
        <f>G53*M20/100</f>
        <v>0</v>
      </c>
      <c r="H54" s="102">
        <f>H53*M20/100</f>
        <v>35.289575065227382</v>
      </c>
      <c r="I54" s="102">
        <f>I53*M20/100</f>
        <v>9.1922198218311983</v>
      </c>
      <c r="J54" s="99">
        <f>J55/(J42+J48)</f>
        <v>40.156594323873122</v>
      </c>
      <c r="K54" s="99">
        <f>K55/(J48+J42)</f>
        <v>0.64073455759599329</v>
      </c>
      <c r="L54" s="99">
        <f>L55/(M42)</f>
        <v>3.1598190102418728</v>
      </c>
      <c r="M54" s="96">
        <f>M55/(J48+J42)</f>
        <v>1.2217028380634392</v>
      </c>
      <c r="N54" s="306">
        <f>SUM(E54:M54)</f>
        <v>125.44470458068268</v>
      </c>
      <c r="O54" s="516" t="s">
        <v>300</v>
      </c>
      <c r="P54" s="516"/>
      <c r="Q54" s="104">
        <f>Q53*Q52/100</f>
        <v>857.8656716417911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unit'!B24</f>
        <v>1717</v>
      </c>
      <c r="F55" s="118">
        <f>'Daily unit'!C24</f>
        <v>41457</v>
      </c>
      <c r="G55" s="118">
        <f>'Daily unit'!D24</f>
        <v>0</v>
      </c>
      <c r="H55" s="118">
        <f>'Daily unit'!E24</f>
        <v>43246</v>
      </c>
      <c r="I55" s="118">
        <f>'Daily unit'!F24</f>
        <v>10642</v>
      </c>
      <c r="J55" s="118">
        <f>'Daily unit'!G24</f>
        <v>120269</v>
      </c>
      <c r="K55" s="118">
        <f>'Daily unit'!H24</f>
        <v>1919</v>
      </c>
      <c r="L55" s="118">
        <f>'Daily unit'!I24</f>
        <v>8003</v>
      </c>
      <c r="M55" s="119">
        <f>'Daily unit'!J24</f>
        <v>3659</v>
      </c>
      <c r="N55" s="317">
        <f>SUM(E55:M55)</f>
        <v>230912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631" t="s">
        <v>303</v>
      </c>
      <c r="J57" s="632"/>
      <c r="K57" s="632"/>
      <c r="L57" s="632"/>
      <c r="M57" s="632"/>
      <c r="N57" s="632"/>
      <c r="O57" s="632"/>
      <c r="P57" s="632"/>
      <c r="Q57" s="633"/>
      <c r="R57" s="109"/>
    </row>
    <row r="58" spans="2:19" s="110" customFormat="1" ht="14.45" customHeight="1">
      <c r="B58" s="214" t="s">
        <v>250</v>
      </c>
      <c r="C58" s="688" t="s">
        <v>304</v>
      </c>
      <c r="D58" s="688"/>
      <c r="E58" s="688"/>
      <c r="F58" s="215" t="s">
        <v>305</v>
      </c>
      <c r="G58" s="215" t="s">
        <v>27</v>
      </c>
      <c r="H58" s="216" t="s">
        <v>28</v>
      </c>
      <c r="I58" s="634"/>
      <c r="J58" s="635"/>
      <c r="K58" s="635"/>
      <c r="L58" s="635"/>
      <c r="M58" s="635"/>
      <c r="N58" s="635"/>
      <c r="O58" s="635"/>
      <c r="P58" s="635"/>
      <c r="Q58" s="636"/>
      <c r="R58" s="111"/>
    </row>
    <row r="59" spans="2:19" ht="14.45" customHeight="1">
      <c r="B59" s="569">
        <v>1</v>
      </c>
      <c r="C59" s="660" t="s">
        <v>306</v>
      </c>
      <c r="D59" s="661"/>
      <c r="E59" s="80">
        <v>42.5</v>
      </c>
      <c r="F59" s="53">
        <f>'Internal use cement'!F24</f>
        <v>0</v>
      </c>
      <c r="G59" s="53">
        <f>F59+'21'!G59</f>
        <v>0</v>
      </c>
      <c r="H59" s="104">
        <f>F59+'21'!H59</f>
        <v>10</v>
      </c>
      <c r="I59" s="634"/>
      <c r="J59" s="635"/>
      <c r="K59" s="635"/>
      <c r="L59" s="635"/>
      <c r="M59" s="635"/>
      <c r="N59" s="635"/>
      <c r="O59" s="635"/>
      <c r="P59" s="635"/>
      <c r="Q59" s="636"/>
      <c r="R59" s="109"/>
    </row>
    <row r="60" spans="2:19" ht="14.45" customHeight="1">
      <c r="B60" s="564"/>
      <c r="C60" s="662"/>
      <c r="D60" s="663"/>
      <c r="E60" s="80" t="s">
        <v>211</v>
      </c>
      <c r="F60" s="53">
        <f>'Internal use cement'!Q24</f>
        <v>0</v>
      </c>
      <c r="G60" s="53">
        <f>F60+'21'!G60</f>
        <v>0</v>
      </c>
      <c r="H60" s="104">
        <f>F60+'21'!H60</f>
        <v>2</v>
      </c>
      <c r="I60" s="634"/>
      <c r="J60" s="635"/>
      <c r="K60" s="635"/>
      <c r="L60" s="635"/>
      <c r="M60" s="635"/>
      <c r="N60" s="635"/>
      <c r="O60" s="635"/>
      <c r="P60" s="635"/>
      <c r="Q60" s="636"/>
      <c r="R60" s="109"/>
    </row>
    <row r="61" spans="2:19" ht="15" customHeight="1">
      <c r="B61" s="564"/>
      <c r="C61" s="662"/>
      <c r="D61" s="663"/>
      <c r="E61" s="80">
        <v>32.5</v>
      </c>
      <c r="F61" s="53">
        <f>'Internal use cement'!Y24</f>
        <v>0</v>
      </c>
      <c r="G61" s="53">
        <f>F61+'21'!G61</f>
        <v>0</v>
      </c>
      <c r="H61" s="104">
        <f>F61+'21'!H61</f>
        <v>0</v>
      </c>
      <c r="I61" s="634"/>
      <c r="J61" s="635"/>
      <c r="K61" s="635"/>
      <c r="L61" s="635"/>
      <c r="M61" s="635"/>
      <c r="N61" s="635"/>
      <c r="O61" s="635"/>
      <c r="P61" s="635"/>
      <c r="Q61" s="636"/>
      <c r="R61" s="109"/>
    </row>
    <row r="62" spans="2:19" ht="15" customHeight="1" thickBot="1">
      <c r="B62" s="565"/>
      <c r="C62" s="664"/>
      <c r="D62" s="665"/>
      <c r="E62" s="112" t="s">
        <v>187</v>
      </c>
      <c r="F62" s="113">
        <f>'Internal use cement'!AJ24</f>
        <v>0</v>
      </c>
      <c r="G62" s="53">
        <f>F62+'21'!G62</f>
        <v>0.35</v>
      </c>
      <c r="H62" s="104">
        <f>F62+'21'!H62</f>
        <v>0.45</v>
      </c>
      <c r="I62" s="637"/>
      <c r="J62" s="638"/>
      <c r="K62" s="638"/>
      <c r="L62" s="638"/>
      <c r="M62" s="638"/>
      <c r="N62" s="638"/>
      <c r="O62" s="638"/>
      <c r="P62" s="638"/>
      <c r="Q62" s="639"/>
      <c r="R62" s="109"/>
    </row>
    <row r="63" spans="2:19" ht="15" customHeight="1">
      <c r="B63" s="464"/>
      <c r="C63" s="464"/>
      <c r="D63" s="464"/>
      <c r="E63" s="443" t="s">
        <v>307</v>
      </c>
      <c r="F63" s="444">
        <f>'Internal use cement'!AO3</f>
        <v>0</v>
      </c>
      <c r="G63" s="53">
        <f>F63+'1'!G63</f>
        <v>0</v>
      </c>
      <c r="H63" s="96">
        <f>F63+'Internal use cement'!AO36</f>
        <v>4</v>
      </c>
      <c r="I63" s="463"/>
      <c r="J63" s="463"/>
      <c r="K63" s="463"/>
      <c r="L63" s="463"/>
      <c r="M63" s="463"/>
      <c r="N63" s="463"/>
      <c r="O63" s="463"/>
      <c r="P63" s="463"/>
      <c r="Q63" s="463"/>
      <c r="R63" s="109"/>
    </row>
    <row r="64" spans="2:19">
      <c r="R64" s="94"/>
      <c r="S64" s="94"/>
    </row>
    <row r="65" spans="2:19">
      <c r="R65" s="94"/>
      <c r="S65" s="94"/>
    </row>
    <row r="66" spans="2:19">
      <c r="R66" s="109"/>
      <c r="S66" s="109"/>
    </row>
    <row r="67" spans="2:19">
      <c r="R67" s="94"/>
      <c r="S67" s="94"/>
    </row>
    <row r="68" spans="2:19">
      <c r="R68" s="117"/>
      <c r="S68" s="117"/>
    </row>
    <row r="69" spans="2:19">
      <c r="R69" s="117"/>
      <c r="S69" s="117"/>
    </row>
    <row r="70" spans="2:19">
      <c r="R70" s="117"/>
      <c r="S70" s="117"/>
    </row>
    <row r="71" spans="2:19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8">
    <mergeCell ref="C55:D55"/>
    <mergeCell ref="I57:Q62"/>
    <mergeCell ref="B2:Q2"/>
    <mergeCell ref="B3:Q3"/>
    <mergeCell ref="B43:B48"/>
    <mergeCell ref="C43:C48"/>
    <mergeCell ref="C32:D32"/>
    <mergeCell ref="C33:D33"/>
    <mergeCell ref="C35:D35"/>
    <mergeCell ref="C36:D36"/>
    <mergeCell ref="M48:P48"/>
    <mergeCell ref="C37:C42"/>
    <mergeCell ref="P30:P31"/>
    <mergeCell ref="Q30:Q31"/>
    <mergeCell ref="M6:M7"/>
    <mergeCell ref="N6:N7"/>
    <mergeCell ref="O6:O7"/>
    <mergeCell ref="M43:P47"/>
    <mergeCell ref="I43:I47"/>
    <mergeCell ref="C34:D34"/>
    <mergeCell ref="O33:O34"/>
    <mergeCell ref="I33:I34"/>
    <mergeCell ref="P6:P7"/>
    <mergeCell ref="M25:N26"/>
    <mergeCell ref="B4:O4"/>
    <mergeCell ref="B6:B7"/>
    <mergeCell ref="C30:D31"/>
    <mergeCell ref="F30:H30"/>
    <mergeCell ref="I30:I31"/>
    <mergeCell ref="J30:L30"/>
    <mergeCell ref="M30:O30"/>
    <mergeCell ref="C6:C7"/>
    <mergeCell ref="D6:D7"/>
    <mergeCell ref="E6:E7"/>
    <mergeCell ref="F6:H6"/>
    <mergeCell ref="I6:K6"/>
    <mergeCell ref="L6:L7"/>
    <mergeCell ref="B28:Q28"/>
    <mergeCell ref="B29:Q29"/>
    <mergeCell ref="B30:B31"/>
    <mergeCell ref="B49:Q49"/>
    <mergeCell ref="B59:B62"/>
    <mergeCell ref="C59:D62"/>
    <mergeCell ref="B50:N50"/>
    <mergeCell ref="O50:Q50"/>
    <mergeCell ref="B57:H57"/>
    <mergeCell ref="C58:E58"/>
    <mergeCell ref="B56:Q56"/>
    <mergeCell ref="C51:D51"/>
    <mergeCell ref="O51:P51"/>
    <mergeCell ref="C52:D52"/>
    <mergeCell ref="O52:P52"/>
    <mergeCell ref="C53:D53"/>
    <mergeCell ref="O53:P53"/>
    <mergeCell ref="C54:D54"/>
    <mergeCell ref="O54:P54"/>
    <mergeCell ref="Q6:Q7"/>
    <mergeCell ref="M20:M21"/>
    <mergeCell ref="C25:C26"/>
    <mergeCell ref="C8:Q8"/>
    <mergeCell ref="C24:D24"/>
    <mergeCell ref="C11:D11"/>
    <mergeCell ref="C12:D12"/>
    <mergeCell ref="C15:D15"/>
    <mergeCell ref="P15:Q15"/>
    <mergeCell ref="O9:O18"/>
    <mergeCell ref="C10:D10"/>
    <mergeCell ref="P25:Q27"/>
    <mergeCell ref="C13:D13"/>
    <mergeCell ref="C14:D14"/>
    <mergeCell ref="C27:D27"/>
    <mergeCell ref="M27:N27"/>
    <mergeCell ref="B37:B42"/>
    <mergeCell ref="C9:D9"/>
    <mergeCell ref="C23:D23"/>
    <mergeCell ref="B16:B18"/>
    <mergeCell ref="C16:C18"/>
    <mergeCell ref="C19:Q19"/>
    <mergeCell ref="B20:B22"/>
    <mergeCell ref="C20:C22"/>
    <mergeCell ref="N20:N22"/>
    <mergeCell ref="O20:O27"/>
    <mergeCell ref="P20:Q22"/>
    <mergeCell ref="Q23:Q24"/>
    <mergeCell ref="B25:B26"/>
    <mergeCell ref="P33:P34"/>
    <mergeCell ref="M33:M34"/>
    <mergeCell ref="N33:N34"/>
  </mergeCells>
  <pageMargins left="0.25" right="0.25" top="0.75" bottom="0.75" header="0.3" footer="0.3"/>
  <pageSetup paperSize="9" scale="5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B2:T158"/>
  <sheetViews>
    <sheetView zoomScale="90" zoomScaleNormal="90" workbookViewId="0">
      <pane xSplit="4" ySplit="1" topLeftCell="E52" activePane="bottomRight" state="frozen"/>
      <selection pane="bottomRight" activeCell="M20" sqref="M20:M21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5" width="9.140625" style="68"/>
    <col min="256" max="256" width="3.7109375" style="68" customWidth="1"/>
    <col min="257" max="257" width="4" style="68" bestFit="1" customWidth="1"/>
    <col min="258" max="258" width="14.5703125" style="68" customWidth="1"/>
    <col min="259" max="259" width="11.140625" style="68" customWidth="1"/>
    <col min="260" max="260" width="8.7109375" style="68" customWidth="1"/>
    <col min="261" max="261" width="9.7109375" style="68" bestFit="1" customWidth="1"/>
    <col min="262" max="262" width="10.85546875" style="68" customWidth="1"/>
    <col min="263" max="263" width="10.42578125" style="68" customWidth="1"/>
    <col min="264" max="264" width="9.7109375" style="68" bestFit="1" customWidth="1"/>
    <col min="265" max="267" width="9.28515625" style="68" bestFit="1" customWidth="1"/>
    <col min="268" max="268" width="10.7109375" style="68" bestFit="1" customWidth="1"/>
    <col min="269" max="269" width="11.28515625" style="68" customWidth="1"/>
    <col min="270" max="270" width="12.5703125" style="68" customWidth="1"/>
    <col min="271" max="271" width="13.5703125" style="68" customWidth="1"/>
    <col min="272" max="272" width="13" style="68" customWidth="1"/>
    <col min="273" max="511" width="9.140625" style="68"/>
    <col min="512" max="512" width="3.7109375" style="68" customWidth="1"/>
    <col min="513" max="513" width="4" style="68" bestFit="1" customWidth="1"/>
    <col min="514" max="514" width="14.5703125" style="68" customWidth="1"/>
    <col min="515" max="515" width="11.140625" style="68" customWidth="1"/>
    <col min="516" max="516" width="8.7109375" style="68" customWidth="1"/>
    <col min="517" max="517" width="9.7109375" style="68" bestFit="1" customWidth="1"/>
    <col min="518" max="518" width="10.85546875" style="68" customWidth="1"/>
    <col min="519" max="519" width="10.42578125" style="68" customWidth="1"/>
    <col min="520" max="520" width="9.7109375" style="68" bestFit="1" customWidth="1"/>
    <col min="521" max="523" width="9.28515625" style="68" bestFit="1" customWidth="1"/>
    <col min="524" max="524" width="10.7109375" style="68" bestFit="1" customWidth="1"/>
    <col min="525" max="525" width="11.28515625" style="68" customWidth="1"/>
    <col min="526" max="526" width="12.5703125" style="68" customWidth="1"/>
    <col min="527" max="527" width="13.5703125" style="68" customWidth="1"/>
    <col min="528" max="528" width="13" style="68" customWidth="1"/>
    <col min="529" max="767" width="9.140625" style="68"/>
    <col min="768" max="768" width="3.7109375" style="68" customWidth="1"/>
    <col min="769" max="769" width="4" style="68" bestFit="1" customWidth="1"/>
    <col min="770" max="770" width="14.5703125" style="68" customWidth="1"/>
    <col min="771" max="771" width="11.140625" style="68" customWidth="1"/>
    <col min="772" max="772" width="8.7109375" style="68" customWidth="1"/>
    <col min="773" max="773" width="9.7109375" style="68" bestFit="1" customWidth="1"/>
    <col min="774" max="774" width="10.85546875" style="68" customWidth="1"/>
    <col min="775" max="775" width="10.42578125" style="68" customWidth="1"/>
    <col min="776" max="776" width="9.7109375" style="68" bestFit="1" customWidth="1"/>
    <col min="777" max="779" width="9.28515625" style="68" bestFit="1" customWidth="1"/>
    <col min="780" max="780" width="10.7109375" style="68" bestFit="1" customWidth="1"/>
    <col min="781" max="781" width="11.28515625" style="68" customWidth="1"/>
    <col min="782" max="782" width="12.5703125" style="68" customWidth="1"/>
    <col min="783" max="783" width="13.5703125" style="68" customWidth="1"/>
    <col min="784" max="784" width="13" style="68" customWidth="1"/>
    <col min="785" max="1023" width="9.140625" style="68"/>
    <col min="1024" max="1024" width="3.7109375" style="68" customWidth="1"/>
    <col min="1025" max="1025" width="4" style="68" bestFit="1" customWidth="1"/>
    <col min="1026" max="1026" width="14.5703125" style="68" customWidth="1"/>
    <col min="1027" max="1027" width="11.140625" style="68" customWidth="1"/>
    <col min="1028" max="1028" width="8.7109375" style="68" customWidth="1"/>
    <col min="1029" max="1029" width="9.7109375" style="68" bestFit="1" customWidth="1"/>
    <col min="1030" max="1030" width="10.85546875" style="68" customWidth="1"/>
    <col min="1031" max="1031" width="10.42578125" style="68" customWidth="1"/>
    <col min="1032" max="1032" width="9.7109375" style="68" bestFit="1" customWidth="1"/>
    <col min="1033" max="1035" width="9.28515625" style="68" bestFit="1" customWidth="1"/>
    <col min="1036" max="1036" width="10.7109375" style="68" bestFit="1" customWidth="1"/>
    <col min="1037" max="1037" width="11.28515625" style="68" customWidth="1"/>
    <col min="1038" max="1038" width="12.5703125" style="68" customWidth="1"/>
    <col min="1039" max="1039" width="13.5703125" style="68" customWidth="1"/>
    <col min="1040" max="1040" width="13" style="68" customWidth="1"/>
    <col min="1041" max="1279" width="9.140625" style="68"/>
    <col min="1280" max="1280" width="3.7109375" style="68" customWidth="1"/>
    <col min="1281" max="1281" width="4" style="68" bestFit="1" customWidth="1"/>
    <col min="1282" max="1282" width="14.5703125" style="68" customWidth="1"/>
    <col min="1283" max="1283" width="11.140625" style="68" customWidth="1"/>
    <col min="1284" max="1284" width="8.7109375" style="68" customWidth="1"/>
    <col min="1285" max="1285" width="9.7109375" style="68" bestFit="1" customWidth="1"/>
    <col min="1286" max="1286" width="10.85546875" style="68" customWidth="1"/>
    <col min="1287" max="1287" width="10.42578125" style="68" customWidth="1"/>
    <col min="1288" max="1288" width="9.7109375" style="68" bestFit="1" customWidth="1"/>
    <col min="1289" max="1291" width="9.28515625" style="68" bestFit="1" customWidth="1"/>
    <col min="1292" max="1292" width="10.7109375" style="68" bestFit="1" customWidth="1"/>
    <col min="1293" max="1293" width="11.28515625" style="68" customWidth="1"/>
    <col min="1294" max="1294" width="12.5703125" style="68" customWidth="1"/>
    <col min="1295" max="1295" width="13.5703125" style="68" customWidth="1"/>
    <col min="1296" max="1296" width="13" style="68" customWidth="1"/>
    <col min="1297" max="1535" width="9.140625" style="68"/>
    <col min="1536" max="1536" width="3.7109375" style="68" customWidth="1"/>
    <col min="1537" max="1537" width="4" style="68" bestFit="1" customWidth="1"/>
    <col min="1538" max="1538" width="14.5703125" style="68" customWidth="1"/>
    <col min="1539" max="1539" width="11.140625" style="68" customWidth="1"/>
    <col min="1540" max="1540" width="8.7109375" style="68" customWidth="1"/>
    <col min="1541" max="1541" width="9.7109375" style="68" bestFit="1" customWidth="1"/>
    <col min="1542" max="1542" width="10.85546875" style="68" customWidth="1"/>
    <col min="1543" max="1543" width="10.42578125" style="68" customWidth="1"/>
    <col min="1544" max="1544" width="9.7109375" style="68" bestFit="1" customWidth="1"/>
    <col min="1545" max="1547" width="9.28515625" style="68" bestFit="1" customWidth="1"/>
    <col min="1548" max="1548" width="10.7109375" style="68" bestFit="1" customWidth="1"/>
    <col min="1549" max="1549" width="11.28515625" style="68" customWidth="1"/>
    <col min="1550" max="1550" width="12.5703125" style="68" customWidth="1"/>
    <col min="1551" max="1551" width="13.5703125" style="68" customWidth="1"/>
    <col min="1552" max="1552" width="13" style="68" customWidth="1"/>
    <col min="1553" max="1791" width="9.140625" style="68"/>
    <col min="1792" max="1792" width="3.7109375" style="68" customWidth="1"/>
    <col min="1793" max="1793" width="4" style="68" bestFit="1" customWidth="1"/>
    <col min="1794" max="1794" width="14.5703125" style="68" customWidth="1"/>
    <col min="1795" max="1795" width="11.140625" style="68" customWidth="1"/>
    <col min="1796" max="1796" width="8.7109375" style="68" customWidth="1"/>
    <col min="1797" max="1797" width="9.7109375" style="68" bestFit="1" customWidth="1"/>
    <col min="1798" max="1798" width="10.85546875" style="68" customWidth="1"/>
    <col min="1799" max="1799" width="10.42578125" style="68" customWidth="1"/>
    <col min="1800" max="1800" width="9.7109375" style="68" bestFit="1" customWidth="1"/>
    <col min="1801" max="1803" width="9.28515625" style="68" bestFit="1" customWidth="1"/>
    <col min="1804" max="1804" width="10.7109375" style="68" bestFit="1" customWidth="1"/>
    <col min="1805" max="1805" width="11.28515625" style="68" customWidth="1"/>
    <col min="1806" max="1806" width="12.5703125" style="68" customWidth="1"/>
    <col min="1807" max="1807" width="13.5703125" style="68" customWidth="1"/>
    <col min="1808" max="1808" width="13" style="68" customWidth="1"/>
    <col min="1809" max="2047" width="9.140625" style="68"/>
    <col min="2048" max="2048" width="3.7109375" style="68" customWidth="1"/>
    <col min="2049" max="2049" width="4" style="68" bestFit="1" customWidth="1"/>
    <col min="2050" max="2050" width="14.5703125" style="68" customWidth="1"/>
    <col min="2051" max="2051" width="11.140625" style="68" customWidth="1"/>
    <col min="2052" max="2052" width="8.7109375" style="68" customWidth="1"/>
    <col min="2053" max="2053" width="9.7109375" style="68" bestFit="1" customWidth="1"/>
    <col min="2054" max="2054" width="10.85546875" style="68" customWidth="1"/>
    <col min="2055" max="2055" width="10.42578125" style="68" customWidth="1"/>
    <col min="2056" max="2056" width="9.7109375" style="68" bestFit="1" customWidth="1"/>
    <col min="2057" max="2059" width="9.28515625" style="68" bestFit="1" customWidth="1"/>
    <col min="2060" max="2060" width="10.7109375" style="68" bestFit="1" customWidth="1"/>
    <col min="2061" max="2061" width="11.28515625" style="68" customWidth="1"/>
    <col min="2062" max="2062" width="12.5703125" style="68" customWidth="1"/>
    <col min="2063" max="2063" width="13.5703125" style="68" customWidth="1"/>
    <col min="2064" max="2064" width="13" style="68" customWidth="1"/>
    <col min="2065" max="2303" width="9.140625" style="68"/>
    <col min="2304" max="2304" width="3.7109375" style="68" customWidth="1"/>
    <col min="2305" max="2305" width="4" style="68" bestFit="1" customWidth="1"/>
    <col min="2306" max="2306" width="14.5703125" style="68" customWidth="1"/>
    <col min="2307" max="2307" width="11.140625" style="68" customWidth="1"/>
    <col min="2308" max="2308" width="8.7109375" style="68" customWidth="1"/>
    <col min="2309" max="2309" width="9.7109375" style="68" bestFit="1" customWidth="1"/>
    <col min="2310" max="2310" width="10.85546875" style="68" customWidth="1"/>
    <col min="2311" max="2311" width="10.42578125" style="68" customWidth="1"/>
    <col min="2312" max="2312" width="9.7109375" style="68" bestFit="1" customWidth="1"/>
    <col min="2313" max="2315" width="9.28515625" style="68" bestFit="1" customWidth="1"/>
    <col min="2316" max="2316" width="10.7109375" style="68" bestFit="1" customWidth="1"/>
    <col min="2317" max="2317" width="11.28515625" style="68" customWidth="1"/>
    <col min="2318" max="2318" width="12.5703125" style="68" customWidth="1"/>
    <col min="2319" max="2319" width="13.5703125" style="68" customWidth="1"/>
    <col min="2320" max="2320" width="13" style="68" customWidth="1"/>
    <col min="2321" max="2559" width="9.140625" style="68"/>
    <col min="2560" max="2560" width="3.7109375" style="68" customWidth="1"/>
    <col min="2561" max="2561" width="4" style="68" bestFit="1" customWidth="1"/>
    <col min="2562" max="2562" width="14.5703125" style="68" customWidth="1"/>
    <col min="2563" max="2563" width="11.140625" style="68" customWidth="1"/>
    <col min="2564" max="2564" width="8.7109375" style="68" customWidth="1"/>
    <col min="2565" max="2565" width="9.7109375" style="68" bestFit="1" customWidth="1"/>
    <col min="2566" max="2566" width="10.85546875" style="68" customWidth="1"/>
    <col min="2567" max="2567" width="10.42578125" style="68" customWidth="1"/>
    <col min="2568" max="2568" width="9.7109375" style="68" bestFit="1" customWidth="1"/>
    <col min="2569" max="2571" width="9.28515625" style="68" bestFit="1" customWidth="1"/>
    <col min="2572" max="2572" width="10.7109375" style="68" bestFit="1" customWidth="1"/>
    <col min="2573" max="2573" width="11.28515625" style="68" customWidth="1"/>
    <col min="2574" max="2574" width="12.5703125" style="68" customWidth="1"/>
    <col min="2575" max="2575" width="13.5703125" style="68" customWidth="1"/>
    <col min="2576" max="2576" width="13" style="68" customWidth="1"/>
    <col min="2577" max="2815" width="9.140625" style="68"/>
    <col min="2816" max="2816" width="3.7109375" style="68" customWidth="1"/>
    <col min="2817" max="2817" width="4" style="68" bestFit="1" customWidth="1"/>
    <col min="2818" max="2818" width="14.5703125" style="68" customWidth="1"/>
    <col min="2819" max="2819" width="11.140625" style="68" customWidth="1"/>
    <col min="2820" max="2820" width="8.7109375" style="68" customWidth="1"/>
    <col min="2821" max="2821" width="9.7109375" style="68" bestFit="1" customWidth="1"/>
    <col min="2822" max="2822" width="10.85546875" style="68" customWidth="1"/>
    <col min="2823" max="2823" width="10.42578125" style="68" customWidth="1"/>
    <col min="2824" max="2824" width="9.7109375" style="68" bestFit="1" customWidth="1"/>
    <col min="2825" max="2827" width="9.28515625" style="68" bestFit="1" customWidth="1"/>
    <col min="2828" max="2828" width="10.7109375" style="68" bestFit="1" customWidth="1"/>
    <col min="2829" max="2829" width="11.28515625" style="68" customWidth="1"/>
    <col min="2830" max="2830" width="12.5703125" style="68" customWidth="1"/>
    <col min="2831" max="2831" width="13.5703125" style="68" customWidth="1"/>
    <col min="2832" max="2832" width="13" style="68" customWidth="1"/>
    <col min="2833" max="3071" width="9.140625" style="68"/>
    <col min="3072" max="3072" width="3.7109375" style="68" customWidth="1"/>
    <col min="3073" max="3073" width="4" style="68" bestFit="1" customWidth="1"/>
    <col min="3074" max="3074" width="14.5703125" style="68" customWidth="1"/>
    <col min="3075" max="3075" width="11.140625" style="68" customWidth="1"/>
    <col min="3076" max="3076" width="8.7109375" style="68" customWidth="1"/>
    <col min="3077" max="3077" width="9.7109375" style="68" bestFit="1" customWidth="1"/>
    <col min="3078" max="3078" width="10.85546875" style="68" customWidth="1"/>
    <col min="3079" max="3079" width="10.42578125" style="68" customWidth="1"/>
    <col min="3080" max="3080" width="9.7109375" style="68" bestFit="1" customWidth="1"/>
    <col min="3081" max="3083" width="9.28515625" style="68" bestFit="1" customWidth="1"/>
    <col min="3084" max="3084" width="10.7109375" style="68" bestFit="1" customWidth="1"/>
    <col min="3085" max="3085" width="11.28515625" style="68" customWidth="1"/>
    <col min="3086" max="3086" width="12.5703125" style="68" customWidth="1"/>
    <col min="3087" max="3087" width="13.5703125" style="68" customWidth="1"/>
    <col min="3088" max="3088" width="13" style="68" customWidth="1"/>
    <col min="3089" max="3327" width="9.140625" style="68"/>
    <col min="3328" max="3328" width="3.7109375" style="68" customWidth="1"/>
    <col min="3329" max="3329" width="4" style="68" bestFit="1" customWidth="1"/>
    <col min="3330" max="3330" width="14.5703125" style="68" customWidth="1"/>
    <col min="3331" max="3331" width="11.140625" style="68" customWidth="1"/>
    <col min="3332" max="3332" width="8.7109375" style="68" customWidth="1"/>
    <col min="3333" max="3333" width="9.7109375" style="68" bestFit="1" customWidth="1"/>
    <col min="3334" max="3334" width="10.85546875" style="68" customWidth="1"/>
    <col min="3335" max="3335" width="10.42578125" style="68" customWidth="1"/>
    <col min="3336" max="3336" width="9.7109375" style="68" bestFit="1" customWidth="1"/>
    <col min="3337" max="3339" width="9.28515625" style="68" bestFit="1" customWidth="1"/>
    <col min="3340" max="3340" width="10.7109375" style="68" bestFit="1" customWidth="1"/>
    <col min="3341" max="3341" width="11.28515625" style="68" customWidth="1"/>
    <col min="3342" max="3342" width="12.5703125" style="68" customWidth="1"/>
    <col min="3343" max="3343" width="13.5703125" style="68" customWidth="1"/>
    <col min="3344" max="3344" width="13" style="68" customWidth="1"/>
    <col min="3345" max="3583" width="9.140625" style="68"/>
    <col min="3584" max="3584" width="3.7109375" style="68" customWidth="1"/>
    <col min="3585" max="3585" width="4" style="68" bestFit="1" customWidth="1"/>
    <col min="3586" max="3586" width="14.5703125" style="68" customWidth="1"/>
    <col min="3587" max="3587" width="11.140625" style="68" customWidth="1"/>
    <col min="3588" max="3588" width="8.7109375" style="68" customWidth="1"/>
    <col min="3589" max="3589" width="9.7109375" style="68" bestFit="1" customWidth="1"/>
    <col min="3590" max="3590" width="10.85546875" style="68" customWidth="1"/>
    <col min="3591" max="3591" width="10.42578125" style="68" customWidth="1"/>
    <col min="3592" max="3592" width="9.7109375" style="68" bestFit="1" customWidth="1"/>
    <col min="3593" max="3595" width="9.28515625" style="68" bestFit="1" customWidth="1"/>
    <col min="3596" max="3596" width="10.7109375" style="68" bestFit="1" customWidth="1"/>
    <col min="3597" max="3597" width="11.28515625" style="68" customWidth="1"/>
    <col min="3598" max="3598" width="12.5703125" style="68" customWidth="1"/>
    <col min="3599" max="3599" width="13.5703125" style="68" customWidth="1"/>
    <col min="3600" max="3600" width="13" style="68" customWidth="1"/>
    <col min="3601" max="3839" width="9.140625" style="68"/>
    <col min="3840" max="3840" width="3.7109375" style="68" customWidth="1"/>
    <col min="3841" max="3841" width="4" style="68" bestFit="1" customWidth="1"/>
    <col min="3842" max="3842" width="14.5703125" style="68" customWidth="1"/>
    <col min="3843" max="3843" width="11.140625" style="68" customWidth="1"/>
    <col min="3844" max="3844" width="8.7109375" style="68" customWidth="1"/>
    <col min="3845" max="3845" width="9.7109375" style="68" bestFit="1" customWidth="1"/>
    <col min="3846" max="3846" width="10.85546875" style="68" customWidth="1"/>
    <col min="3847" max="3847" width="10.42578125" style="68" customWidth="1"/>
    <col min="3848" max="3848" width="9.7109375" style="68" bestFit="1" customWidth="1"/>
    <col min="3849" max="3851" width="9.28515625" style="68" bestFit="1" customWidth="1"/>
    <col min="3852" max="3852" width="10.7109375" style="68" bestFit="1" customWidth="1"/>
    <col min="3853" max="3853" width="11.28515625" style="68" customWidth="1"/>
    <col min="3854" max="3854" width="12.5703125" style="68" customWidth="1"/>
    <col min="3855" max="3855" width="13.5703125" style="68" customWidth="1"/>
    <col min="3856" max="3856" width="13" style="68" customWidth="1"/>
    <col min="3857" max="4095" width="9.140625" style="68"/>
    <col min="4096" max="4096" width="3.7109375" style="68" customWidth="1"/>
    <col min="4097" max="4097" width="4" style="68" bestFit="1" customWidth="1"/>
    <col min="4098" max="4098" width="14.5703125" style="68" customWidth="1"/>
    <col min="4099" max="4099" width="11.140625" style="68" customWidth="1"/>
    <col min="4100" max="4100" width="8.7109375" style="68" customWidth="1"/>
    <col min="4101" max="4101" width="9.7109375" style="68" bestFit="1" customWidth="1"/>
    <col min="4102" max="4102" width="10.85546875" style="68" customWidth="1"/>
    <col min="4103" max="4103" width="10.42578125" style="68" customWidth="1"/>
    <col min="4104" max="4104" width="9.7109375" style="68" bestFit="1" customWidth="1"/>
    <col min="4105" max="4107" width="9.28515625" style="68" bestFit="1" customWidth="1"/>
    <col min="4108" max="4108" width="10.7109375" style="68" bestFit="1" customWidth="1"/>
    <col min="4109" max="4109" width="11.28515625" style="68" customWidth="1"/>
    <col min="4110" max="4110" width="12.5703125" style="68" customWidth="1"/>
    <col min="4111" max="4111" width="13.5703125" style="68" customWidth="1"/>
    <col min="4112" max="4112" width="13" style="68" customWidth="1"/>
    <col min="4113" max="4351" width="9.140625" style="68"/>
    <col min="4352" max="4352" width="3.7109375" style="68" customWidth="1"/>
    <col min="4353" max="4353" width="4" style="68" bestFit="1" customWidth="1"/>
    <col min="4354" max="4354" width="14.5703125" style="68" customWidth="1"/>
    <col min="4355" max="4355" width="11.140625" style="68" customWidth="1"/>
    <col min="4356" max="4356" width="8.7109375" style="68" customWidth="1"/>
    <col min="4357" max="4357" width="9.7109375" style="68" bestFit="1" customWidth="1"/>
    <col min="4358" max="4358" width="10.85546875" style="68" customWidth="1"/>
    <col min="4359" max="4359" width="10.42578125" style="68" customWidth="1"/>
    <col min="4360" max="4360" width="9.7109375" style="68" bestFit="1" customWidth="1"/>
    <col min="4361" max="4363" width="9.28515625" style="68" bestFit="1" customWidth="1"/>
    <col min="4364" max="4364" width="10.7109375" style="68" bestFit="1" customWidth="1"/>
    <col min="4365" max="4365" width="11.28515625" style="68" customWidth="1"/>
    <col min="4366" max="4366" width="12.5703125" style="68" customWidth="1"/>
    <col min="4367" max="4367" width="13.5703125" style="68" customWidth="1"/>
    <col min="4368" max="4368" width="13" style="68" customWidth="1"/>
    <col min="4369" max="4607" width="9.140625" style="68"/>
    <col min="4608" max="4608" width="3.7109375" style="68" customWidth="1"/>
    <col min="4609" max="4609" width="4" style="68" bestFit="1" customWidth="1"/>
    <col min="4610" max="4610" width="14.5703125" style="68" customWidth="1"/>
    <col min="4611" max="4611" width="11.140625" style="68" customWidth="1"/>
    <col min="4612" max="4612" width="8.7109375" style="68" customWidth="1"/>
    <col min="4613" max="4613" width="9.7109375" style="68" bestFit="1" customWidth="1"/>
    <col min="4614" max="4614" width="10.85546875" style="68" customWidth="1"/>
    <col min="4615" max="4615" width="10.42578125" style="68" customWidth="1"/>
    <col min="4616" max="4616" width="9.7109375" style="68" bestFit="1" customWidth="1"/>
    <col min="4617" max="4619" width="9.28515625" style="68" bestFit="1" customWidth="1"/>
    <col min="4620" max="4620" width="10.7109375" style="68" bestFit="1" customWidth="1"/>
    <col min="4621" max="4621" width="11.28515625" style="68" customWidth="1"/>
    <col min="4622" max="4622" width="12.5703125" style="68" customWidth="1"/>
    <col min="4623" max="4623" width="13.5703125" style="68" customWidth="1"/>
    <col min="4624" max="4624" width="13" style="68" customWidth="1"/>
    <col min="4625" max="4863" width="9.140625" style="68"/>
    <col min="4864" max="4864" width="3.7109375" style="68" customWidth="1"/>
    <col min="4865" max="4865" width="4" style="68" bestFit="1" customWidth="1"/>
    <col min="4866" max="4866" width="14.5703125" style="68" customWidth="1"/>
    <col min="4867" max="4867" width="11.140625" style="68" customWidth="1"/>
    <col min="4868" max="4868" width="8.7109375" style="68" customWidth="1"/>
    <col min="4869" max="4869" width="9.7109375" style="68" bestFit="1" customWidth="1"/>
    <col min="4870" max="4870" width="10.85546875" style="68" customWidth="1"/>
    <col min="4871" max="4871" width="10.42578125" style="68" customWidth="1"/>
    <col min="4872" max="4872" width="9.7109375" style="68" bestFit="1" customWidth="1"/>
    <col min="4873" max="4875" width="9.28515625" style="68" bestFit="1" customWidth="1"/>
    <col min="4876" max="4876" width="10.7109375" style="68" bestFit="1" customWidth="1"/>
    <col min="4877" max="4877" width="11.28515625" style="68" customWidth="1"/>
    <col min="4878" max="4878" width="12.5703125" style="68" customWidth="1"/>
    <col min="4879" max="4879" width="13.5703125" style="68" customWidth="1"/>
    <col min="4880" max="4880" width="13" style="68" customWidth="1"/>
    <col min="4881" max="5119" width="9.140625" style="68"/>
    <col min="5120" max="5120" width="3.7109375" style="68" customWidth="1"/>
    <col min="5121" max="5121" width="4" style="68" bestFit="1" customWidth="1"/>
    <col min="5122" max="5122" width="14.5703125" style="68" customWidth="1"/>
    <col min="5123" max="5123" width="11.140625" style="68" customWidth="1"/>
    <col min="5124" max="5124" width="8.7109375" style="68" customWidth="1"/>
    <col min="5125" max="5125" width="9.7109375" style="68" bestFit="1" customWidth="1"/>
    <col min="5126" max="5126" width="10.85546875" style="68" customWidth="1"/>
    <col min="5127" max="5127" width="10.42578125" style="68" customWidth="1"/>
    <col min="5128" max="5128" width="9.7109375" style="68" bestFit="1" customWidth="1"/>
    <col min="5129" max="5131" width="9.28515625" style="68" bestFit="1" customWidth="1"/>
    <col min="5132" max="5132" width="10.7109375" style="68" bestFit="1" customWidth="1"/>
    <col min="5133" max="5133" width="11.28515625" style="68" customWidth="1"/>
    <col min="5134" max="5134" width="12.5703125" style="68" customWidth="1"/>
    <col min="5135" max="5135" width="13.5703125" style="68" customWidth="1"/>
    <col min="5136" max="5136" width="13" style="68" customWidth="1"/>
    <col min="5137" max="5375" width="9.140625" style="68"/>
    <col min="5376" max="5376" width="3.7109375" style="68" customWidth="1"/>
    <col min="5377" max="5377" width="4" style="68" bestFit="1" customWidth="1"/>
    <col min="5378" max="5378" width="14.5703125" style="68" customWidth="1"/>
    <col min="5379" max="5379" width="11.140625" style="68" customWidth="1"/>
    <col min="5380" max="5380" width="8.7109375" style="68" customWidth="1"/>
    <col min="5381" max="5381" width="9.7109375" style="68" bestFit="1" customWidth="1"/>
    <col min="5382" max="5382" width="10.85546875" style="68" customWidth="1"/>
    <col min="5383" max="5383" width="10.42578125" style="68" customWidth="1"/>
    <col min="5384" max="5384" width="9.7109375" style="68" bestFit="1" customWidth="1"/>
    <col min="5385" max="5387" width="9.28515625" style="68" bestFit="1" customWidth="1"/>
    <col min="5388" max="5388" width="10.7109375" style="68" bestFit="1" customWidth="1"/>
    <col min="5389" max="5389" width="11.28515625" style="68" customWidth="1"/>
    <col min="5390" max="5390" width="12.5703125" style="68" customWidth="1"/>
    <col min="5391" max="5391" width="13.5703125" style="68" customWidth="1"/>
    <col min="5392" max="5392" width="13" style="68" customWidth="1"/>
    <col min="5393" max="5631" width="9.140625" style="68"/>
    <col min="5632" max="5632" width="3.7109375" style="68" customWidth="1"/>
    <col min="5633" max="5633" width="4" style="68" bestFit="1" customWidth="1"/>
    <col min="5634" max="5634" width="14.5703125" style="68" customWidth="1"/>
    <col min="5635" max="5635" width="11.140625" style="68" customWidth="1"/>
    <col min="5636" max="5636" width="8.7109375" style="68" customWidth="1"/>
    <col min="5637" max="5637" width="9.7109375" style="68" bestFit="1" customWidth="1"/>
    <col min="5638" max="5638" width="10.85546875" style="68" customWidth="1"/>
    <col min="5639" max="5639" width="10.42578125" style="68" customWidth="1"/>
    <col min="5640" max="5640" width="9.7109375" style="68" bestFit="1" customWidth="1"/>
    <col min="5641" max="5643" width="9.28515625" style="68" bestFit="1" customWidth="1"/>
    <col min="5644" max="5644" width="10.7109375" style="68" bestFit="1" customWidth="1"/>
    <col min="5645" max="5645" width="11.28515625" style="68" customWidth="1"/>
    <col min="5646" max="5646" width="12.5703125" style="68" customWidth="1"/>
    <col min="5647" max="5647" width="13.5703125" style="68" customWidth="1"/>
    <col min="5648" max="5648" width="13" style="68" customWidth="1"/>
    <col min="5649" max="5887" width="9.140625" style="68"/>
    <col min="5888" max="5888" width="3.7109375" style="68" customWidth="1"/>
    <col min="5889" max="5889" width="4" style="68" bestFit="1" customWidth="1"/>
    <col min="5890" max="5890" width="14.5703125" style="68" customWidth="1"/>
    <col min="5891" max="5891" width="11.140625" style="68" customWidth="1"/>
    <col min="5892" max="5892" width="8.7109375" style="68" customWidth="1"/>
    <col min="5893" max="5893" width="9.7109375" style="68" bestFit="1" customWidth="1"/>
    <col min="5894" max="5894" width="10.85546875" style="68" customWidth="1"/>
    <col min="5895" max="5895" width="10.42578125" style="68" customWidth="1"/>
    <col min="5896" max="5896" width="9.7109375" style="68" bestFit="1" customWidth="1"/>
    <col min="5897" max="5899" width="9.28515625" style="68" bestFit="1" customWidth="1"/>
    <col min="5900" max="5900" width="10.7109375" style="68" bestFit="1" customWidth="1"/>
    <col min="5901" max="5901" width="11.28515625" style="68" customWidth="1"/>
    <col min="5902" max="5902" width="12.5703125" style="68" customWidth="1"/>
    <col min="5903" max="5903" width="13.5703125" style="68" customWidth="1"/>
    <col min="5904" max="5904" width="13" style="68" customWidth="1"/>
    <col min="5905" max="6143" width="9.140625" style="68"/>
    <col min="6144" max="6144" width="3.7109375" style="68" customWidth="1"/>
    <col min="6145" max="6145" width="4" style="68" bestFit="1" customWidth="1"/>
    <col min="6146" max="6146" width="14.5703125" style="68" customWidth="1"/>
    <col min="6147" max="6147" width="11.140625" style="68" customWidth="1"/>
    <col min="6148" max="6148" width="8.7109375" style="68" customWidth="1"/>
    <col min="6149" max="6149" width="9.7109375" style="68" bestFit="1" customWidth="1"/>
    <col min="6150" max="6150" width="10.85546875" style="68" customWidth="1"/>
    <col min="6151" max="6151" width="10.42578125" style="68" customWidth="1"/>
    <col min="6152" max="6152" width="9.7109375" style="68" bestFit="1" customWidth="1"/>
    <col min="6153" max="6155" width="9.28515625" style="68" bestFit="1" customWidth="1"/>
    <col min="6156" max="6156" width="10.7109375" style="68" bestFit="1" customWidth="1"/>
    <col min="6157" max="6157" width="11.28515625" style="68" customWidth="1"/>
    <col min="6158" max="6158" width="12.5703125" style="68" customWidth="1"/>
    <col min="6159" max="6159" width="13.5703125" style="68" customWidth="1"/>
    <col min="6160" max="6160" width="13" style="68" customWidth="1"/>
    <col min="6161" max="6399" width="9.140625" style="68"/>
    <col min="6400" max="6400" width="3.7109375" style="68" customWidth="1"/>
    <col min="6401" max="6401" width="4" style="68" bestFit="1" customWidth="1"/>
    <col min="6402" max="6402" width="14.5703125" style="68" customWidth="1"/>
    <col min="6403" max="6403" width="11.140625" style="68" customWidth="1"/>
    <col min="6404" max="6404" width="8.7109375" style="68" customWidth="1"/>
    <col min="6405" max="6405" width="9.7109375" style="68" bestFit="1" customWidth="1"/>
    <col min="6406" max="6406" width="10.85546875" style="68" customWidth="1"/>
    <col min="6407" max="6407" width="10.42578125" style="68" customWidth="1"/>
    <col min="6408" max="6408" width="9.7109375" style="68" bestFit="1" customWidth="1"/>
    <col min="6409" max="6411" width="9.28515625" style="68" bestFit="1" customWidth="1"/>
    <col min="6412" max="6412" width="10.7109375" style="68" bestFit="1" customWidth="1"/>
    <col min="6413" max="6413" width="11.28515625" style="68" customWidth="1"/>
    <col min="6414" max="6414" width="12.5703125" style="68" customWidth="1"/>
    <col min="6415" max="6415" width="13.5703125" style="68" customWidth="1"/>
    <col min="6416" max="6416" width="13" style="68" customWidth="1"/>
    <col min="6417" max="6655" width="9.140625" style="68"/>
    <col min="6656" max="6656" width="3.7109375" style="68" customWidth="1"/>
    <col min="6657" max="6657" width="4" style="68" bestFit="1" customWidth="1"/>
    <col min="6658" max="6658" width="14.5703125" style="68" customWidth="1"/>
    <col min="6659" max="6659" width="11.140625" style="68" customWidth="1"/>
    <col min="6660" max="6660" width="8.7109375" style="68" customWidth="1"/>
    <col min="6661" max="6661" width="9.7109375" style="68" bestFit="1" customWidth="1"/>
    <col min="6662" max="6662" width="10.85546875" style="68" customWidth="1"/>
    <col min="6663" max="6663" width="10.42578125" style="68" customWidth="1"/>
    <col min="6664" max="6664" width="9.7109375" style="68" bestFit="1" customWidth="1"/>
    <col min="6665" max="6667" width="9.28515625" style="68" bestFit="1" customWidth="1"/>
    <col min="6668" max="6668" width="10.7109375" style="68" bestFit="1" customWidth="1"/>
    <col min="6669" max="6669" width="11.28515625" style="68" customWidth="1"/>
    <col min="6670" max="6670" width="12.5703125" style="68" customWidth="1"/>
    <col min="6671" max="6671" width="13.5703125" style="68" customWidth="1"/>
    <col min="6672" max="6672" width="13" style="68" customWidth="1"/>
    <col min="6673" max="6911" width="9.140625" style="68"/>
    <col min="6912" max="6912" width="3.7109375" style="68" customWidth="1"/>
    <col min="6913" max="6913" width="4" style="68" bestFit="1" customWidth="1"/>
    <col min="6914" max="6914" width="14.5703125" style="68" customWidth="1"/>
    <col min="6915" max="6915" width="11.140625" style="68" customWidth="1"/>
    <col min="6916" max="6916" width="8.7109375" style="68" customWidth="1"/>
    <col min="6917" max="6917" width="9.7109375" style="68" bestFit="1" customWidth="1"/>
    <col min="6918" max="6918" width="10.85546875" style="68" customWidth="1"/>
    <col min="6919" max="6919" width="10.42578125" style="68" customWidth="1"/>
    <col min="6920" max="6920" width="9.7109375" style="68" bestFit="1" customWidth="1"/>
    <col min="6921" max="6923" width="9.28515625" style="68" bestFit="1" customWidth="1"/>
    <col min="6924" max="6924" width="10.7109375" style="68" bestFit="1" customWidth="1"/>
    <col min="6925" max="6925" width="11.28515625" style="68" customWidth="1"/>
    <col min="6926" max="6926" width="12.5703125" style="68" customWidth="1"/>
    <col min="6927" max="6927" width="13.5703125" style="68" customWidth="1"/>
    <col min="6928" max="6928" width="13" style="68" customWidth="1"/>
    <col min="6929" max="7167" width="9.140625" style="68"/>
    <col min="7168" max="7168" width="3.7109375" style="68" customWidth="1"/>
    <col min="7169" max="7169" width="4" style="68" bestFit="1" customWidth="1"/>
    <col min="7170" max="7170" width="14.5703125" style="68" customWidth="1"/>
    <col min="7171" max="7171" width="11.140625" style="68" customWidth="1"/>
    <col min="7172" max="7172" width="8.7109375" style="68" customWidth="1"/>
    <col min="7173" max="7173" width="9.7109375" style="68" bestFit="1" customWidth="1"/>
    <col min="7174" max="7174" width="10.85546875" style="68" customWidth="1"/>
    <col min="7175" max="7175" width="10.42578125" style="68" customWidth="1"/>
    <col min="7176" max="7176" width="9.7109375" style="68" bestFit="1" customWidth="1"/>
    <col min="7177" max="7179" width="9.28515625" style="68" bestFit="1" customWidth="1"/>
    <col min="7180" max="7180" width="10.7109375" style="68" bestFit="1" customWidth="1"/>
    <col min="7181" max="7181" width="11.28515625" style="68" customWidth="1"/>
    <col min="7182" max="7182" width="12.5703125" style="68" customWidth="1"/>
    <col min="7183" max="7183" width="13.5703125" style="68" customWidth="1"/>
    <col min="7184" max="7184" width="13" style="68" customWidth="1"/>
    <col min="7185" max="7423" width="9.140625" style="68"/>
    <col min="7424" max="7424" width="3.7109375" style="68" customWidth="1"/>
    <col min="7425" max="7425" width="4" style="68" bestFit="1" customWidth="1"/>
    <col min="7426" max="7426" width="14.5703125" style="68" customWidth="1"/>
    <col min="7427" max="7427" width="11.140625" style="68" customWidth="1"/>
    <col min="7428" max="7428" width="8.7109375" style="68" customWidth="1"/>
    <col min="7429" max="7429" width="9.7109375" style="68" bestFit="1" customWidth="1"/>
    <col min="7430" max="7430" width="10.85546875" style="68" customWidth="1"/>
    <col min="7431" max="7431" width="10.42578125" style="68" customWidth="1"/>
    <col min="7432" max="7432" width="9.7109375" style="68" bestFit="1" customWidth="1"/>
    <col min="7433" max="7435" width="9.28515625" style="68" bestFit="1" customWidth="1"/>
    <col min="7436" max="7436" width="10.7109375" style="68" bestFit="1" customWidth="1"/>
    <col min="7437" max="7437" width="11.28515625" style="68" customWidth="1"/>
    <col min="7438" max="7438" width="12.5703125" style="68" customWidth="1"/>
    <col min="7439" max="7439" width="13.5703125" style="68" customWidth="1"/>
    <col min="7440" max="7440" width="13" style="68" customWidth="1"/>
    <col min="7441" max="7679" width="9.140625" style="68"/>
    <col min="7680" max="7680" width="3.7109375" style="68" customWidth="1"/>
    <col min="7681" max="7681" width="4" style="68" bestFit="1" customWidth="1"/>
    <col min="7682" max="7682" width="14.5703125" style="68" customWidth="1"/>
    <col min="7683" max="7683" width="11.140625" style="68" customWidth="1"/>
    <col min="7684" max="7684" width="8.7109375" style="68" customWidth="1"/>
    <col min="7685" max="7685" width="9.7109375" style="68" bestFit="1" customWidth="1"/>
    <col min="7686" max="7686" width="10.85546875" style="68" customWidth="1"/>
    <col min="7687" max="7687" width="10.42578125" style="68" customWidth="1"/>
    <col min="7688" max="7688" width="9.7109375" style="68" bestFit="1" customWidth="1"/>
    <col min="7689" max="7691" width="9.28515625" style="68" bestFit="1" customWidth="1"/>
    <col min="7692" max="7692" width="10.7109375" style="68" bestFit="1" customWidth="1"/>
    <col min="7693" max="7693" width="11.28515625" style="68" customWidth="1"/>
    <col min="7694" max="7694" width="12.5703125" style="68" customWidth="1"/>
    <col min="7695" max="7695" width="13.5703125" style="68" customWidth="1"/>
    <col min="7696" max="7696" width="13" style="68" customWidth="1"/>
    <col min="7697" max="7935" width="9.140625" style="68"/>
    <col min="7936" max="7936" width="3.7109375" style="68" customWidth="1"/>
    <col min="7937" max="7937" width="4" style="68" bestFit="1" customWidth="1"/>
    <col min="7938" max="7938" width="14.5703125" style="68" customWidth="1"/>
    <col min="7939" max="7939" width="11.140625" style="68" customWidth="1"/>
    <col min="7940" max="7940" width="8.7109375" style="68" customWidth="1"/>
    <col min="7941" max="7941" width="9.7109375" style="68" bestFit="1" customWidth="1"/>
    <col min="7942" max="7942" width="10.85546875" style="68" customWidth="1"/>
    <col min="7943" max="7943" width="10.42578125" style="68" customWidth="1"/>
    <col min="7944" max="7944" width="9.7109375" style="68" bestFit="1" customWidth="1"/>
    <col min="7945" max="7947" width="9.28515625" style="68" bestFit="1" customWidth="1"/>
    <col min="7948" max="7948" width="10.7109375" style="68" bestFit="1" customWidth="1"/>
    <col min="7949" max="7949" width="11.28515625" style="68" customWidth="1"/>
    <col min="7950" max="7950" width="12.5703125" style="68" customWidth="1"/>
    <col min="7951" max="7951" width="13.5703125" style="68" customWidth="1"/>
    <col min="7952" max="7952" width="13" style="68" customWidth="1"/>
    <col min="7953" max="8191" width="9.140625" style="68"/>
    <col min="8192" max="8192" width="3.7109375" style="68" customWidth="1"/>
    <col min="8193" max="8193" width="4" style="68" bestFit="1" customWidth="1"/>
    <col min="8194" max="8194" width="14.5703125" style="68" customWidth="1"/>
    <col min="8195" max="8195" width="11.140625" style="68" customWidth="1"/>
    <col min="8196" max="8196" width="8.7109375" style="68" customWidth="1"/>
    <col min="8197" max="8197" width="9.7109375" style="68" bestFit="1" customWidth="1"/>
    <col min="8198" max="8198" width="10.85546875" style="68" customWidth="1"/>
    <col min="8199" max="8199" width="10.42578125" style="68" customWidth="1"/>
    <col min="8200" max="8200" width="9.7109375" style="68" bestFit="1" customWidth="1"/>
    <col min="8201" max="8203" width="9.28515625" style="68" bestFit="1" customWidth="1"/>
    <col min="8204" max="8204" width="10.7109375" style="68" bestFit="1" customWidth="1"/>
    <col min="8205" max="8205" width="11.28515625" style="68" customWidth="1"/>
    <col min="8206" max="8206" width="12.5703125" style="68" customWidth="1"/>
    <col min="8207" max="8207" width="13.5703125" style="68" customWidth="1"/>
    <col min="8208" max="8208" width="13" style="68" customWidth="1"/>
    <col min="8209" max="8447" width="9.140625" style="68"/>
    <col min="8448" max="8448" width="3.7109375" style="68" customWidth="1"/>
    <col min="8449" max="8449" width="4" style="68" bestFit="1" customWidth="1"/>
    <col min="8450" max="8450" width="14.5703125" style="68" customWidth="1"/>
    <col min="8451" max="8451" width="11.140625" style="68" customWidth="1"/>
    <col min="8452" max="8452" width="8.7109375" style="68" customWidth="1"/>
    <col min="8453" max="8453" width="9.7109375" style="68" bestFit="1" customWidth="1"/>
    <col min="8454" max="8454" width="10.85546875" style="68" customWidth="1"/>
    <col min="8455" max="8455" width="10.42578125" style="68" customWidth="1"/>
    <col min="8456" max="8456" width="9.7109375" style="68" bestFit="1" customWidth="1"/>
    <col min="8457" max="8459" width="9.28515625" style="68" bestFit="1" customWidth="1"/>
    <col min="8460" max="8460" width="10.7109375" style="68" bestFit="1" customWidth="1"/>
    <col min="8461" max="8461" width="11.28515625" style="68" customWidth="1"/>
    <col min="8462" max="8462" width="12.5703125" style="68" customWidth="1"/>
    <col min="8463" max="8463" width="13.5703125" style="68" customWidth="1"/>
    <col min="8464" max="8464" width="13" style="68" customWidth="1"/>
    <col min="8465" max="8703" width="9.140625" style="68"/>
    <col min="8704" max="8704" width="3.7109375" style="68" customWidth="1"/>
    <col min="8705" max="8705" width="4" style="68" bestFit="1" customWidth="1"/>
    <col min="8706" max="8706" width="14.5703125" style="68" customWidth="1"/>
    <col min="8707" max="8707" width="11.140625" style="68" customWidth="1"/>
    <col min="8708" max="8708" width="8.7109375" style="68" customWidth="1"/>
    <col min="8709" max="8709" width="9.7109375" style="68" bestFit="1" customWidth="1"/>
    <col min="8710" max="8710" width="10.85546875" style="68" customWidth="1"/>
    <col min="8711" max="8711" width="10.42578125" style="68" customWidth="1"/>
    <col min="8712" max="8712" width="9.7109375" style="68" bestFit="1" customWidth="1"/>
    <col min="8713" max="8715" width="9.28515625" style="68" bestFit="1" customWidth="1"/>
    <col min="8716" max="8716" width="10.7109375" style="68" bestFit="1" customWidth="1"/>
    <col min="8717" max="8717" width="11.28515625" style="68" customWidth="1"/>
    <col min="8718" max="8718" width="12.5703125" style="68" customWidth="1"/>
    <col min="8719" max="8719" width="13.5703125" style="68" customWidth="1"/>
    <col min="8720" max="8720" width="13" style="68" customWidth="1"/>
    <col min="8721" max="8959" width="9.140625" style="68"/>
    <col min="8960" max="8960" width="3.7109375" style="68" customWidth="1"/>
    <col min="8961" max="8961" width="4" style="68" bestFit="1" customWidth="1"/>
    <col min="8962" max="8962" width="14.5703125" style="68" customWidth="1"/>
    <col min="8963" max="8963" width="11.140625" style="68" customWidth="1"/>
    <col min="8964" max="8964" width="8.7109375" style="68" customWidth="1"/>
    <col min="8965" max="8965" width="9.7109375" style="68" bestFit="1" customWidth="1"/>
    <col min="8966" max="8966" width="10.85546875" style="68" customWidth="1"/>
    <col min="8967" max="8967" width="10.42578125" style="68" customWidth="1"/>
    <col min="8968" max="8968" width="9.7109375" style="68" bestFit="1" customWidth="1"/>
    <col min="8969" max="8971" width="9.28515625" style="68" bestFit="1" customWidth="1"/>
    <col min="8972" max="8972" width="10.7109375" style="68" bestFit="1" customWidth="1"/>
    <col min="8973" max="8973" width="11.28515625" style="68" customWidth="1"/>
    <col min="8974" max="8974" width="12.5703125" style="68" customWidth="1"/>
    <col min="8975" max="8975" width="13.5703125" style="68" customWidth="1"/>
    <col min="8976" max="8976" width="13" style="68" customWidth="1"/>
    <col min="8977" max="9215" width="9.140625" style="68"/>
    <col min="9216" max="9216" width="3.7109375" style="68" customWidth="1"/>
    <col min="9217" max="9217" width="4" style="68" bestFit="1" customWidth="1"/>
    <col min="9218" max="9218" width="14.5703125" style="68" customWidth="1"/>
    <col min="9219" max="9219" width="11.140625" style="68" customWidth="1"/>
    <col min="9220" max="9220" width="8.7109375" style="68" customWidth="1"/>
    <col min="9221" max="9221" width="9.7109375" style="68" bestFit="1" customWidth="1"/>
    <col min="9222" max="9222" width="10.85546875" style="68" customWidth="1"/>
    <col min="9223" max="9223" width="10.42578125" style="68" customWidth="1"/>
    <col min="9224" max="9224" width="9.7109375" style="68" bestFit="1" customWidth="1"/>
    <col min="9225" max="9227" width="9.28515625" style="68" bestFit="1" customWidth="1"/>
    <col min="9228" max="9228" width="10.7109375" style="68" bestFit="1" customWidth="1"/>
    <col min="9229" max="9229" width="11.28515625" style="68" customWidth="1"/>
    <col min="9230" max="9230" width="12.5703125" style="68" customWidth="1"/>
    <col min="9231" max="9231" width="13.5703125" style="68" customWidth="1"/>
    <col min="9232" max="9232" width="13" style="68" customWidth="1"/>
    <col min="9233" max="9471" width="9.140625" style="68"/>
    <col min="9472" max="9472" width="3.7109375" style="68" customWidth="1"/>
    <col min="9473" max="9473" width="4" style="68" bestFit="1" customWidth="1"/>
    <col min="9474" max="9474" width="14.5703125" style="68" customWidth="1"/>
    <col min="9475" max="9475" width="11.140625" style="68" customWidth="1"/>
    <col min="9476" max="9476" width="8.7109375" style="68" customWidth="1"/>
    <col min="9477" max="9477" width="9.7109375" style="68" bestFit="1" customWidth="1"/>
    <col min="9478" max="9478" width="10.85546875" style="68" customWidth="1"/>
    <col min="9479" max="9479" width="10.42578125" style="68" customWidth="1"/>
    <col min="9480" max="9480" width="9.7109375" style="68" bestFit="1" customWidth="1"/>
    <col min="9481" max="9483" width="9.28515625" style="68" bestFit="1" customWidth="1"/>
    <col min="9484" max="9484" width="10.7109375" style="68" bestFit="1" customWidth="1"/>
    <col min="9485" max="9485" width="11.28515625" style="68" customWidth="1"/>
    <col min="9486" max="9486" width="12.5703125" style="68" customWidth="1"/>
    <col min="9487" max="9487" width="13.5703125" style="68" customWidth="1"/>
    <col min="9488" max="9488" width="13" style="68" customWidth="1"/>
    <col min="9489" max="9727" width="9.140625" style="68"/>
    <col min="9728" max="9728" width="3.7109375" style="68" customWidth="1"/>
    <col min="9729" max="9729" width="4" style="68" bestFit="1" customWidth="1"/>
    <col min="9730" max="9730" width="14.5703125" style="68" customWidth="1"/>
    <col min="9731" max="9731" width="11.140625" style="68" customWidth="1"/>
    <col min="9732" max="9732" width="8.7109375" style="68" customWidth="1"/>
    <col min="9733" max="9733" width="9.7109375" style="68" bestFit="1" customWidth="1"/>
    <col min="9734" max="9734" width="10.85546875" style="68" customWidth="1"/>
    <col min="9735" max="9735" width="10.42578125" style="68" customWidth="1"/>
    <col min="9736" max="9736" width="9.7109375" style="68" bestFit="1" customWidth="1"/>
    <col min="9737" max="9739" width="9.28515625" style="68" bestFit="1" customWidth="1"/>
    <col min="9740" max="9740" width="10.7109375" style="68" bestFit="1" customWidth="1"/>
    <col min="9741" max="9741" width="11.28515625" style="68" customWidth="1"/>
    <col min="9742" max="9742" width="12.5703125" style="68" customWidth="1"/>
    <col min="9743" max="9743" width="13.5703125" style="68" customWidth="1"/>
    <col min="9744" max="9744" width="13" style="68" customWidth="1"/>
    <col min="9745" max="9983" width="9.140625" style="68"/>
    <col min="9984" max="9984" width="3.7109375" style="68" customWidth="1"/>
    <col min="9985" max="9985" width="4" style="68" bestFit="1" customWidth="1"/>
    <col min="9986" max="9986" width="14.5703125" style="68" customWidth="1"/>
    <col min="9987" max="9987" width="11.140625" style="68" customWidth="1"/>
    <col min="9988" max="9988" width="8.7109375" style="68" customWidth="1"/>
    <col min="9989" max="9989" width="9.7109375" style="68" bestFit="1" customWidth="1"/>
    <col min="9990" max="9990" width="10.85546875" style="68" customWidth="1"/>
    <col min="9991" max="9991" width="10.42578125" style="68" customWidth="1"/>
    <col min="9992" max="9992" width="9.7109375" style="68" bestFit="1" customWidth="1"/>
    <col min="9993" max="9995" width="9.28515625" style="68" bestFit="1" customWidth="1"/>
    <col min="9996" max="9996" width="10.7109375" style="68" bestFit="1" customWidth="1"/>
    <col min="9997" max="9997" width="11.28515625" style="68" customWidth="1"/>
    <col min="9998" max="9998" width="12.5703125" style="68" customWidth="1"/>
    <col min="9999" max="9999" width="13.5703125" style="68" customWidth="1"/>
    <col min="10000" max="10000" width="13" style="68" customWidth="1"/>
    <col min="10001" max="10239" width="9.140625" style="68"/>
    <col min="10240" max="10240" width="3.7109375" style="68" customWidth="1"/>
    <col min="10241" max="10241" width="4" style="68" bestFit="1" customWidth="1"/>
    <col min="10242" max="10242" width="14.5703125" style="68" customWidth="1"/>
    <col min="10243" max="10243" width="11.140625" style="68" customWidth="1"/>
    <col min="10244" max="10244" width="8.7109375" style="68" customWidth="1"/>
    <col min="10245" max="10245" width="9.7109375" style="68" bestFit="1" customWidth="1"/>
    <col min="10246" max="10246" width="10.85546875" style="68" customWidth="1"/>
    <col min="10247" max="10247" width="10.42578125" style="68" customWidth="1"/>
    <col min="10248" max="10248" width="9.7109375" style="68" bestFit="1" customWidth="1"/>
    <col min="10249" max="10251" width="9.28515625" style="68" bestFit="1" customWidth="1"/>
    <col min="10252" max="10252" width="10.7109375" style="68" bestFit="1" customWidth="1"/>
    <col min="10253" max="10253" width="11.28515625" style="68" customWidth="1"/>
    <col min="10254" max="10254" width="12.5703125" style="68" customWidth="1"/>
    <col min="10255" max="10255" width="13.5703125" style="68" customWidth="1"/>
    <col min="10256" max="10256" width="13" style="68" customWidth="1"/>
    <col min="10257" max="10495" width="9.140625" style="68"/>
    <col min="10496" max="10496" width="3.7109375" style="68" customWidth="1"/>
    <col min="10497" max="10497" width="4" style="68" bestFit="1" customWidth="1"/>
    <col min="10498" max="10498" width="14.5703125" style="68" customWidth="1"/>
    <col min="10499" max="10499" width="11.140625" style="68" customWidth="1"/>
    <col min="10500" max="10500" width="8.7109375" style="68" customWidth="1"/>
    <col min="10501" max="10501" width="9.7109375" style="68" bestFit="1" customWidth="1"/>
    <col min="10502" max="10502" width="10.85546875" style="68" customWidth="1"/>
    <col min="10503" max="10503" width="10.42578125" style="68" customWidth="1"/>
    <col min="10504" max="10504" width="9.7109375" style="68" bestFit="1" customWidth="1"/>
    <col min="10505" max="10507" width="9.28515625" style="68" bestFit="1" customWidth="1"/>
    <col min="10508" max="10508" width="10.7109375" style="68" bestFit="1" customWidth="1"/>
    <col min="10509" max="10509" width="11.28515625" style="68" customWidth="1"/>
    <col min="10510" max="10510" width="12.5703125" style="68" customWidth="1"/>
    <col min="10511" max="10511" width="13.5703125" style="68" customWidth="1"/>
    <col min="10512" max="10512" width="13" style="68" customWidth="1"/>
    <col min="10513" max="10751" width="9.140625" style="68"/>
    <col min="10752" max="10752" width="3.7109375" style="68" customWidth="1"/>
    <col min="10753" max="10753" width="4" style="68" bestFit="1" customWidth="1"/>
    <col min="10754" max="10754" width="14.5703125" style="68" customWidth="1"/>
    <col min="10755" max="10755" width="11.140625" style="68" customWidth="1"/>
    <col min="10756" max="10756" width="8.7109375" style="68" customWidth="1"/>
    <col min="10757" max="10757" width="9.7109375" style="68" bestFit="1" customWidth="1"/>
    <col min="10758" max="10758" width="10.85546875" style="68" customWidth="1"/>
    <col min="10759" max="10759" width="10.42578125" style="68" customWidth="1"/>
    <col min="10760" max="10760" width="9.7109375" style="68" bestFit="1" customWidth="1"/>
    <col min="10761" max="10763" width="9.28515625" style="68" bestFit="1" customWidth="1"/>
    <col min="10764" max="10764" width="10.7109375" style="68" bestFit="1" customWidth="1"/>
    <col min="10765" max="10765" width="11.28515625" style="68" customWidth="1"/>
    <col min="10766" max="10766" width="12.5703125" style="68" customWidth="1"/>
    <col min="10767" max="10767" width="13.5703125" style="68" customWidth="1"/>
    <col min="10768" max="10768" width="13" style="68" customWidth="1"/>
    <col min="10769" max="11007" width="9.140625" style="68"/>
    <col min="11008" max="11008" width="3.7109375" style="68" customWidth="1"/>
    <col min="11009" max="11009" width="4" style="68" bestFit="1" customWidth="1"/>
    <col min="11010" max="11010" width="14.5703125" style="68" customWidth="1"/>
    <col min="11011" max="11011" width="11.140625" style="68" customWidth="1"/>
    <col min="11012" max="11012" width="8.7109375" style="68" customWidth="1"/>
    <col min="11013" max="11013" width="9.7109375" style="68" bestFit="1" customWidth="1"/>
    <col min="11014" max="11014" width="10.85546875" style="68" customWidth="1"/>
    <col min="11015" max="11015" width="10.42578125" style="68" customWidth="1"/>
    <col min="11016" max="11016" width="9.7109375" style="68" bestFit="1" customWidth="1"/>
    <col min="11017" max="11019" width="9.28515625" style="68" bestFit="1" customWidth="1"/>
    <col min="11020" max="11020" width="10.7109375" style="68" bestFit="1" customWidth="1"/>
    <col min="11021" max="11021" width="11.28515625" style="68" customWidth="1"/>
    <col min="11022" max="11022" width="12.5703125" style="68" customWidth="1"/>
    <col min="11023" max="11023" width="13.5703125" style="68" customWidth="1"/>
    <col min="11024" max="11024" width="13" style="68" customWidth="1"/>
    <col min="11025" max="11263" width="9.140625" style="68"/>
    <col min="11264" max="11264" width="3.7109375" style="68" customWidth="1"/>
    <col min="11265" max="11265" width="4" style="68" bestFit="1" customWidth="1"/>
    <col min="11266" max="11266" width="14.5703125" style="68" customWidth="1"/>
    <col min="11267" max="11267" width="11.140625" style="68" customWidth="1"/>
    <col min="11268" max="11268" width="8.7109375" style="68" customWidth="1"/>
    <col min="11269" max="11269" width="9.7109375" style="68" bestFit="1" customWidth="1"/>
    <col min="11270" max="11270" width="10.85546875" style="68" customWidth="1"/>
    <col min="11271" max="11271" width="10.42578125" style="68" customWidth="1"/>
    <col min="11272" max="11272" width="9.7109375" style="68" bestFit="1" customWidth="1"/>
    <col min="11273" max="11275" width="9.28515625" style="68" bestFit="1" customWidth="1"/>
    <col min="11276" max="11276" width="10.7109375" style="68" bestFit="1" customWidth="1"/>
    <col min="11277" max="11277" width="11.28515625" style="68" customWidth="1"/>
    <col min="11278" max="11278" width="12.5703125" style="68" customWidth="1"/>
    <col min="11279" max="11279" width="13.5703125" style="68" customWidth="1"/>
    <col min="11280" max="11280" width="13" style="68" customWidth="1"/>
    <col min="11281" max="11519" width="9.140625" style="68"/>
    <col min="11520" max="11520" width="3.7109375" style="68" customWidth="1"/>
    <col min="11521" max="11521" width="4" style="68" bestFit="1" customWidth="1"/>
    <col min="11522" max="11522" width="14.5703125" style="68" customWidth="1"/>
    <col min="11523" max="11523" width="11.140625" style="68" customWidth="1"/>
    <col min="11524" max="11524" width="8.7109375" style="68" customWidth="1"/>
    <col min="11525" max="11525" width="9.7109375" style="68" bestFit="1" customWidth="1"/>
    <col min="11526" max="11526" width="10.85546875" style="68" customWidth="1"/>
    <col min="11527" max="11527" width="10.42578125" style="68" customWidth="1"/>
    <col min="11528" max="11528" width="9.7109375" style="68" bestFit="1" customWidth="1"/>
    <col min="11529" max="11531" width="9.28515625" style="68" bestFit="1" customWidth="1"/>
    <col min="11532" max="11532" width="10.7109375" style="68" bestFit="1" customWidth="1"/>
    <col min="11533" max="11533" width="11.28515625" style="68" customWidth="1"/>
    <col min="11534" max="11534" width="12.5703125" style="68" customWidth="1"/>
    <col min="11535" max="11535" width="13.5703125" style="68" customWidth="1"/>
    <col min="11536" max="11536" width="13" style="68" customWidth="1"/>
    <col min="11537" max="11775" width="9.140625" style="68"/>
    <col min="11776" max="11776" width="3.7109375" style="68" customWidth="1"/>
    <col min="11777" max="11777" width="4" style="68" bestFit="1" customWidth="1"/>
    <col min="11778" max="11778" width="14.5703125" style="68" customWidth="1"/>
    <col min="11779" max="11779" width="11.140625" style="68" customWidth="1"/>
    <col min="11780" max="11780" width="8.7109375" style="68" customWidth="1"/>
    <col min="11781" max="11781" width="9.7109375" style="68" bestFit="1" customWidth="1"/>
    <col min="11782" max="11782" width="10.85546875" style="68" customWidth="1"/>
    <col min="11783" max="11783" width="10.42578125" style="68" customWidth="1"/>
    <col min="11784" max="11784" width="9.7109375" style="68" bestFit="1" customWidth="1"/>
    <col min="11785" max="11787" width="9.28515625" style="68" bestFit="1" customWidth="1"/>
    <col min="11788" max="11788" width="10.7109375" style="68" bestFit="1" customWidth="1"/>
    <col min="11789" max="11789" width="11.28515625" style="68" customWidth="1"/>
    <col min="11790" max="11790" width="12.5703125" style="68" customWidth="1"/>
    <col min="11791" max="11791" width="13.5703125" style="68" customWidth="1"/>
    <col min="11792" max="11792" width="13" style="68" customWidth="1"/>
    <col min="11793" max="12031" width="9.140625" style="68"/>
    <col min="12032" max="12032" width="3.7109375" style="68" customWidth="1"/>
    <col min="12033" max="12033" width="4" style="68" bestFit="1" customWidth="1"/>
    <col min="12034" max="12034" width="14.5703125" style="68" customWidth="1"/>
    <col min="12035" max="12035" width="11.140625" style="68" customWidth="1"/>
    <col min="12036" max="12036" width="8.7109375" style="68" customWidth="1"/>
    <col min="12037" max="12037" width="9.7109375" style="68" bestFit="1" customWidth="1"/>
    <col min="12038" max="12038" width="10.85546875" style="68" customWidth="1"/>
    <col min="12039" max="12039" width="10.42578125" style="68" customWidth="1"/>
    <col min="12040" max="12040" width="9.7109375" style="68" bestFit="1" customWidth="1"/>
    <col min="12041" max="12043" width="9.28515625" style="68" bestFit="1" customWidth="1"/>
    <col min="12044" max="12044" width="10.7109375" style="68" bestFit="1" customWidth="1"/>
    <col min="12045" max="12045" width="11.28515625" style="68" customWidth="1"/>
    <col min="12046" max="12046" width="12.5703125" style="68" customWidth="1"/>
    <col min="12047" max="12047" width="13.5703125" style="68" customWidth="1"/>
    <col min="12048" max="12048" width="13" style="68" customWidth="1"/>
    <col min="12049" max="12287" width="9.140625" style="68"/>
    <col min="12288" max="12288" width="3.7109375" style="68" customWidth="1"/>
    <col min="12289" max="12289" width="4" style="68" bestFit="1" customWidth="1"/>
    <col min="12290" max="12290" width="14.5703125" style="68" customWidth="1"/>
    <col min="12291" max="12291" width="11.140625" style="68" customWidth="1"/>
    <col min="12292" max="12292" width="8.7109375" style="68" customWidth="1"/>
    <col min="12293" max="12293" width="9.7109375" style="68" bestFit="1" customWidth="1"/>
    <col min="12294" max="12294" width="10.85546875" style="68" customWidth="1"/>
    <col min="12295" max="12295" width="10.42578125" style="68" customWidth="1"/>
    <col min="12296" max="12296" width="9.7109375" style="68" bestFit="1" customWidth="1"/>
    <col min="12297" max="12299" width="9.28515625" style="68" bestFit="1" customWidth="1"/>
    <col min="12300" max="12300" width="10.7109375" style="68" bestFit="1" customWidth="1"/>
    <col min="12301" max="12301" width="11.28515625" style="68" customWidth="1"/>
    <col min="12302" max="12302" width="12.5703125" style="68" customWidth="1"/>
    <col min="12303" max="12303" width="13.5703125" style="68" customWidth="1"/>
    <col min="12304" max="12304" width="13" style="68" customWidth="1"/>
    <col min="12305" max="12543" width="9.140625" style="68"/>
    <col min="12544" max="12544" width="3.7109375" style="68" customWidth="1"/>
    <col min="12545" max="12545" width="4" style="68" bestFit="1" customWidth="1"/>
    <col min="12546" max="12546" width="14.5703125" style="68" customWidth="1"/>
    <col min="12547" max="12547" width="11.140625" style="68" customWidth="1"/>
    <col min="12548" max="12548" width="8.7109375" style="68" customWidth="1"/>
    <col min="12549" max="12549" width="9.7109375" style="68" bestFit="1" customWidth="1"/>
    <col min="12550" max="12550" width="10.85546875" style="68" customWidth="1"/>
    <col min="12551" max="12551" width="10.42578125" style="68" customWidth="1"/>
    <col min="12552" max="12552" width="9.7109375" style="68" bestFit="1" customWidth="1"/>
    <col min="12553" max="12555" width="9.28515625" style="68" bestFit="1" customWidth="1"/>
    <col min="12556" max="12556" width="10.7109375" style="68" bestFit="1" customWidth="1"/>
    <col min="12557" max="12557" width="11.28515625" style="68" customWidth="1"/>
    <col min="12558" max="12558" width="12.5703125" style="68" customWidth="1"/>
    <col min="12559" max="12559" width="13.5703125" style="68" customWidth="1"/>
    <col min="12560" max="12560" width="13" style="68" customWidth="1"/>
    <col min="12561" max="12799" width="9.140625" style="68"/>
    <col min="12800" max="12800" width="3.7109375" style="68" customWidth="1"/>
    <col min="12801" max="12801" width="4" style="68" bestFit="1" customWidth="1"/>
    <col min="12802" max="12802" width="14.5703125" style="68" customWidth="1"/>
    <col min="12803" max="12803" width="11.140625" style="68" customWidth="1"/>
    <col min="12804" max="12804" width="8.7109375" style="68" customWidth="1"/>
    <col min="12805" max="12805" width="9.7109375" style="68" bestFit="1" customWidth="1"/>
    <col min="12806" max="12806" width="10.85546875" style="68" customWidth="1"/>
    <col min="12807" max="12807" width="10.42578125" style="68" customWidth="1"/>
    <col min="12808" max="12808" width="9.7109375" style="68" bestFit="1" customWidth="1"/>
    <col min="12809" max="12811" width="9.28515625" style="68" bestFit="1" customWidth="1"/>
    <col min="12812" max="12812" width="10.7109375" style="68" bestFit="1" customWidth="1"/>
    <col min="12813" max="12813" width="11.28515625" style="68" customWidth="1"/>
    <col min="12814" max="12814" width="12.5703125" style="68" customWidth="1"/>
    <col min="12815" max="12815" width="13.5703125" style="68" customWidth="1"/>
    <col min="12816" max="12816" width="13" style="68" customWidth="1"/>
    <col min="12817" max="13055" width="9.140625" style="68"/>
    <col min="13056" max="13056" width="3.7109375" style="68" customWidth="1"/>
    <col min="13057" max="13057" width="4" style="68" bestFit="1" customWidth="1"/>
    <col min="13058" max="13058" width="14.5703125" style="68" customWidth="1"/>
    <col min="13059" max="13059" width="11.140625" style="68" customWidth="1"/>
    <col min="13060" max="13060" width="8.7109375" style="68" customWidth="1"/>
    <col min="13061" max="13061" width="9.7109375" style="68" bestFit="1" customWidth="1"/>
    <col min="13062" max="13062" width="10.85546875" style="68" customWidth="1"/>
    <col min="13063" max="13063" width="10.42578125" style="68" customWidth="1"/>
    <col min="13064" max="13064" width="9.7109375" style="68" bestFit="1" customWidth="1"/>
    <col min="13065" max="13067" width="9.28515625" style="68" bestFit="1" customWidth="1"/>
    <col min="13068" max="13068" width="10.7109375" style="68" bestFit="1" customWidth="1"/>
    <col min="13069" max="13069" width="11.28515625" style="68" customWidth="1"/>
    <col min="13070" max="13070" width="12.5703125" style="68" customWidth="1"/>
    <col min="13071" max="13071" width="13.5703125" style="68" customWidth="1"/>
    <col min="13072" max="13072" width="13" style="68" customWidth="1"/>
    <col min="13073" max="13311" width="9.140625" style="68"/>
    <col min="13312" max="13312" width="3.7109375" style="68" customWidth="1"/>
    <col min="13313" max="13313" width="4" style="68" bestFit="1" customWidth="1"/>
    <col min="13314" max="13314" width="14.5703125" style="68" customWidth="1"/>
    <col min="13315" max="13315" width="11.140625" style="68" customWidth="1"/>
    <col min="13316" max="13316" width="8.7109375" style="68" customWidth="1"/>
    <col min="13317" max="13317" width="9.7109375" style="68" bestFit="1" customWidth="1"/>
    <col min="13318" max="13318" width="10.85546875" style="68" customWidth="1"/>
    <col min="13319" max="13319" width="10.42578125" style="68" customWidth="1"/>
    <col min="13320" max="13320" width="9.7109375" style="68" bestFit="1" customWidth="1"/>
    <col min="13321" max="13323" width="9.28515625" style="68" bestFit="1" customWidth="1"/>
    <col min="13324" max="13324" width="10.7109375" style="68" bestFit="1" customWidth="1"/>
    <col min="13325" max="13325" width="11.28515625" style="68" customWidth="1"/>
    <col min="13326" max="13326" width="12.5703125" style="68" customWidth="1"/>
    <col min="13327" max="13327" width="13.5703125" style="68" customWidth="1"/>
    <col min="13328" max="13328" width="13" style="68" customWidth="1"/>
    <col min="13329" max="13567" width="9.140625" style="68"/>
    <col min="13568" max="13568" width="3.7109375" style="68" customWidth="1"/>
    <col min="13569" max="13569" width="4" style="68" bestFit="1" customWidth="1"/>
    <col min="13570" max="13570" width="14.5703125" style="68" customWidth="1"/>
    <col min="13571" max="13571" width="11.140625" style="68" customWidth="1"/>
    <col min="13572" max="13572" width="8.7109375" style="68" customWidth="1"/>
    <col min="13573" max="13573" width="9.7109375" style="68" bestFit="1" customWidth="1"/>
    <col min="13574" max="13574" width="10.85546875" style="68" customWidth="1"/>
    <col min="13575" max="13575" width="10.42578125" style="68" customWidth="1"/>
    <col min="13576" max="13576" width="9.7109375" style="68" bestFit="1" customWidth="1"/>
    <col min="13577" max="13579" width="9.28515625" style="68" bestFit="1" customWidth="1"/>
    <col min="13580" max="13580" width="10.7109375" style="68" bestFit="1" customWidth="1"/>
    <col min="13581" max="13581" width="11.28515625" style="68" customWidth="1"/>
    <col min="13582" max="13582" width="12.5703125" style="68" customWidth="1"/>
    <col min="13583" max="13583" width="13.5703125" style="68" customWidth="1"/>
    <col min="13584" max="13584" width="13" style="68" customWidth="1"/>
    <col min="13585" max="13823" width="9.140625" style="68"/>
    <col min="13824" max="13824" width="3.7109375" style="68" customWidth="1"/>
    <col min="13825" max="13825" width="4" style="68" bestFit="1" customWidth="1"/>
    <col min="13826" max="13826" width="14.5703125" style="68" customWidth="1"/>
    <col min="13827" max="13827" width="11.140625" style="68" customWidth="1"/>
    <col min="13828" max="13828" width="8.7109375" style="68" customWidth="1"/>
    <col min="13829" max="13829" width="9.7109375" style="68" bestFit="1" customWidth="1"/>
    <col min="13830" max="13830" width="10.85546875" style="68" customWidth="1"/>
    <col min="13831" max="13831" width="10.42578125" style="68" customWidth="1"/>
    <col min="13832" max="13832" width="9.7109375" style="68" bestFit="1" customWidth="1"/>
    <col min="13833" max="13835" width="9.28515625" style="68" bestFit="1" customWidth="1"/>
    <col min="13836" max="13836" width="10.7109375" style="68" bestFit="1" customWidth="1"/>
    <col min="13837" max="13837" width="11.28515625" style="68" customWidth="1"/>
    <col min="13838" max="13838" width="12.5703125" style="68" customWidth="1"/>
    <col min="13839" max="13839" width="13.5703125" style="68" customWidth="1"/>
    <col min="13840" max="13840" width="13" style="68" customWidth="1"/>
    <col min="13841" max="14079" width="9.140625" style="68"/>
    <col min="14080" max="14080" width="3.7109375" style="68" customWidth="1"/>
    <col min="14081" max="14081" width="4" style="68" bestFit="1" customWidth="1"/>
    <col min="14082" max="14082" width="14.5703125" style="68" customWidth="1"/>
    <col min="14083" max="14083" width="11.140625" style="68" customWidth="1"/>
    <col min="14084" max="14084" width="8.7109375" style="68" customWidth="1"/>
    <col min="14085" max="14085" width="9.7109375" style="68" bestFit="1" customWidth="1"/>
    <col min="14086" max="14086" width="10.85546875" style="68" customWidth="1"/>
    <col min="14087" max="14087" width="10.42578125" style="68" customWidth="1"/>
    <col min="14088" max="14088" width="9.7109375" style="68" bestFit="1" customWidth="1"/>
    <col min="14089" max="14091" width="9.28515625" style="68" bestFit="1" customWidth="1"/>
    <col min="14092" max="14092" width="10.7109375" style="68" bestFit="1" customWidth="1"/>
    <col min="14093" max="14093" width="11.28515625" style="68" customWidth="1"/>
    <col min="14094" max="14094" width="12.5703125" style="68" customWidth="1"/>
    <col min="14095" max="14095" width="13.5703125" style="68" customWidth="1"/>
    <col min="14096" max="14096" width="13" style="68" customWidth="1"/>
    <col min="14097" max="14335" width="9.140625" style="68"/>
    <col min="14336" max="14336" width="3.7109375" style="68" customWidth="1"/>
    <col min="14337" max="14337" width="4" style="68" bestFit="1" customWidth="1"/>
    <col min="14338" max="14338" width="14.5703125" style="68" customWidth="1"/>
    <col min="14339" max="14339" width="11.140625" style="68" customWidth="1"/>
    <col min="14340" max="14340" width="8.7109375" style="68" customWidth="1"/>
    <col min="14341" max="14341" width="9.7109375" style="68" bestFit="1" customWidth="1"/>
    <col min="14342" max="14342" width="10.85546875" style="68" customWidth="1"/>
    <col min="14343" max="14343" width="10.42578125" style="68" customWidth="1"/>
    <col min="14344" max="14344" width="9.7109375" style="68" bestFit="1" customWidth="1"/>
    <col min="14345" max="14347" width="9.28515625" style="68" bestFit="1" customWidth="1"/>
    <col min="14348" max="14348" width="10.7109375" style="68" bestFit="1" customWidth="1"/>
    <col min="14349" max="14349" width="11.28515625" style="68" customWidth="1"/>
    <col min="14350" max="14350" width="12.5703125" style="68" customWidth="1"/>
    <col min="14351" max="14351" width="13.5703125" style="68" customWidth="1"/>
    <col min="14352" max="14352" width="13" style="68" customWidth="1"/>
    <col min="14353" max="14591" width="9.140625" style="68"/>
    <col min="14592" max="14592" width="3.7109375" style="68" customWidth="1"/>
    <col min="14593" max="14593" width="4" style="68" bestFit="1" customWidth="1"/>
    <col min="14594" max="14594" width="14.5703125" style="68" customWidth="1"/>
    <col min="14595" max="14595" width="11.140625" style="68" customWidth="1"/>
    <col min="14596" max="14596" width="8.7109375" style="68" customWidth="1"/>
    <col min="14597" max="14597" width="9.7109375" style="68" bestFit="1" customWidth="1"/>
    <col min="14598" max="14598" width="10.85546875" style="68" customWidth="1"/>
    <col min="14599" max="14599" width="10.42578125" style="68" customWidth="1"/>
    <col min="14600" max="14600" width="9.7109375" style="68" bestFit="1" customWidth="1"/>
    <col min="14601" max="14603" width="9.28515625" style="68" bestFit="1" customWidth="1"/>
    <col min="14604" max="14604" width="10.7109375" style="68" bestFit="1" customWidth="1"/>
    <col min="14605" max="14605" width="11.28515625" style="68" customWidth="1"/>
    <col min="14606" max="14606" width="12.5703125" style="68" customWidth="1"/>
    <col min="14607" max="14607" width="13.5703125" style="68" customWidth="1"/>
    <col min="14608" max="14608" width="13" style="68" customWidth="1"/>
    <col min="14609" max="14847" width="9.140625" style="68"/>
    <col min="14848" max="14848" width="3.7109375" style="68" customWidth="1"/>
    <col min="14849" max="14849" width="4" style="68" bestFit="1" customWidth="1"/>
    <col min="14850" max="14850" width="14.5703125" style="68" customWidth="1"/>
    <col min="14851" max="14851" width="11.140625" style="68" customWidth="1"/>
    <col min="14852" max="14852" width="8.7109375" style="68" customWidth="1"/>
    <col min="14853" max="14853" width="9.7109375" style="68" bestFit="1" customWidth="1"/>
    <col min="14854" max="14854" width="10.85546875" style="68" customWidth="1"/>
    <col min="14855" max="14855" width="10.42578125" style="68" customWidth="1"/>
    <col min="14856" max="14856" width="9.7109375" style="68" bestFit="1" customWidth="1"/>
    <col min="14857" max="14859" width="9.28515625" style="68" bestFit="1" customWidth="1"/>
    <col min="14860" max="14860" width="10.7109375" style="68" bestFit="1" customWidth="1"/>
    <col min="14861" max="14861" width="11.28515625" style="68" customWidth="1"/>
    <col min="14862" max="14862" width="12.5703125" style="68" customWidth="1"/>
    <col min="14863" max="14863" width="13.5703125" style="68" customWidth="1"/>
    <col min="14864" max="14864" width="13" style="68" customWidth="1"/>
    <col min="14865" max="15103" width="9.140625" style="68"/>
    <col min="15104" max="15104" width="3.7109375" style="68" customWidth="1"/>
    <col min="15105" max="15105" width="4" style="68" bestFit="1" customWidth="1"/>
    <col min="15106" max="15106" width="14.5703125" style="68" customWidth="1"/>
    <col min="15107" max="15107" width="11.140625" style="68" customWidth="1"/>
    <col min="15108" max="15108" width="8.7109375" style="68" customWidth="1"/>
    <col min="15109" max="15109" width="9.7109375" style="68" bestFit="1" customWidth="1"/>
    <col min="15110" max="15110" width="10.85546875" style="68" customWidth="1"/>
    <col min="15111" max="15111" width="10.42578125" style="68" customWidth="1"/>
    <col min="15112" max="15112" width="9.7109375" style="68" bestFit="1" customWidth="1"/>
    <col min="15113" max="15115" width="9.28515625" style="68" bestFit="1" customWidth="1"/>
    <col min="15116" max="15116" width="10.7109375" style="68" bestFit="1" customWidth="1"/>
    <col min="15117" max="15117" width="11.28515625" style="68" customWidth="1"/>
    <col min="15118" max="15118" width="12.5703125" style="68" customWidth="1"/>
    <col min="15119" max="15119" width="13.5703125" style="68" customWidth="1"/>
    <col min="15120" max="15120" width="13" style="68" customWidth="1"/>
    <col min="15121" max="15359" width="9.140625" style="68"/>
    <col min="15360" max="15360" width="3.7109375" style="68" customWidth="1"/>
    <col min="15361" max="15361" width="4" style="68" bestFit="1" customWidth="1"/>
    <col min="15362" max="15362" width="14.5703125" style="68" customWidth="1"/>
    <col min="15363" max="15363" width="11.140625" style="68" customWidth="1"/>
    <col min="15364" max="15364" width="8.7109375" style="68" customWidth="1"/>
    <col min="15365" max="15365" width="9.7109375" style="68" bestFit="1" customWidth="1"/>
    <col min="15366" max="15366" width="10.85546875" style="68" customWidth="1"/>
    <col min="15367" max="15367" width="10.42578125" style="68" customWidth="1"/>
    <col min="15368" max="15368" width="9.7109375" style="68" bestFit="1" customWidth="1"/>
    <col min="15369" max="15371" width="9.28515625" style="68" bestFit="1" customWidth="1"/>
    <col min="15372" max="15372" width="10.7109375" style="68" bestFit="1" customWidth="1"/>
    <col min="15373" max="15373" width="11.28515625" style="68" customWidth="1"/>
    <col min="15374" max="15374" width="12.5703125" style="68" customWidth="1"/>
    <col min="15375" max="15375" width="13.5703125" style="68" customWidth="1"/>
    <col min="15376" max="15376" width="13" style="68" customWidth="1"/>
    <col min="15377" max="15615" width="9.140625" style="68"/>
    <col min="15616" max="15616" width="3.7109375" style="68" customWidth="1"/>
    <col min="15617" max="15617" width="4" style="68" bestFit="1" customWidth="1"/>
    <col min="15618" max="15618" width="14.5703125" style="68" customWidth="1"/>
    <col min="15619" max="15619" width="11.140625" style="68" customWidth="1"/>
    <col min="15620" max="15620" width="8.7109375" style="68" customWidth="1"/>
    <col min="15621" max="15621" width="9.7109375" style="68" bestFit="1" customWidth="1"/>
    <col min="15622" max="15622" width="10.85546875" style="68" customWidth="1"/>
    <col min="15623" max="15623" width="10.42578125" style="68" customWidth="1"/>
    <col min="15624" max="15624" width="9.7109375" style="68" bestFit="1" customWidth="1"/>
    <col min="15625" max="15627" width="9.28515625" style="68" bestFit="1" customWidth="1"/>
    <col min="15628" max="15628" width="10.7109375" style="68" bestFit="1" customWidth="1"/>
    <col min="15629" max="15629" width="11.28515625" style="68" customWidth="1"/>
    <col min="15630" max="15630" width="12.5703125" style="68" customWidth="1"/>
    <col min="15631" max="15631" width="13.5703125" style="68" customWidth="1"/>
    <col min="15632" max="15632" width="13" style="68" customWidth="1"/>
    <col min="15633" max="15871" width="9.140625" style="68"/>
    <col min="15872" max="15872" width="3.7109375" style="68" customWidth="1"/>
    <col min="15873" max="15873" width="4" style="68" bestFit="1" customWidth="1"/>
    <col min="15874" max="15874" width="14.5703125" style="68" customWidth="1"/>
    <col min="15875" max="15875" width="11.140625" style="68" customWidth="1"/>
    <col min="15876" max="15876" width="8.7109375" style="68" customWidth="1"/>
    <col min="15877" max="15877" width="9.7109375" style="68" bestFit="1" customWidth="1"/>
    <col min="15878" max="15878" width="10.85546875" style="68" customWidth="1"/>
    <col min="15879" max="15879" width="10.42578125" style="68" customWidth="1"/>
    <col min="15880" max="15880" width="9.7109375" style="68" bestFit="1" customWidth="1"/>
    <col min="15881" max="15883" width="9.28515625" style="68" bestFit="1" customWidth="1"/>
    <col min="15884" max="15884" width="10.7109375" style="68" bestFit="1" customWidth="1"/>
    <col min="15885" max="15885" width="11.28515625" style="68" customWidth="1"/>
    <col min="15886" max="15886" width="12.5703125" style="68" customWidth="1"/>
    <col min="15887" max="15887" width="13.5703125" style="68" customWidth="1"/>
    <col min="15888" max="15888" width="13" style="68" customWidth="1"/>
    <col min="15889" max="16127" width="9.140625" style="68"/>
    <col min="16128" max="16128" width="3.7109375" style="68" customWidth="1"/>
    <col min="16129" max="16129" width="4" style="68" bestFit="1" customWidth="1"/>
    <col min="16130" max="16130" width="14.5703125" style="68" customWidth="1"/>
    <col min="16131" max="16131" width="11.140625" style="68" customWidth="1"/>
    <col min="16132" max="16132" width="8.7109375" style="68" customWidth="1"/>
    <col min="16133" max="16133" width="9.7109375" style="68" bestFit="1" customWidth="1"/>
    <col min="16134" max="16134" width="10.85546875" style="68" customWidth="1"/>
    <col min="16135" max="16135" width="10.42578125" style="68" customWidth="1"/>
    <col min="16136" max="16136" width="9.7109375" style="68" bestFit="1" customWidth="1"/>
    <col min="16137" max="16139" width="9.28515625" style="68" bestFit="1" customWidth="1"/>
    <col min="16140" max="16140" width="10.7109375" style="68" bestFit="1" customWidth="1"/>
    <col min="16141" max="16141" width="11.28515625" style="68" customWidth="1"/>
    <col min="16142" max="16142" width="12.5703125" style="68" customWidth="1"/>
    <col min="16143" max="16143" width="13.5703125" style="68" customWidth="1"/>
    <col min="16144" max="16144" width="13" style="68" customWidth="1"/>
    <col min="16145" max="16384" width="9.140625" style="68"/>
  </cols>
  <sheetData>
    <row r="2" spans="2:20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0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0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340</v>
      </c>
      <c r="R4" s="67"/>
      <c r="S4" s="67"/>
    </row>
    <row r="5" spans="2:20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0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0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0" ht="14.2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T8" s="68" t="s">
        <v>262</v>
      </c>
    </row>
    <row r="9" spans="2:20">
      <c r="B9" s="199">
        <v>1</v>
      </c>
      <c r="C9" s="501" t="s">
        <v>263</v>
      </c>
      <c r="D9" s="502"/>
      <c r="E9" s="74">
        <f>'22'!L9</f>
        <v>22692.890824660855</v>
      </c>
      <c r="F9" s="74">
        <f>Production2!D25</f>
        <v>2873.36</v>
      </c>
      <c r="G9" s="74">
        <f>F9+'22'!G9</f>
        <v>67245.800000000017</v>
      </c>
      <c r="H9" s="74">
        <f>F9+'22'!H9</f>
        <v>224113.08000000007</v>
      </c>
      <c r="I9" s="74">
        <f>Production2!E25</f>
        <v>0</v>
      </c>
      <c r="J9" s="74">
        <f>I9+'22'!J9</f>
        <v>51138</v>
      </c>
      <c r="K9" s="74">
        <f>I9+'22'!K9</f>
        <v>191169</v>
      </c>
      <c r="L9" s="74">
        <f>E9+F9-I9-I23</f>
        <v>25165.638602439602</v>
      </c>
      <c r="M9" s="74">
        <f>I9</f>
        <v>0</v>
      </c>
      <c r="N9" s="75" t="e">
        <f>(I9/I15)*100</f>
        <v>#DIV/0!</v>
      </c>
      <c r="O9" s="515"/>
      <c r="P9" s="285">
        <v>10</v>
      </c>
      <c r="Q9" s="261">
        <f>'Raw mill moisture content'!L35</f>
        <v>9.9999999999999908E-2</v>
      </c>
    </row>
    <row r="10" spans="2:20" ht="13.9" customHeight="1">
      <c r="B10" s="79">
        <v>2</v>
      </c>
      <c r="C10" s="516" t="s">
        <v>75</v>
      </c>
      <c r="D10" s="516"/>
      <c r="E10" s="77">
        <f>'Mines (2)'!L25</f>
        <v>3244.46</v>
      </c>
      <c r="F10" s="77">
        <f>'Mines (2)'!M25</f>
        <v>0</v>
      </c>
      <c r="G10" s="74">
        <f>F10+'22'!G10</f>
        <v>1408.0200000000002</v>
      </c>
      <c r="H10" s="74">
        <f>F10+'22'!H10</f>
        <v>6677.420000000001</v>
      </c>
      <c r="I10" s="77">
        <f>'Mines (2)'!N25</f>
        <v>0</v>
      </c>
      <c r="J10" s="74">
        <f>I10+'22'!J10</f>
        <v>1075</v>
      </c>
      <c r="K10" s="74">
        <f>I10+'22'!K10</f>
        <v>3557</v>
      </c>
      <c r="L10" s="77">
        <f t="shared" ref="L10:L18" si="0">E10+F10-I10</f>
        <v>3244.46</v>
      </c>
      <c r="M10" s="74">
        <f t="shared" ref="M10:M12" si="1">I10</f>
        <v>0</v>
      </c>
      <c r="N10" s="75" t="e">
        <f>(I10/I15)*100</f>
        <v>#DIV/0!</v>
      </c>
      <c r="O10" s="515"/>
      <c r="P10" s="53">
        <v>10</v>
      </c>
      <c r="Q10" s="262">
        <f>'Raw mill moisture content'!M35</f>
        <v>9.9999999999999964E-2</v>
      </c>
    </row>
    <row r="11" spans="2:20">
      <c r="B11" s="79">
        <v>3</v>
      </c>
      <c r="C11" s="516" t="s">
        <v>77</v>
      </c>
      <c r="D11" s="516"/>
      <c r="E11" s="77">
        <f>Clinker!C25</f>
        <v>1255.6400000000001</v>
      </c>
      <c r="F11" s="77">
        <f>Clinker!D25</f>
        <v>0</v>
      </c>
      <c r="G11" s="74">
        <f>F11+'22'!G11</f>
        <v>29.72</v>
      </c>
      <c r="H11" s="74">
        <f>F11+'22'!H11</f>
        <v>447</v>
      </c>
      <c r="I11" s="77">
        <f>Clinker!E25</f>
        <v>0</v>
      </c>
      <c r="J11" s="74">
        <f>I11+'22'!J11</f>
        <v>1422</v>
      </c>
      <c r="K11" s="74">
        <f>I11+'22'!K11</f>
        <v>4557</v>
      </c>
      <c r="L11" s="77">
        <f>E11+F11-I11</f>
        <v>1255.6400000000001</v>
      </c>
      <c r="M11" s="74">
        <f t="shared" si="1"/>
        <v>0</v>
      </c>
      <c r="N11" s="75" t="e">
        <f>(I11/I15)*100</f>
        <v>#DIV/0!</v>
      </c>
      <c r="O11" s="515"/>
      <c r="P11" s="53">
        <v>7</v>
      </c>
      <c r="Q11" s="262">
        <f>'Raw mill moisture content'!N35</f>
        <v>6.9999999999999854E-2</v>
      </c>
    </row>
    <row r="12" spans="2:20" ht="13.9" customHeight="1">
      <c r="B12" s="79">
        <v>4</v>
      </c>
      <c r="C12" s="516" t="s">
        <v>264</v>
      </c>
      <c r="D12" s="516"/>
      <c r="E12" s="77">
        <f>'Mines (2)'!Q25</f>
        <v>3.999999999996362E-2</v>
      </c>
      <c r="F12" s="77">
        <f>'Mines (2)'!R25</f>
        <v>0</v>
      </c>
      <c r="G12" s="74">
        <f>F12+'22'!G12</f>
        <v>0</v>
      </c>
      <c r="H12" s="74">
        <f>F12+'22'!H12</f>
        <v>137.76</v>
      </c>
      <c r="I12" s="77">
        <f>'Mines (2)'!S25</f>
        <v>0</v>
      </c>
      <c r="J12" s="74">
        <f>I12+'22'!J12</f>
        <v>0</v>
      </c>
      <c r="K12" s="74">
        <f>I12+'22'!K12</f>
        <v>738</v>
      </c>
      <c r="L12" s="77">
        <f t="shared" si="0"/>
        <v>3.999999999996362E-2</v>
      </c>
      <c r="M12" s="75">
        <f t="shared" si="1"/>
        <v>0</v>
      </c>
      <c r="N12" s="75" t="e">
        <f>(I12/I15)*100</f>
        <v>#DIV/0!</v>
      </c>
      <c r="O12" s="515"/>
      <c r="P12" s="53">
        <v>10</v>
      </c>
      <c r="Q12" s="262" t="e">
        <f>'Raw mill moisture content'!O35</f>
        <v>#DIV/0!</v>
      </c>
    </row>
    <row r="13" spans="2:20" ht="13.9" customHeight="1">
      <c r="B13" s="199">
        <v>5</v>
      </c>
      <c r="C13" s="501" t="s">
        <v>8</v>
      </c>
      <c r="D13" s="502"/>
      <c r="E13" s="77">
        <f>'Mines (2)'!AH25</f>
        <v>353.06</v>
      </c>
      <c r="F13" s="77">
        <f>'Mines (2)'!AI25</f>
        <v>30.38</v>
      </c>
      <c r="G13" s="74">
        <f>F13+'22'!G13</f>
        <v>121.08</v>
      </c>
      <c r="H13" s="74">
        <f>F13+'22'!H13</f>
        <v>121.08</v>
      </c>
      <c r="I13" s="77">
        <f>'Mines (2)'!AK25</f>
        <v>0</v>
      </c>
      <c r="J13" s="74">
        <f>I13+'22'!J13</f>
        <v>36</v>
      </c>
      <c r="K13" s="74">
        <f>I13+'22'!K13</f>
        <v>36</v>
      </c>
      <c r="L13" s="77">
        <f>E13+F13-I13</f>
        <v>383.44</v>
      </c>
      <c r="M13" s="74">
        <v>0</v>
      </c>
      <c r="N13" s="75" t="e">
        <f>(I13/I15)*100</f>
        <v>#DIV/0!</v>
      </c>
      <c r="O13" s="515"/>
      <c r="P13" s="95">
        <v>7</v>
      </c>
      <c r="Q13" s="262">
        <v>7.0000000000000007E-2</v>
      </c>
    </row>
    <row r="14" spans="2:20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F14+'22'!G14</f>
        <v>0</v>
      </c>
      <c r="H14" s="74">
        <f>F14+'22'!H14</f>
        <v>0</v>
      </c>
      <c r="I14" s="77">
        <v>0</v>
      </c>
      <c r="J14" s="74">
        <f>I14+'22'!J14</f>
        <v>0</v>
      </c>
      <c r="K14" s="74">
        <f>I14+'22'!K14</f>
        <v>0</v>
      </c>
      <c r="L14" s="77">
        <f t="shared" ref="L14" si="2">E14+F14-I14</f>
        <v>0</v>
      </c>
      <c r="M14" s="74">
        <v>0</v>
      </c>
      <c r="N14" s="75" t="e">
        <f>(I14/I15)*100</f>
        <v>#DIV/0!</v>
      </c>
      <c r="O14" s="515"/>
      <c r="P14" s="95">
        <v>0</v>
      </c>
      <c r="Q14" s="262">
        <f>'Raw mill moisture content'!N38</f>
        <v>0</v>
      </c>
    </row>
    <row r="15" spans="2:20" ht="13.9" customHeight="1">
      <c r="B15" s="79" t="s">
        <v>262</v>
      </c>
      <c r="C15" s="521" t="s">
        <v>265</v>
      </c>
      <c r="D15" s="521"/>
      <c r="E15" s="127">
        <f>SUM(E9:E14)</f>
        <v>27546.090824660856</v>
      </c>
      <c r="F15" s="127">
        <f t="shared" ref="F15:N15" si="3">SUM(F9:F14)</f>
        <v>2903.7400000000002</v>
      </c>
      <c r="G15" s="127">
        <f t="shared" si="3"/>
        <v>68804.620000000024</v>
      </c>
      <c r="H15" s="127">
        <f t="shared" si="3"/>
        <v>231496.34000000008</v>
      </c>
      <c r="I15" s="127">
        <f t="shared" si="3"/>
        <v>0</v>
      </c>
      <c r="J15" s="127">
        <f t="shared" si="3"/>
        <v>53671</v>
      </c>
      <c r="K15" s="127">
        <f t="shared" si="3"/>
        <v>200057</v>
      </c>
      <c r="L15" s="127">
        <f t="shared" si="3"/>
        <v>30049.2186024396</v>
      </c>
      <c r="M15" s="127">
        <f t="shared" si="3"/>
        <v>0</v>
      </c>
      <c r="N15" s="127" t="e">
        <f t="shared" si="3"/>
        <v>#DIV/0!</v>
      </c>
      <c r="O15" s="515"/>
      <c r="P15" s="522"/>
      <c r="Q15" s="523"/>
    </row>
    <row r="16" spans="2:20">
      <c r="B16" s="512">
        <v>6</v>
      </c>
      <c r="C16" s="517" t="s">
        <v>266</v>
      </c>
      <c r="D16" s="80" t="s">
        <v>63</v>
      </c>
      <c r="E16" s="77">
        <f>Clinker!EB25</f>
        <v>2976.5069999999905</v>
      </c>
      <c r="F16" s="77">
        <f>Clinker!EC25</f>
        <v>155.32</v>
      </c>
      <c r="G16" s="77">
        <f>F16+'22'!G16</f>
        <v>3977.8600000000006</v>
      </c>
      <c r="H16" s="77">
        <f>F16+'22'!H16</f>
        <v>4783.0999999999995</v>
      </c>
      <c r="I16" s="77">
        <f>Clinker!ED25</f>
        <v>14</v>
      </c>
      <c r="J16" s="77">
        <f>I16+'22'!J16</f>
        <v>5488.1099999999988</v>
      </c>
      <c r="K16" s="77">
        <f>I16+'22'!K16</f>
        <v>20205.419999999998</v>
      </c>
      <c r="L16" s="77">
        <f>E16+F16-I16-Clinker!N25-Clinker!Z25-Clinker!AS25-Clinker!AX25-Clinker!BC25-Clinker!BW25-Clinker!BH25-Clinker!BM25-Clinker!BR25-Clinker!CV25-Clinker!DP25</f>
        <v>3117.8269999999907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Clinker!EF25</f>
        <v>4057.3199999999933</v>
      </c>
      <c r="F17" s="77">
        <f>Clinker!EG25</f>
        <v>60</v>
      </c>
      <c r="G17" s="77">
        <f>F17+'22'!G17</f>
        <v>3282.6000000000004</v>
      </c>
      <c r="H17" s="77">
        <f>F17+'22'!H17</f>
        <v>5423.5499999999993</v>
      </c>
      <c r="I17" s="77">
        <f>Clinker!EH25</f>
        <v>94</v>
      </c>
      <c r="J17" s="77">
        <f>I17+'22'!J17</f>
        <v>3308</v>
      </c>
      <c r="K17" s="77">
        <f>I17+'22'!K17</f>
        <v>11480</v>
      </c>
      <c r="L17" s="77">
        <f>E17+F17-Clinker!T25-Clinker!AE25-Clinker!AJ25-Clinker!CL25-Clinker!CQ25-Clinker!CG25</f>
        <v>4023.3199999999933</v>
      </c>
      <c r="M17" s="81"/>
      <c r="N17" s="81"/>
      <c r="O17" s="515"/>
      <c r="P17" s="82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7033.8269999999839</v>
      </c>
      <c r="F18" s="125">
        <f>F16+F17</f>
        <v>215.32</v>
      </c>
      <c r="G18" s="125">
        <f t="shared" ref="G18:K18" si="4">G16+G17</f>
        <v>7260.4600000000009</v>
      </c>
      <c r="H18" s="125">
        <f t="shared" si="4"/>
        <v>10206.649999999998</v>
      </c>
      <c r="I18" s="125">
        <f t="shared" si="4"/>
        <v>108</v>
      </c>
      <c r="J18" s="125">
        <f>J16+J17</f>
        <v>8796.1099999999988</v>
      </c>
      <c r="K18" s="125">
        <f t="shared" si="4"/>
        <v>31685.42</v>
      </c>
      <c r="L18" s="125">
        <f t="shared" si="0"/>
        <v>7141.1469999999836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Clinker!EJ25</f>
        <v>18841.557564422867</v>
      </c>
      <c r="F20" s="74">
        <f>Clinker!EK25</f>
        <v>75</v>
      </c>
      <c r="G20" s="74">
        <f>F20+'22'!G20</f>
        <v>31757</v>
      </c>
      <c r="H20" s="74">
        <f>F20+'22'!H20</f>
        <v>117283</v>
      </c>
      <c r="I20" s="74">
        <f>Clinker!EL25</f>
        <v>2314.1789999956709</v>
      </c>
      <c r="J20" s="74">
        <f>I20+'22'!J20</f>
        <v>41100.430521334492</v>
      </c>
      <c r="K20" s="74">
        <f>I20+'22'!K20</f>
        <v>103962.16153519953</v>
      </c>
      <c r="L20" s="74">
        <f>E20+F20-I20-I22</f>
        <v>16602.378564427196</v>
      </c>
      <c r="M20" s="710">
        <f>((I20+I21)/(J42+J48))*100</f>
        <v>82.197407670300819</v>
      </c>
      <c r="N20" s="525"/>
      <c r="O20" s="527"/>
      <c r="P20" s="535"/>
      <c r="Q20" s="536"/>
      <c r="R20" s="20"/>
      <c r="S20" s="190"/>
    </row>
    <row r="21" spans="2:19" ht="45">
      <c r="B21" s="512"/>
      <c r="C21" s="477"/>
      <c r="D21" s="85" t="s">
        <v>70</v>
      </c>
      <c r="E21" s="74">
        <f>Clinker!EO25</f>
        <v>89.758008000135931</v>
      </c>
      <c r="F21" s="74">
        <f>Clinker!EP25</f>
        <v>0</v>
      </c>
      <c r="G21" s="74">
        <f>F21+'22'!G21</f>
        <v>0</v>
      </c>
      <c r="H21" s="74">
        <f>F21+'22'!H21</f>
        <v>13390.660000000003</v>
      </c>
      <c r="I21" s="74">
        <f>Clinker!EQ25</f>
        <v>0.5</v>
      </c>
      <c r="J21" s="74">
        <f>I21+'22'!J21</f>
        <v>5216.8510000000006</v>
      </c>
      <c r="K21" s="74">
        <f>I21+'22'!K21</f>
        <v>22150.950999999997</v>
      </c>
      <c r="L21" s="74">
        <f>E21+F21-I21</f>
        <v>89.258008000135931</v>
      </c>
      <c r="M21" s="711"/>
      <c r="N21" s="525"/>
      <c r="O21" s="527"/>
      <c r="P21" s="535"/>
      <c r="Q21" s="536"/>
      <c r="R21" s="20"/>
      <c r="S21" s="20"/>
    </row>
    <row r="22" spans="2:19" ht="30">
      <c r="B22" s="512"/>
      <c r="C22" s="524"/>
      <c r="D22" s="86" t="s">
        <v>270</v>
      </c>
      <c r="E22" s="77"/>
      <c r="F22" s="77">
        <f>Clinker!EN25</f>
        <v>0</v>
      </c>
      <c r="G22" s="74">
        <f>F22+'22'!G22</f>
        <v>0</v>
      </c>
      <c r="H22" s="74">
        <f>F22+'22'!H22</f>
        <v>0</v>
      </c>
      <c r="I22" s="77">
        <f>Clinker!EN25</f>
        <v>0</v>
      </c>
      <c r="J22" s="74">
        <f>I22+'22'!J22</f>
        <v>0</v>
      </c>
      <c r="K22" s="74">
        <f>I22+'22'!K22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474" t="s">
        <v>341</v>
      </c>
      <c r="D23" s="475"/>
      <c r="E23" s="77"/>
      <c r="F23" s="77"/>
      <c r="G23" s="74"/>
      <c r="H23" s="74"/>
      <c r="I23" s="77">
        <f>Cement!S25</f>
        <v>400.61222222125417</v>
      </c>
      <c r="J23" s="74">
        <f>I23+'22'!J23</f>
        <v>10409.961659891564</v>
      </c>
      <c r="K23" s="74">
        <f>I23+'22'!K23</f>
        <v>30883.313094744244</v>
      </c>
      <c r="L23" s="74"/>
      <c r="M23" s="78">
        <f>(I23/(J42+J48))*100</f>
        <v>14.226286300470672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Cement!C25</f>
        <v>2873.2267365154266</v>
      </c>
      <c r="F24" s="77">
        <f>Cement!D25</f>
        <v>269</v>
      </c>
      <c r="G24" s="74">
        <f>F24+'22'!G24</f>
        <v>1879.76</v>
      </c>
      <c r="H24" s="74">
        <f>F24+'22'!H24</f>
        <v>4006.3799999999992</v>
      </c>
      <c r="I24" s="77">
        <f>Cement!F25</f>
        <v>148.17894737389474</v>
      </c>
      <c r="J24" s="74">
        <f>I24+'22'!J24</f>
        <v>3094.0427481831075</v>
      </c>
      <c r="K24" s="74">
        <f>I24+'22'!K24</f>
        <v>8457.7122700082527</v>
      </c>
      <c r="L24" s="74">
        <f t="shared" ref="L24" si="5">E24+F24-I24</f>
        <v>2994.0477891415321</v>
      </c>
      <c r="M24" s="78">
        <f>(I24/(J42+J48))*100</f>
        <v>5.2620364834479672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Cement!H25</f>
        <v>0.23999999999796273</v>
      </c>
      <c r="F25" s="77">
        <f>Cement!I25</f>
        <v>0</v>
      </c>
      <c r="G25" s="74">
        <f>F25+'22'!G25</f>
        <v>0</v>
      </c>
      <c r="H25" s="74">
        <f>F25+'22'!H25</f>
        <v>0</v>
      </c>
      <c r="I25" s="77">
        <v>0</v>
      </c>
      <c r="J25" s="74">
        <f>I25+'22'!J25</f>
        <v>0</v>
      </c>
      <c r="K25" s="74">
        <f>I25+'22'!K25</f>
        <v>0</v>
      </c>
      <c r="L25" s="74">
        <v>0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Cement!L25</f>
        <v>0</v>
      </c>
      <c r="F26" s="77">
        <f>Cement!M25</f>
        <v>0</v>
      </c>
      <c r="G26" s="74">
        <f>F26+'22'!G26</f>
        <v>0</v>
      </c>
      <c r="H26" s="74">
        <f>F26+'22'!H26</f>
        <v>0</v>
      </c>
      <c r="I26" s="77">
        <v>0</v>
      </c>
      <c r="J26" s="74">
        <f>I26+'22'!J26</f>
        <v>0</v>
      </c>
      <c r="K26" s="74">
        <f>I26+'22'!K26</f>
        <v>0</v>
      </c>
      <c r="L26" s="74"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21804.782308938426</v>
      </c>
      <c r="F27" s="122">
        <f t="shared" ref="F27:L27" si="6">F20+F21+F23+F24+F25+F26</f>
        <v>344</v>
      </c>
      <c r="G27" s="122">
        <f t="shared" si="6"/>
        <v>33636.76</v>
      </c>
      <c r="H27" s="122">
        <f t="shared" si="6"/>
        <v>134680.04</v>
      </c>
      <c r="I27" s="122">
        <f>I20+I21+I23+I24+I25+I26</f>
        <v>2863.4701695908198</v>
      </c>
      <c r="J27" s="122">
        <f t="shared" si="6"/>
        <v>59821.285929409169</v>
      </c>
      <c r="K27" s="122">
        <f t="shared" si="6"/>
        <v>165454.13789995204</v>
      </c>
      <c r="L27" s="122">
        <f t="shared" si="6"/>
        <v>19685.684361568863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Production2!C25</f>
        <v>20.12</v>
      </c>
      <c r="G32" s="75">
        <f>F32+'22'!G32</f>
        <v>425.42</v>
      </c>
      <c r="H32" s="75">
        <f>F32+'22'!H32</f>
        <v>1394.5500000000002</v>
      </c>
      <c r="I32" s="74">
        <f>'Mines (2)'!C25+'Mines (2)'!H25+'Mines (2)'!V25+'Mines (2)'!Z25+'Mines (2)'!AD25</f>
        <v>22692.890824660852</v>
      </c>
      <c r="J32" s="74">
        <f>Production2!D25</f>
        <v>2873.36</v>
      </c>
      <c r="K32" s="74">
        <f>J32+'22'!K32</f>
        <v>67245.800000000017</v>
      </c>
      <c r="L32" s="74">
        <f>J32+'22'!L32</f>
        <v>224113.08000000007</v>
      </c>
      <c r="M32" s="74">
        <f>I9+I23</f>
        <v>400.61222222125417</v>
      </c>
      <c r="N32" s="75">
        <f>M32+'22'!N32</f>
        <v>61547.96165989156</v>
      </c>
      <c r="O32" s="74">
        <f>M32+'22'!O32</f>
        <v>222052.31309474423</v>
      </c>
      <c r="P32" s="74">
        <f>I32+J32-M32</f>
        <v>25165.638602439598</v>
      </c>
      <c r="Q32" s="93">
        <f>J32/F32</f>
        <v>142.81113320079524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Production2!G25</f>
        <v>0</v>
      </c>
      <c r="G33" s="75">
        <f>F33+'22'!G33</f>
        <v>394.97999999999996</v>
      </c>
      <c r="H33" s="75">
        <f>F33+'22'!H33</f>
        <v>1464.5199999999995</v>
      </c>
      <c r="I33" s="541">
        <f>Production2!H25</f>
        <v>508.18001683751845</v>
      </c>
      <c r="J33" s="78">
        <f>Production2!N25</f>
        <v>0</v>
      </c>
      <c r="K33" s="74">
        <f>J33+'22'!K33</f>
        <v>45901.04</v>
      </c>
      <c r="L33" s="74">
        <f>J33+'22'!L33</f>
        <v>172186.62999999998</v>
      </c>
      <c r="M33" s="541">
        <f>Production2!K25</f>
        <v>116.25</v>
      </c>
      <c r="N33" s="541">
        <f>M33+'22'!N33</f>
        <v>49223.350000000006</v>
      </c>
      <c r="O33" s="541">
        <f>M33+'22'!O33</f>
        <v>181788.65</v>
      </c>
      <c r="P33" s="541">
        <f>I33+J33+J34-M33</f>
        <v>391.93001683751845</v>
      </c>
      <c r="Q33" s="96" t="e">
        <f t="shared" ref="Q33:Q48" si="7">J33/F33</f>
        <v>#DIV/0!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Production2!P25</f>
        <v>0</v>
      </c>
      <c r="G34" s="75">
        <f>F34+'22'!G34</f>
        <v>269.88</v>
      </c>
      <c r="H34" s="75">
        <f>F34+'22'!H34</f>
        <v>885.55</v>
      </c>
      <c r="I34" s="473"/>
      <c r="J34" s="78">
        <f>Production2!Q25</f>
        <v>0</v>
      </c>
      <c r="K34" s="74">
        <f>J34+'22'!K34</f>
        <v>2446.6</v>
      </c>
      <c r="L34" s="74">
        <f>J34+'22'!L34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Production2!S25</f>
        <v>1</v>
      </c>
      <c r="G35" s="75">
        <f>F35+'22'!G35</f>
        <v>364.99999999999994</v>
      </c>
      <c r="H35" s="75">
        <f>F35+'22'!H35</f>
        <v>1318.33</v>
      </c>
      <c r="I35" s="77">
        <f>Production2!T25</f>
        <v>49.809999999999803</v>
      </c>
      <c r="J35" s="77">
        <f>Production2!U25</f>
        <v>12.6</v>
      </c>
      <c r="K35" s="74">
        <f>J35+'22'!K35</f>
        <v>4939.3000000000011</v>
      </c>
      <c r="L35" s="74">
        <f>J35+'22'!L35</f>
        <v>18184.899999999994</v>
      </c>
      <c r="M35" s="77">
        <f>Production2!V25</f>
        <v>17</v>
      </c>
      <c r="N35" s="74">
        <f>M35+'22'!N35</f>
        <v>4936</v>
      </c>
      <c r="O35" s="74">
        <f>M35+'22'!O35</f>
        <v>18155</v>
      </c>
      <c r="P35" s="74">
        <f t="shared" ref="P35" si="8">I35+J35-M35</f>
        <v>45.409999999999805</v>
      </c>
      <c r="Q35" s="96">
        <f t="shared" si="7"/>
        <v>12.6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Production2!Y25</f>
        <v>1.68</v>
      </c>
      <c r="G36" s="75">
        <f>F36+'22'!G36</f>
        <v>513.26</v>
      </c>
      <c r="H36" s="75">
        <f>F36+'22'!H36</f>
        <v>1828.07</v>
      </c>
      <c r="I36" s="77">
        <f>Clinker!EJ25</f>
        <v>18841.557564422867</v>
      </c>
      <c r="J36" s="77">
        <f>Clinker!EK25</f>
        <v>75</v>
      </c>
      <c r="K36" s="74">
        <f>J36+'22'!K36</f>
        <v>31757</v>
      </c>
      <c r="L36" s="74">
        <f>J36+'22'!L36</f>
        <v>117283</v>
      </c>
      <c r="M36" s="77">
        <f>Clinker!EL25</f>
        <v>2314.1789999956709</v>
      </c>
      <c r="N36" s="74">
        <f>M36+'22'!N36</f>
        <v>41100.430521334492</v>
      </c>
      <c r="O36" s="74">
        <f>M36+'22'!O36</f>
        <v>103962.16153519953</v>
      </c>
      <c r="P36" s="74">
        <f>I36+J36-M36-I22</f>
        <v>16602.378564427196</v>
      </c>
      <c r="Q36" s="96">
        <f t="shared" si="7"/>
        <v>44.642857142857146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Production2!AE25</f>
        <v>5</v>
      </c>
      <c r="G37" s="75">
        <f>F37+'22'!G37</f>
        <v>24.2</v>
      </c>
      <c r="H37" s="75">
        <f>F37+'22'!H37</f>
        <v>63.900000000000006</v>
      </c>
      <c r="I37" s="77">
        <f>Production2!BJ25</f>
        <v>185.29999999999995</v>
      </c>
      <c r="J37" s="77">
        <f>Production2!AF25</f>
        <v>337</v>
      </c>
      <c r="K37" s="74">
        <f>J37+'22'!K37</f>
        <v>1661</v>
      </c>
      <c r="L37" s="74">
        <f>J37+'22'!L37</f>
        <v>4295</v>
      </c>
      <c r="M37" s="77">
        <f>Production2!BL25</f>
        <v>487</v>
      </c>
      <c r="N37" s="74">
        <f>M37+'22'!N37</f>
        <v>3042</v>
      </c>
      <c r="O37" s="74">
        <f>M37+'22'!O37</f>
        <v>8080</v>
      </c>
      <c r="P37" s="74">
        <f>I37+J37+J43-M37-F61</f>
        <v>155.19999999999996</v>
      </c>
      <c r="Q37" s="96">
        <f t="shared" si="7"/>
        <v>67.400000000000006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Production2!AB25</f>
        <v>19</v>
      </c>
      <c r="G38" s="75">
        <f>F38+'22'!G38</f>
        <v>421.45</v>
      </c>
      <c r="H38" s="75">
        <f>F38+'22'!H38</f>
        <v>919.92</v>
      </c>
      <c r="I38" s="77">
        <f>Production2!BF25</f>
        <v>1299.6379999999776</v>
      </c>
      <c r="J38" s="77">
        <f>Production2!AC25</f>
        <v>1183</v>
      </c>
      <c r="K38" s="74">
        <f>J38+'22'!K38</f>
        <v>27608</v>
      </c>
      <c r="L38" s="74">
        <f>J38+'22'!L38</f>
        <v>58938</v>
      </c>
      <c r="M38" s="77">
        <f>Production2!BH25</f>
        <v>2463.75</v>
      </c>
      <c r="N38" s="74">
        <f>M38+'22'!N38</f>
        <v>50310.840000000004</v>
      </c>
      <c r="O38" s="74">
        <f>M38+'22'!O38</f>
        <v>131053.66999999997</v>
      </c>
      <c r="P38" s="74">
        <f>I38+J38+J44-M38-F59</f>
        <v>898.88799999997764</v>
      </c>
      <c r="Q38" s="96">
        <f t="shared" si="7"/>
        <v>62.263157894736842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Production2!AH25</f>
        <v>0</v>
      </c>
      <c r="G39" s="75">
        <f>F39+'22'!G39</f>
        <v>0</v>
      </c>
      <c r="H39" s="75">
        <f>F39+'22'!H39</f>
        <v>0</v>
      </c>
      <c r="I39" s="77">
        <f>Production2!BN25</f>
        <v>9.0000000000849845E-2</v>
      </c>
      <c r="J39" s="77">
        <f>Production2!AI25</f>
        <v>0</v>
      </c>
      <c r="K39" s="74">
        <f>J39+'22'!K39</f>
        <v>0</v>
      </c>
      <c r="L39" s="74">
        <f>J39+'22'!L39</f>
        <v>0</v>
      </c>
      <c r="M39" s="77">
        <f>Production2!BP25</f>
        <v>0</v>
      </c>
      <c r="N39" s="74">
        <f>M39+'22'!N39</f>
        <v>0</v>
      </c>
      <c r="O39" s="74">
        <f>M39+'22'!O39</f>
        <v>-0.15</v>
      </c>
      <c r="P39" s="74">
        <f>I39+J39+J45-M39-F60</f>
        <v>9.0000000000849845E-2</v>
      </c>
      <c r="Q39" s="96" t="e">
        <f t="shared" si="7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Production2!AK25</f>
        <v>0</v>
      </c>
      <c r="G40" s="75">
        <f>F40+'22'!G40</f>
        <v>3</v>
      </c>
      <c r="H40" s="75">
        <f>F40+'22'!H40</f>
        <v>8</v>
      </c>
      <c r="I40" s="195">
        <f>Production2!BR25</f>
        <v>84.350000000000023</v>
      </c>
      <c r="J40" s="195">
        <f>Production2!AL25</f>
        <v>0</v>
      </c>
      <c r="K40" s="74">
        <f>J40+'22'!K40</f>
        <v>185</v>
      </c>
      <c r="L40" s="74">
        <f>J40+'22'!L40</f>
        <v>485</v>
      </c>
      <c r="M40" s="195">
        <f>Production2!BT25</f>
        <v>90</v>
      </c>
      <c r="N40" s="74">
        <f>M40+'22'!N40</f>
        <v>1601</v>
      </c>
      <c r="O40" s="74">
        <f>M40+'22'!O40</f>
        <v>4633.5</v>
      </c>
      <c r="P40" s="74">
        <f>I40+J40+J46-M40-F61</f>
        <v>110.25000000000003</v>
      </c>
      <c r="Q40" s="96" t="e">
        <f t="shared" si="7"/>
        <v>#DIV/0!</v>
      </c>
      <c r="R40" s="94"/>
      <c r="S40" s="94"/>
    </row>
    <row r="41" spans="2:19">
      <c r="B41" s="564"/>
      <c r="C41" s="477"/>
      <c r="D41" s="80" t="s">
        <v>288</v>
      </c>
      <c r="E41" s="97">
        <v>78</v>
      </c>
      <c r="F41" s="84">
        <f>Production2!AN25</f>
        <v>0</v>
      </c>
      <c r="G41" s="75">
        <f>F41+'22'!G41</f>
        <v>56.5</v>
      </c>
      <c r="H41" s="75">
        <f>F41+'22'!H41</f>
        <v>182.67</v>
      </c>
      <c r="I41" s="195">
        <f>Production2!BV25</f>
        <v>197.0200000000001</v>
      </c>
      <c r="J41" s="195">
        <f>Production2!AO25</f>
        <v>0</v>
      </c>
      <c r="K41" s="74">
        <f>J41+'22'!K41</f>
        <v>3883</v>
      </c>
      <c r="L41" s="74">
        <f>J41+'22'!L41</f>
        <v>12061</v>
      </c>
      <c r="M41" s="77">
        <f>Production2!BX25</f>
        <v>179.8</v>
      </c>
      <c r="N41" s="74">
        <f>M41+'22'!N41</f>
        <v>5999.1799999999994</v>
      </c>
      <c r="O41" s="74">
        <f>M41+'22'!O41</f>
        <v>19994.490000000002</v>
      </c>
      <c r="P41" s="74">
        <f>I41+J41+J47-M41-F63</f>
        <v>197.22000000000008</v>
      </c>
      <c r="Q41" s="96" t="e">
        <f t="shared" si="7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9">G37+G38+G39+G40+G41</f>
        <v>505.15</v>
      </c>
      <c r="H42" s="132">
        <f t="shared" si="9"/>
        <v>1174.49</v>
      </c>
      <c r="I42" s="122">
        <f>I37+I38+I39+I40+I41</f>
        <v>1766.3979999999783</v>
      </c>
      <c r="J42" s="122">
        <f t="shared" ref="J42:P42" si="10">J37+J38+J39+J40+J41</f>
        <v>1520</v>
      </c>
      <c r="K42" s="122">
        <f t="shared" si="10"/>
        <v>33337</v>
      </c>
      <c r="L42" s="122">
        <f t="shared" si="10"/>
        <v>75779</v>
      </c>
      <c r="M42" s="122">
        <f t="shared" si="10"/>
        <v>3220.55</v>
      </c>
      <c r="N42" s="122">
        <f t="shared" si="10"/>
        <v>60953.020000000004</v>
      </c>
      <c r="O42" s="122">
        <f t="shared" si="10"/>
        <v>163761.50999999998</v>
      </c>
      <c r="P42" s="122">
        <f t="shared" si="10"/>
        <v>1361.6479999999785</v>
      </c>
      <c r="Q42" s="123">
        <f t="shared" si="7"/>
        <v>63.333333333333336</v>
      </c>
      <c r="R42" s="94"/>
      <c r="S42" s="94"/>
    </row>
    <row r="43" spans="2:19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Production2!AT25</f>
        <v>2</v>
      </c>
      <c r="G43" s="75">
        <f>F43+'22'!G43</f>
        <v>15.5</v>
      </c>
      <c r="H43" s="75">
        <f>F43+'22'!H43</f>
        <v>60.929999999999993</v>
      </c>
      <c r="I43" s="471"/>
      <c r="J43" s="77">
        <f>Production2!AU25</f>
        <v>120</v>
      </c>
      <c r="K43" s="74">
        <f>J43+'22'!K43</f>
        <v>958</v>
      </c>
      <c r="L43" s="74">
        <f>J43+'22'!L43</f>
        <v>3708</v>
      </c>
      <c r="M43" s="542"/>
      <c r="N43" s="543"/>
      <c r="O43" s="543"/>
      <c r="P43" s="544"/>
      <c r="Q43" s="96">
        <f t="shared" si="7"/>
        <v>60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Production2!AQ25</f>
        <v>17</v>
      </c>
      <c r="G44" s="75">
        <f>F44+'22'!G44</f>
        <v>372.03</v>
      </c>
      <c r="H44" s="75">
        <f>F44+'22'!H44</f>
        <v>1222.44</v>
      </c>
      <c r="I44" s="472"/>
      <c r="J44" s="77">
        <f>Production2!AR25</f>
        <v>880</v>
      </c>
      <c r="K44" s="74">
        <f>J44+'22'!K44</f>
        <v>21785</v>
      </c>
      <c r="L44" s="74">
        <f>J44+'22'!L44</f>
        <v>71746</v>
      </c>
      <c r="M44" s="545"/>
      <c r="N44" s="546"/>
      <c r="O44" s="546"/>
      <c r="P44" s="547"/>
      <c r="Q44" s="96">
        <f t="shared" si="7"/>
        <v>51.764705882352942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Production2!AW25</f>
        <v>0</v>
      </c>
      <c r="G45" s="75">
        <f>F45+'22'!G45</f>
        <v>0</v>
      </c>
      <c r="H45" s="75">
        <f>F45+'22'!H45</f>
        <v>0</v>
      </c>
      <c r="I45" s="472"/>
      <c r="J45" s="77">
        <f>Production2!AX25</f>
        <v>0</v>
      </c>
      <c r="K45" s="74">
        <f>J45+'22'!K45</f>
        <v>0</v>
      </c>
      <c r="L45" s="74">
        <f>J45+'22'!L45</f>
        <v>0</v>
      </c>
      <c r="M45" s="545"/>
      <c r="N45" s="546"/>
      <c r="O45" s="546"/>
      <c r="P45" s="547"/>
      <c r="Q45" s="96" t="e">
        <f t="shared" si="7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Production2!AZ25</f>
        <v>2</v>
      </c>
      <c r="G46" s="75">
        <f>F46+'22'!G46</f>
        <v>24.77</v>
      </c>
      <c r="H46" s="75">
        <f>F46+'22'!H46</f>
        <v>72.649999999999991</v>
      </c>
      <c r="I46" s="473"/>
      <c r="J46" s="195">
        <f>Production2!BA25</f>
        <v>116</v>
      </c>
      <c r="K46" s="74">
        <f>J46+'22'!K46</f>
        <v>1399</v>
      </c>
      <c r="L46" s="74">
        <f>J46+'22'!L46</f>
        <v>4046</v>
      </c>
      <c r="M46" s="545"/>
      <c r="N46" s="546"/>
      <c r="O46" s="546"/>
      <c r="P46" s="547"/>
      <c r="Q46" s="96">
        <f t="shared" si="7"/>
        <v>58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Production2!BC25</f>
        <v>3</v>
      </c>
      <c r="G47" s="75">
        <f>F47+'22'!G47</f>
        <v>19</v>
      </c>
      <c r="H47" s="75">
        <f>F47+'22'!H47</f>
        <v>127.67</v>
      </c>
      <c r="I47" s="425"/>
      <c r="J47" s="195">
        <f>Production2!BD25</f>
        <v>180</v>
      </c>
      <c r="K47" s="74">
        <f>J47+'22'!K47</f>
        <v>1146</v>
      </c>
      <c r="L47" s="74">
        <f>J47+'22'!L47</f>
        <v>7761</v>
      </c>
      <c r="M47" s="548"/>
      <c r="N47" s="549"/>
      <c r="O47" s="549"/>
      <c r="P47" s="550"/>
      <c r="Q47" s="96">
        <f t="shared" si="7"/>
        <v>60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24</v>
      </c>
      <c r="G48" s="132">
        <f>G43+G44+G45+G46+G47</f>
        <v>431.29999999999995</v>
      </c>
      <c r="H48" s="132">
        <f>H43+H44+H45+H46+H47</f>
        <v>1483.6900000000003</v>
      </c>
      <c r="I48" s="122">
        <f>I43+I44+I45+I46</f>
        <v>0</v>
      </c>
      <c r="J48" s="122">
        <f>J43+J44+J45+J46+J47</f>
        <v>1296</v>
      </c>
      <c r="K48" s="122">
        <f>K43+K44+K45+K46+K47</f>
        <v>25288</v>
      </c>
      <c r="L48" s="122">
        <f>L43+L44+L45+L46+L47</f>
        <v>87261</v>
      </c>
      <c r="M48" s="574"/>
      <c r="N48" s="575"/>
      <c r="O48" s="575"/>
      <c r="P48" s="576"/>
      <c r="Q48" s="123">
        <f t="shared" si="7"/>
        <v>54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0.59651418548319735</v>
      </c>
      <c r="F52" s="99" t="e">
        <f>F55/J33</f>
        <v>#DIV/0!</v>
      </c>
      <c r="G52" s="99" t="e">
        <f>G55/J34</f>
        <v>#DIV/0!</v>
      </c>
      <c r="H52" s="99">
        <f>H55/J36</f>
        <v>216.37333333333333</v>
      </c>
      <c r="I52" s="99">
        <f>I55/J35</f>
        <v>211.34920634920636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22.666666666666664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</v>
      </c>
      <c r="F53" s="102" t="e">
        <f>F52*1.55</f>
        <v>#DIV/0!</v>
      </c>
      <c r="G53" s="102" t="e">
        <f>G52*1.55</f>
        <v>#DIV/0!</v>
      </c>
      <c r="H53" s="102">
        <f>H52</f>
        <v>216.37333333333333</v>
      </c>
      <c r="I53" s="102">
        <f>I52*(Q52/100)</f>
        <v>47.905820105820105</v>
      </c>
      <c r="J53" s="102"/>
      <c r="K53" s="102"/>
      <c r="L53" s="102"/>
      <c r="M53" s="96"/>
      <c r="N53" s="103"/>
      <c r="O53" s="516" t="s">
        <v>298</v>
      </c>
      <c r="P53" s="516"/>
      <c r="Q53" s="104"/>
    </row>
    <row r="54" spans="2:19" ht="14.45" customHeight="1">
      <c r="B54" s="79">
        <v>3</v>
      </c>
      <c r="C54" s="588" t="s">
        <v>299</v>
      </c>
      <c r="D54" s="588"/>
      <c r="E54" s="102">
        <f>E53*M20/100</f>
        <v>0</v>
      </c>
      <c r="F54" s="102" t="e">
        <f>F53*M20/100</f>
        <v>#DIV/0!</v>
      </c>
      <c r="G54" s="102" t="e">
        <f>G53*M20/100</f>
        <v>#DIV/0!</v>
      </c>
      <c r="H54" s="102">
        <f>H53*M20/100</f>
        <v>177.85327088981887</v>
      </c>
      <c r="I54" s="102">
        <f>I53*M20/100</f>
        <v>39.37734225018189</v>
      </c>
      <c r="J54" s="99">
        <f>J55/(J42+J48)</f>
        <v>41.057883522727273</v>
      </c>
      <c r="K54" s="99">
        <f>K55/(J48+J42)</f>
        <v>0.47443181818181818</v>
      </c>
      <c r="L54" s="99">
        <f>L55/(M42)</f>
        <v>2.3818912918600859</v>
      </c>
      <c r="M54" s="96">
        <f>M55/(J48+J42)</f>
        <v>1.3334517045454546</v>
      </c>
      <c r="N54" s="306" t="e">
        <f>SUM(E54:M54)</f>
        <v>#DIV/0!</v>
      </c>
      <c r="O54" s="516" t="s">
        <v>300</v>
      </c>
      <c r="P54" s="516"/>
      <c r="Q54" s="104"/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unit'!B25</f>
        <v>1714</v>
      </c>
      <c r="F55" s="118">
        <f>'Daily unit'!C25</f>
        <v>3895</v>
      </c>
      <c r="G55" s="118">
        <f>'Daily unit'!D25</f>
        <v>0</v>
      </c>
      <c r="H55" s="118">
        <f>'Daily unit'!E25</f>
        <v>16228</v>
      </c>
      <c r="I55" s="118">
        <f>'Daily unit'!F25</f>
        <v>2663</v>
      </c>
      <c r="J55" s="118">
        <f>'Daily unit'!G25</f>
        <v>115619</v>
      </c>
      <c r="K55" s="118">
        <f>'Daily unit'!H25</f>
        <v>1336</v>
      </c>
      <c r="L55" s="118">
        <f>'Daily unit'!I25</f>
        <v>7671</v>
      </c>
      <c r="M55" s="119">
        <f>'Daily unit'!J25</f>
        <v>3755</v>
      </c>
      <c r="N55" s="317">
        <f>SUM(E55:M55)</f>
        <v>152881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29"/>
      <c r="I57" s="708" t="s">
        <v>303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9" s="110" customFormat="1" ht="14.45" customHeight="1" thickBot="1">
      <c r="B58" s="214" t="s">
        <v>250</v>
      </c>
      <c r="C58" s="688" t="s">
        <v>304</v>
      </c>
      <c r="D58" s="688"/>
      <c r="E58" s="578"/>
      <c r="F58" s="150" t="s">
        <v>305</v>
      </c>
      <c r="G58" s="150" t="s">
        <v>27</v>
      </c>
      <c r="H58" s="183" t="s">
        <v>28</v>
      </c>
      <c r="I58" s="709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9" ht="14.45" customHeight="1">
      <c r="B59" s="468">
        <v>1</v>
      </c>
      <c r="C59" s="465" t="s">
        <v>306</v>
      </c>
      <c r="D59" s="695"/>
      <c r="E59" s="211">
        <v>42.5</v>
      </c>
      <c r="F59" s="53">
        <f>'Internal use cement'!F25</f>
        <v>0</v>
      </c>
      <c r="G59" s="53">
        <f>F59+'22'!G59</f>
        <v>0</v>
      </c>
      <c r="H59" s="182">
        <f>F59+'22'!H59</f>
        <v>10</v>
      </c>
      <c r="I59" s="709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9" ht="14.45" customHeight="1">
      <c r="B60" s="469"/>
      <c r="C60" s="466"/>
      <c r="D60" s="696"/>
      <c r="E60" s="211" t="s">
        <v>211</v>
      </c>
      <c r="F60" s="53">
        <f>'Internal use cement'!Q25</f>
        <v>0</v>
      </c>
      <c r="G60" s="53">
        <f>F60+'22'!G60</f>
        <v>0</v>
      </c>
      <c r="H60" s="182">
        <f>F60+'22'!H60</f>
        <v>2</v>
      </c>
      <c r="I60" s="709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9" ht="15" customHeight="1">
      <c r="B61" s="469"/>
      <c r="C61" s="466"/>
      <c r="D61" s="696"/>
      <c r="E61" s="211">
        <v>32.5</v>
      </c>
      <c r="F61" s="53">
        <f>'Internal use cement'!Y25</f>
        <v>0.1</v>
      </c>
      <c r="G61" s="53">
        <f>F61+'22'!G61</f>
        <v>0.1</v>
      </c>
      <c r="H61" s="77">
        <f>F61+'22'!H61</f>
        <v>0.1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9" ht="15" customHeight="1">
      <c r="B62" s="469"/>
      <c r="C62" s="466"/>
      <c r="D62" s="696"/>
      <c r="E62" s="211" t="s">
        <v>187</v>
      </c>
      <c r="F62" s="53">
        <f>'Internal use cement'!AJ25</f>
        <v>0</v>
      </c>
      <c r="G62" s="53">
        <f>F62+'22'!G62</f>
        <v>0.35</v>
      </c>
      <c r="H62" s="77">
        <f>F62+'22'!H62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9" ht="15.75" thickBot="1">
      <c r="B63" s="470"/>
      <c r="C63" s="467"/>
      <c r="D63" s="467"/>
      <c r="E63" s="443" t="s">
        <v>307</v>
      </c>
      <c r="F63" s="81">
        <f>'Internal use cement'!AO25</f>
        <v>0</v>
      </c>
      <c r="G63" s="53">
        <f>F63+'22'!G63</f>
        <v>0</v>
      </c>
      <c r="H63" s="77">
        <f>F63+'22'!H63</f>
        <v>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94"/>
      <c r="S63" s="94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8">
    <mergeCell ref="I33:I34"/>
    <mergeCell ref="M33:M34"/>
    <mergeCell ref="N33:N34"/>
    <mergeCell ref="O33:O34"/>
    <mergeCell ref="P33:P34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43:B48"/>
    <mergeCell ref="C43:C48"/>
    <mergeCell ref="I43:I46"/>
    <mergeCell ref="M48:P48"/>
    <mergeCell ref="M43:P47"/>
    <mergeCell ref="B16:B18"/>
    <mergeCell ref="C16:C18"/>
    <mergeCell ref="C8:Q8"/>
    <mergeCell ref="C11:D11"/>
    <mergeCell ref="C12:D12"/>
    <mergeCell ref="C15:D15"/>
    <mergeCell ref="P15:Q15"/>
    <mergeCell ref="O9:O18"/>
    <mergeCell ref="C10:D10"/>
    <mergeCell ref="C9:D9"/>
    <mergeCell ref="C13:D13"/>
    <mergeCell ref="C14:D14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C23:D23"/>
    <mergeCell ref="M20:M21"/>
    <mergeCell ref="C32:D32"/>
    <mergeCell ref="C33:D33"/>
    <mergeCell ref="C35:D35"/>
    <mergeCell ref="C36:D36"/>
    <mergeCell ref="B37:B42"/>
    <mergeCell ref="C37:C42"/>
    <mergeCell ref="C34:D34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B50:N50"/>
    <mergeCell ref="O50:Q50"/>
    <mergeCell ref="B57:H57"/>
    <mergeCell ref="C58:E58"/>
    <mergeCell ref="I57:Q63"/>
    <mergeCell ref="C59:D63"/>
    <mergeCell ref="B59:B63"/>
  </mergeCells>
  <pageMargins left="0" right="0" top="0.5" bottom="0.5" header="0.3" footer="0.3"/>
  <pageSetup paperSize="9" scale="55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B2:U158"/>
  <sheetViews>
    <sheetView zoomScale="90" zoomScaleNormal="90" workbookViewId="0">
      <pane xSplit="4" ySplit="1" topLeftCell="E51" activePane="bottomRight" state="frozen"/>
      <selection pane="bottomRight" activeCell="A63" sqref="A63:XFD63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85546875" style="68" bestFit="1" customWidth="1"/>
    <col min="10" max="10" width="9.42578125" style="68" bestFit="1" customWidth="1"/>
    <col min="11" max="11" width="10.42578125" style="68" bestFit="1" customWidth="1"/>
    <col min="12" max="12" width="11.5703125" style="68" bestFit="1" customWidth="1"/>
    <col min="13" max="13" width="10.855468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342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9" t="s">
        <v>250</v>
      </c>
      <c r="C6" s="509" t="s">
        <v>251</v>
      </c>
      <c r="D6" s="509" t="s">
        <v>252</v>
      </c>
      <c r="E6" s="509" t="s">
        <v>253</v>
      </c>
      <c r="F6" s="713" t="s">
        <v>254</v>
      </c>
      <c r="G6" s="714"/>
      <c r="H6" s="684"/>
      <c r="I6" s="713" t="s">
        <v>255</v>
      </c>
      <c r="J6" s="714"/>
      <c r="K6" s="684"/>
      <c r="L6" s="509" t="s">
        <v>256</v>
      </c>
      <c r="M6" s="509" t="s">
        <v>257</v>
      </c>
      <c r="N6" s="509" t="s">
        <v>258</v>
      </c>
      <c r="O6" s="510"/>
      <c r="P6" s="509" t="s">
        <v>259</v>
      </c>
      <c r="Q6" s="514" t="s">
        <v>343</v>
      </c>
    </row>
    <row r="7" spans="2:21" ht="16.5" customHeight="1" thickBot="1">
      <c r="B7" s="712"/>
      <c r="C7" s="495"/>
      <c r="D7" s="495"/>
      <c r="E7" s="495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495"/>
      <c r="M7" s="495"/>
      <c r="N7" s="495"/>
      <c r="O7" s="738"/>
      <c r="P7" s="495"/>
      <c r="Q7" s="500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'23'!L9</f>
        <v>25165.638602439602</v>
      </c>
      <c r="F9" s="74">
        <f>Production2!D26</f>
        <v>2243.84</v>
      </c>
      <c r="G9" s="74">
        <f>F9+'23'!G9</f>
        <v>69489.640000000014</v>
      </c>
      <c r="H9" s="74">
        <f>F9+'23'!H9</f>
        <v>226356.92000000007</v>
      </c>
      <c r="I9" s="74">
        <f>Production2!E26</f>
        <v>1614</v>
      </c>
      <c r="J9" s="74">
        <f>I9+'23'!J9</f>
        <v>52752</v>
      </c>
      <c r="K9" s="74">
        <f>I9+'23'!K9</f>
        <v>192783</v>
      </c>
      <c r="L9" s="74">
        <f>E9+F9-I9-I23</f>
        <v>25390.756380217383</v>
      </c>
      <c r="M9" s="75">
        <f>I9</f>
        <v>1614</v>
      </c>
      <c r="N9" s="75">
        <f>(I9/I15)*100</f>
        <v>95.672791938352105</v>
      </c>
      <c r="O9" s="736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01" t="s">
        <v>75</v>
      </c>
      <c r="D10" s="502"/>
      <c r="E10" s="77">
        <f>'Mines (2)'!L26</f>
        <v>3244.46</v>
      </c>
      <c r="F10" s="77">
        <f>'Mines (2)'!M26</f>
        <v>0</v>
      </c>
      <c r="G10" s="74">
        <f>F10+'23'!G10</f>
        <v>1408.0200000000002</v>
      </c>
      <c r="H10" s="74">
        <f>F10+'23'!H10</f>
        <v>6677.420000000001</v>
      </c>
      <c r="I10" s="77">
        <f>'Mines (2)'!N26</f>
        <v>19</v>
      </c>
      <c r="J10" s="74">
        <f>I10+'23'!J10</f>
        <v>1094</v>
      </c>
      <c r="K10" s="74">
        <f>I10+'23'!K10</f>
        <v>3576</v>
      </c>
      <c r="L10" s="77">
        <f t="shared" ref="L10:L18" si="0">E10+F10-I10</f>
        <v>3225.46</v>
      </c>
      <c r="M10" s="75">
        <f t="shared" ref="M10:M12" si="1">I10</f>
        <v>19</v>
      </c>
      <c r="N10" s="75">
        <f>(I10/I15)*100</f>
        <v>1.1262596324836989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01" t="s">
        <v>77</v>
      </c>
      <c r="D11" s="502"/>
      <c r="E11" s="77">
        <f>Clinker!C26</f>
        <v>1255.6400000000001</v>
      </c>
      <c r="F11" s="77">
        <f>Clinker!D26</f>
        <v>30.9</v>
      </c>
      <c r="G11" s="74">
        <f>F11+'23'!G11</f>
        <v>60.62</v>
      </c>
      <c r="H11" s="74">
        <f>F11+'23'!H11</f>
        <v>477.9</v>
      </c>
      <c r="I11" s="77">
        <f>Clinker!E26</f>
        <v>37</v>
      </c>
      <c r="J11" s="74">
        <f>I11+'23'!J11</f>
        <v>1459</v>
      </c>
      <c r="K11" s="74">
        <f>I11+'23'!K11</f>
        <v>4594</v>
      </c>
      <c r="L11" s="77">
        <f t="shared" si="0"/>
        <v>1249.5400000000002</v>
      </c>
      <c r="M11" s="75">
        <f t="shared" si="1"/>
        <v>37</v>
      </c>
      <c r="N11" s="75">
        <f>(I11/I15)*100</f>
        <v>2.1932424422050976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01" t="s">
        <v>264</v>
      </c>
      <c r="D12" s="502"/>
      <c r="E12" s="77">
        <f>'Mines (2)'!Q26</f>
        <v>3.999999999996362E-2</v>
      </c>
      <c r="F12" s="77">
        <f>'Mines (2)'!R26</f>
        <v>0</v>
      </c>
      <c r="G12" s="74">
        <f>F12+'23'!G12</f>
        <v>0</v>
      </c>
      <c r="H12" s="74">
        <f>F12+'23'!H12</f>
        <v>137.76</v>
      </c>
      <c r="I12" s="77">
        <f>'Mines (2)'!S26</f>
        <v>0</v>
      </c>
      <c r="J12" s="74">
        <f>I12+'23'!J12</f>
        <v>0</v>
      </c>
      <c r="K12" s="74">
        <f>I12+'23'!K12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199">
        <v>5</v>
      </c>
      <c r="C13" s="501" t="s">
        <v>8</v>
      </c>
      <c r="D13" s="502"/>
      <c r="E13" s="77">
        <f>'Mines (2)'!AH26</f>
        <v>383.44</v>
      </c>
      <c r="F13" s="77">
        <f>'Mines (2)'!AI26</f>
        <v>0</v>
      </c>
      <c r="G13" s="74">
        <f>F13+'23'!G13</f>
        <v>121.08</v>
      </c>
      <c r="H13" s="74">
        <f>F13+'23'!H13</f>
        <v>121.08</v>
      </c>
      <c r="I13" s="77">
        <f>'Mines (2)'!AK26</f>
        <v>17</v>
      </c>
      <c r="J13" s="74">
        <f>I13+'23'!J13</f>
        <v>53</v>
      </c>
      <c r="K13" s="74">
        <f>I13+'23'!K13</f>
        <v>53</v>
      </c>
      <c r="L13" s="77">
        <f>E13+F13-I13</f>
        <v>366.44</v>
      </c>
      <c r="M13" s="74">
        <v>0</v>
      </c>
      <c r="N13" s="75">
        <f>(I13/I15)*100</f>
        <v>1.007705986959099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F14+'23'!G14</f>
        <v>0</v>
      </c>
      <c r="H14" s="74">
        <f>F14+'23'!H14</f>
        <v>0</v>
      </c>
      <c r="I14" s="77">
        <v>0</v>
      </c>
      <c r="J14" s="74">
        <f>I14+'23'!J14</f>
        <v>0</v>
      </c>
      <c r="K14" s="74">
        <f>I14+'23'!K14</f>
        <v>0</v>
      </c>
      <c r="L14" s="77">
        <f t="shared" ref="L14" si="2">E14+F14-I14</f>
        <v>0</v>
      </c>
      <c r="M14" s="74"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734" t="s">
        <v>265</v>
      </c>
      <c r="D15" s="735"/>
      <c r="E15" s="127">
        <f>SUM(E9:E14)</f>
        <v>30049.2186024396</v>
      </c>
      <c r="F15" s="127">
        <f t="shared" ref="F15:N15" si="3">SUM(F9:F14)</f>
        <v>2274.7400000000002</v>
      </c>
      <c r="G15" s="127">
        <f t="shared" si="3"/>
        <v>71079.360000000015</v>
      </c>
      <c r="H15" s="127">
        <f t="shared" si="3"/>
        <v>233771.08000000007</v>
      </c>
      <c r="I15" s="127">
        <f t="shared" si="3"/>
        <v>1687</v>
      </c>
      <c r="J15" s="127">
        <f t="shared" si="3"/>
        <v>55358</v>
      </c>
      <c r="K15" s="127">
        <f t="shared" si="3"/>
        <v>201744</v>
      </c>
      <c r="L15" s="127">
        <f t="shared" si="3"/>
        <v>30232.236380217382</v>
      </c>
      <c r="M15" s="127">
        <f t="shared" si="3"/>
        <v>1670</v>
      </c>
      <c r="N15" s="127">
        <f t="shared" si="3"/>
        <v>100</v>
      </c>
      <c r="O15" s="515"/>
      <c r="P15" s="522"/>
      <c r="Q15" s="523"/>
    </row>
    <row r="16" spans="2:21">
      <c r="B16" s="569">
        <v>6</v>
      </c>
      <c r="C16" s="476" t="s">
        <v>266</v>
      </c>
      <c r="D16" s="80" t="s">
        <v>63</v>
      </c>
      <c r="E16" s="77">
        <f>Clinker!EB26</f>
        <v>3117.8269999999907</v>
      </c>
      <c r="F16" s="77">
        <f>Clinker!EC26</f>
        <v>243.06</v>
      </c>
      <c r="G16" s="77">
        <f>F16+'23'!G16</f>
        <v>4220.920000000001</v>
      </c>
      <c r="H16" s="77">
        <f>F16+'23'!H16</f>
        <v>5026.16</v>
      </c>
      <c r="I16" s="77">
        <f>Clinker!ED26</f>
        <v>175</v>
      </c>
      <c r="J16" s="77">
        <f>I16+'23'!J16</f>
        <v>5663.1099999999988</v>
      </c>
      <c r="K16" s="77">
        <f>I16+'23'!K16</f>
        <v>20380.419999999998</v>
      </c>
      <c r="L16" s="77">
        <f>E16+F16-Clinker!N26-Clinker!Z26-Clinker!AS26-Clinker!AX26-Clinker!BC26-Clinker!BW26-Clinker!BH26-Clinker!BM26-Clinker!BR26-Clinker!CV26-Clinker!DF26-Clinker!DP26</f>
        <v>3350.8869999999906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64"/>
      <c r="C17" s="477"/>
      <c r="D17" s="80" t="s">
        <v>62</v>
      </c>
      <c r="E17" s="77">
        <f>Clinker!EF26</f>
        <v>4023.3199999999933</v>
      </c>
      <c r="F17" s="77">
        <f>Clinker!EG26</f>
        <v>61</v>
      </c>
      <c r="G17" s="77">
        <f>F17+'23'!G17</f>
        <v>3343.6000000000004</v>
      </c>
      <c r="H17" s="77">
        <f>F17+'23'!H17</f>
        <v>5484.5499999999993</v>
      </c>
      <c r="I17" s="77">
        <f>Clinker!EH26</f>
        <v>132</v>
      </c>
      <c r="J17" s="77">
        <f>I17+'23'!J17</f>
        <v>3440</v>
      </c>
      <c r="K17" s="77">
        <f>I17+'23'!K17</f>
        <v>11612</v>
      </c>
      <c r="L17" s="77">
        <f>E17+F17-I16-Clinker!T26-Clinker!AE26-Clinker!AJ26-Clinker!CL26-Clinker!CQ26-Clinker!CG26</f>
        <v>3787.3199999999933</v>
      </c>
      <c r="M17" s="81"/>
      <c r="N17" s="81"/>
      <c r="O17" s="515"/>
      <c r="P17" s="82"/>
      <c r="Q17" s="82"/>
      <c r="R17" s="83"/>
      <c r="S17" s="83"/>
    </row>
    <row r="18" spans="2:19">
      <c r="B18" s="730"/>
      <c r="C18" s="524"/>
      <c r="D18" s="124" t="s">
        <v>162</v>
      </c>
      <c r="E18" s="125">
        <f>E16+E17</f>
        <v>7141.1469999999845</v>
      </c>
      <c r="F18" s="125">
        <f>F16+F17</f>
        <v>304.06</v>
      </c>
      <c r="G18" s="125">
        <f t="shared" ref="G18:K18" si="4">G16+G17</f>
        <v>7564.5200000000013</v>
      </c>
      <c r="H18" s="125">
        <f t="shared" si="4"/>
        <v>10510.71</v>
      </c>
      <c r="I18" s="125">
        <f t="shared" si="4"/>
        <v>307</v>
      </c>
      <c r="J18" s="125">
        <f>J16+J17</f>
        <v>9103.1099999999988</v>
      </c>
      <c r="K18" s="125">
        <f t="shared" si="4"/>
        <v>31992.42</v>
      </c>
      <c r="L18" s="125">
        <f t="shared" si="0"/>
        <v>7138.2069999999849</v>
      </c>
      <c r="M18" s="126"/>
      <c r="N18" s="126"/>
      <c r="O18" s="737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69">
        <v>7</v>
      </c>
      <c r="C20" s="476" t="s">
        <v>268</v>
      </c>
      <c r="D20" s="85" t="s">
        <v>269</v>
      </c>
      <c r="E20" s="74">
        <f>Clinker!EJ26</f>
        <v>16602.378564427196</v>
      </c>
      <c r="F20" s="74">
        <f>Clinker!EK26</f>
        <v>750</v>
      </c>
      <c r="G20" s="74">
        <f>F20+'23'!G20</f>
        <v>32507</v>
      </c>
      <c r="H20" s="74">
        <f>F20+'23'!H20</f>
        <v>118033</v>
      </c>
      <c r="I20" s="74">
        <f>Clinker!EL26</f>
        <v>2352.7730000100019</v>
      </c>
      <c r="J20" s="74">
        <f>I20+'23'!J20</f>
        <v>43453.203521344491</v>
      </c>
      <c r="K20" s="74">
        <f>I20+'23'!K20</f>
        <v>106314.93453520953</v>
      </c>
      <c r="L20" s="74">
        <f>E20+F20-I20-I22</f>
        <v>14999.605564417194</v>
      </c>
      <c r="M20" s="641">
        <f>((I20+I21)/(J42+J48))*100</f>
        <v>82.264790210139921</v>
      </c>
      <c r="N20" s="731"/>
      <c r="O20" s="733"/>
      <c r="P20" s="533"/>
      <c r="Q20" s="534"/>
      <c r="R20" s="190"/>
      <c r="S20" s="190"/>
    </row>
    <row r="21" spans="2:19" ht="45">
      <c r="B21" s="564"/>
      <c r="C21" s="477"/>
      <c r="D21" s="85" t="s">
        <v>70</v>
      </c>
      <c r="E21" s="74">
        <f>Clinker!EO26</f>
        <v>89.258008000135931</v>
      </c>
      <c r="F21" s="74">
        <f>Clinker!EP26</f>
        <v>0</v>
      </c>
      <c r="G21" s="74">
        <f>F21+'23'!G21</f>
        <v>0</v>
      </c>
      <c r="H21" s="74">
        <f>F21+'23'!H21</f>
        <v>13390.660000000003</v>
      </c>
      <c r="I21" s="74">
        <f>Clinker!EQ26</f>
        <v>0</v>
      </c>
      <c r="J21" s="74">
        <f>I21+'23'!J21</f>
        <v>5216.8510000000006</v>
      </c>
      <c r="K21" s="74">
        <f>I21+'23'!K21</f>
        <v>22150.950999999997</v>
      </c>
      <c r="L21" s="74">
        <f>E21+F21-I21</f>
        <v>89.258008000135931</v>
      </c>
      <c r="M21" s="642"/>
      <c r="N21" s="732"/>
      <c r="O21" s="527"/>
      <c r="P21" s="535"/>
      <c r="Q21" s="536"/>
      <c r="R21" s="20"/>
      <c r="S21" s="20"/>
    </row>
    <row r="22" spans="2:19" ht="30">
      <c r="B22" s="730"/>
      <c r="C22" s="524"/>
      <c r="D22" s="86" t="s">
        <v>270</v>
      </c>
      <c r="E22" s="77"/>
      <c r="F22" s="77">
        <f>Clinker!EN26</f>
        <v>0</v>
      </c>
      <c r="G22" s="74">
        <f>F22+'23'!G22</f>
        <v>0</v>
      </c>
      <c r="H22" s="74">
        <f>F22+'23'!H22</f>
        <v>0</v>
      </c>
      <c r="I22" s="77">
        <f>Clinker!EN26</f>
        <v>0</v>
      </c>
      <c r="J22" s="74">
        <f>I22+'23'!J22</f>
        <v>0</v>
      </c>
      <c r="K22" s="74">
        <f>I22+'23'!K22</f>
        <v>0</v>
      </c>
      <c r="L22" s="74"/>
      <c r="M22" s="78"/>
      <c r="N22" s="525"/>
      <c r="O22" s="527"/>
      <c r="P22" s="570"/>
      <c r="Q22" s="571"/>
      <c r="R22" s="20"/>
      <c r="S22" s="20"/>
    </row>
    <row r="23" spans="2:19">
      <c r="B23" s="229">
        <v>8</v>
      </c>
      <c r="C23" s="474" t="s">
        <v>263</v>
      </c>
      <c r="D23" s="475"/>
      <c r="E23" s="77"/>
      <c r="F23" s="77"/>
      <c r="G23" s="74"/>
      <c r="H23" s="74"/>
      <c r="I23" s="77">
        <f>Cement!S26</f>
        <v>404.72222222222007</v>
      </c>
      <c r="J23" s="74">
        <f>I23+'23'!J23</f>
        <v>10814.683882113784</v>
      </c>
      <c r="K23" s="74">
        <f>I23+'23'!K23</f>
        <v>31288.035316966463</v>
      </c>
      <c r="L23" s="74"/>
      <c r="M23" s="78">
        <f>(I23/(J42+J48))*100</f>
        <v>14.151126651126575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474" t="s">
        <v>271</v>
      </c>
      <c r="D24" s="475"/>
      <c r="E24" s="77">
        <f>Cement!C26</f>
        <v>2994.0477891415321</v>
      </c>
      <c r="F24" s="77">
        <f>Cement!D26</f>
        <v>270.60000000000002</v>
      </c>
      <c r="G24" s="74">
        <f>F24+'23'!G24</f>
        <v>2150.36</v>
      </c>
      <c r="H24" s="74">
        <f>F24+'23'!H24</f>
        <v>4276.9799999999996</v>
      </c>
      <c r="I24" s="77">
        <f>Cement!F26</f>
        <v>150.50210525263159</v>
      </c>
      <c r="J24" s="74">
        <f>I24+'23'!J24</f>
        <v>3244.5448534357392</v>
      </c>
      <c r="K24" s="74">
        <f>I24+'23'!K24</f>
        <v>8608.2143752608845</v>
      </c>
      <c r="L24" s="74">
        <f t="shared" ref="L24:L26" si="5">E24+F24-I24</f>
        <v>3114.1456838889003</v>
      </c>
      <c r="M24" s="78">
        <f>(I24/(J42+J48))*100</f>
        <v>5.2623113724696369</v>
      </c>
      <c r="N24" s="78"/>
      <c r="O24" s="527"/>
      <c r="P24" s="87">
        <v>5</v>
      </c>
      <c r="Q24" s="573"/>
      <c r="R24" s="20"/>
      <c r="S24" s="20"/>
    </row>
    <row r="25" spans="2:19">
      <c r="B25" s="569">
        <v>10</v>
      </c>
      <c r="C25" s="476" t="s">
        <v>272</v>
      </c>
      <c r="D25" s="76" t="s">
        <v>82</v>
      </c>
      <c r="E25" s="77">
        <f>Cement!H26</f>
        <v>0.23999999999796273</v>
      </c>
      <c r="F25" s="77">
        <f>Cement!I26</f>
        <v>0</v>
      </c>
      <c r="G25" s="74">
        <f>F25+'23'!G25</f>
        <v>0</v>
      </c>
      <c r="H25" s="74">
        <f>F25+'23'!H25</f>
        <v>0</v>
      </c>
      <c r="I25" s="77">
        <f>Cement!J26</f>
        <v>0</v>
      </c>
      <c r="J25" s="74">
        <f>I25+'23'!J25</f>
        <v>0</v>
      </c>
      <c r="K25" s="74">
        <f>I25+'23'!K25</f>
        <v>0</v>
      </c>
      <c r="L25" s="74">
        <f t="shared" si="5"/>
        <v>0.23999999999796273</v>
      </c>
      <c r="M25" s="739"/>
      <c r="N25" s="740"/>
      <c r="O25" s="527"/>
      <c r="P25" s="533"/>
      <c r="Q25" s="534"/>
      <c r="R25" s="83"/>
      <c r="S25" s="83"/>
    </row>
    <row r="26" spans="2:19">
      <c r="B26" s="730"/>
      <c r="C26" s="524"/>
      <c r="D26" s="76" t="s">
        <v>273</v>
      </c>
      <c r="E26" s="77">
        <f>Cement!L26</f>
        <v>0</v>
      </c>
      <c r="F26" s="77">
        <f>Cement!M26</f>
        <v>0</v>
      </c>
      <c r="G26" s="74">
        <f>F26+'23'!G26</f>
        <v>0</v>
      </c>
      <c r="H26" s="74">
        <f>F26+'23'!H26</f>
        <v>0</v>
      </c>
      <c r="I26" s="77">
        <f>Cement!N26</f>
        <v>0</v>
      </c>
      <c r="J26" s="74">
        <f>I26+'23'!J26</f>
        <v>0</v>
      </c>
      <c r="K26" s="74">
        <f>I26+'23'!K26</f>
        <v>0</v>
      </c>
      <c r="L26" s="74">
        <f t="shared" si="5"/>
        <v>0</v>
      </c>
      <c r="M26" s="741"/>
      <c r="N26" s="74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743" t="s">
        <v>274</v>
      </c>
      <c r="D27" s="744"/>
      <c r="E27" s="122">
        <f>E20+E21+E23+E24+E25+E26</f>
        <v>19685.924361568861</v>
      </c>
      <c r="F27" s="122">
        <f t="shared" ref="F27" si="6">F20+F21+F23+F24+F25+F26</f>
        <v>1020.6</v>
      </c>
      <c r="G27" s="122">
        <f t="shared" ref="G27:L27" si="7">G20+G21+G23+G24+G25+G26</f>
        <v>34657.360000000001</v>
      </c>
      <c r="H27" s="122">
        <f t="shared" si="7"/>
        <v>135700.64000000001</v>
      </c>
      <c r="I27" s="122">
        <f t="shared" si="7"/>
        <v>2907.9973274848535</v>
      </c>
      <c r="J27" s="122">
        <f t="shared" si="7"/>
        <v>62729.283256894021</v>
      </c>
      <c r="K27" s="122">
        <f t="shared" si="7"/>
        <v>168362.1352274369</v>
      </c>
      <c r="L27" s="122">
        <f t="shared" si="7"/>
        <v>18203.249256306226</v>
      </c>
      <c r="M27" s="745"/>
      <c r="N27" s="746"/>
      <c r="O27" s="528"/>
      <c r="P27" s="537"/>
      <c r="Q27" s="538"/>
      <c r="R27" s="83"/>
      <c r="S27" s="83"/>
    </row>
    <row r="28" spans="2:19" ht="14.45" customHeight="1" thickBot="1">
      <c r="B28" s="692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3"/>
      <c r="N28" s="693"/>
      <c r="O28" s="693"/>
      <c r="P28" s="693"/>
      <c r="Q28" s="694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649" t="s">
        <v>250</v>
      </c>
      <c r="C30" s="725" t="s">
        <v>276</v>
      </c>
      <c r="D30" s="726"/>
      <c r="E30" s="134" t="s">
        <v>277</v>
      </c>
      <c r="F30" s="727" t="s">
        <v>278</v>
      </c>
      <c r="G30" s="728"/>
      <c r="H30" s="729"/>
      <c r="I30" s="509" t="s">
        <v>279</v>
      </c>
      <c r="J30" s="713" t="s">
        <v>80</v>
      </c>
      <c r="K30" s="714"/>
      <c r="L30" s="684"/>
      <c r="M30" s="713" t="s">
        <v>79</v>
      </c>
      <c r="N30" s="714"/>
      <c r="O30" s="684"/>
      <c r="P30" s="509" t="s">
        <v>256</v>
      </c>
      <c r="Q30" s="514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721" t="s">
        <v>281</v>
      </c>
      <c r="D32" s="722"/>
      <c r="E32" s="92">
        <v>250</v>
      </c>
      <c r="F32" s="75">
        <f>Production2!C26</f>
        <v>17.25</v>
      </c>
      <c r="G32" s="75">
        <f>F32+'23'!G32</f>
        <v>442.67</v>
      </c>
      <c r="H32" s="75">
        <f>F32+'23'!H32</f>
        <v>1411.8000000000002</v>
      </c>
      <c r="I32" s="74">
        <f>'Mines (2)'!C26+'Mines (2)'!H26+'Mines (2)'!V26+'Mines (2)'!Z26+'Mines (2)'!AD26</f>
        <v>25165.638602439602</v>
      </c>
      <c r="J32" s="74">
        <f>Production2!D26</f>
        <v>2243.84</v>
      </c>
      <c r="K32" s="74">
        <f>J32+'23'!K32</f>
        <v>69489.640000000014</v>
      </c>
      <c r="L32" s="74">
        <f>J32+'23'!L32</f>
        <v>226356.92000000007</v>
      </c>
      <c r="M32" s="74">
        <f>I9+I23</f>
        <v>2018.7222222222201</v>
      </c>
      <c r="N32" s="74">
        <f>M32+'23'!N32</f>
        <v>63566.683882113779</v>
      </c>
      <c r="O32" s="74">
        <f>M32+'23'!O32</f>
        <v>224071.03531696644</v>
      </c>
      <c r="P32" s="74">
        <f>I32+J32-M32</f>
        <v>25390.756380217383</v>
      </c>
      <c r="Q32" s="93">
        <f t="shared" ref="Q32:Q38" si="8">J32/F32</f>
        <v>130.07768115942031</v>
      </c>
      <c r="R32" s="94"/>
      <c r="S32" s="94"/>
    </row>
    <row r="33" spans="2:21">
      <c r="B33" s="79">
        <v>2</v>
      </c>
      <c r="C33" s="501" t="s">
        <v>154</v>
      </c>
      <c r="D33" s="502"/>
      <c r="E33" s="95">
        <v>120</v>
      </c>
      <c r="F33" s="78">
        <f>Production2!G26</f>
        <v>14.1</v>
      </c>
      <c r="G33" s="75">
        <f>F33+'23'!G33</f>
        <v>409.08</v>
      </c>
      <c r="H33" s="75">
        <f>F33+'23'!H33</f>
        <v>1478.6199999999994</v>
      </c>
      <c r="I33" s="541">
        <f>Production2!H26</f>
        <v>391.93001683751845</v>
      </c>
      <c r="J33" s="78">
        <f>Production2!N26</f>
        <v>1519.92</v>
      </c>
      <c r="K33" s="74">
        <f>J33+'23'!K33</f>
        <v>47420.959999999999</v>
      </c>
      <c r="L33" s="74">
        <f>J33+'23'!L33</f>
        <v>173706.55</v>
      </c>
      <c r="M33" s="541">
        <f>Production2!K26</f>
        <v>1162.5</v>
      </c>
      <c r="N33" s="541">
        <f>M33+'23'!N33</f>
        <v>50385.850000000006</v>
      </c>
      <c r="O33" s="541">
        <f>M33+'23'!O33</f>
        <v>182951.15</v>
      </c>
      <c r="P33" s="541">
        <f>I33+J33+J34-M33</f>
        <v>749.35001683751852</v>
      </c>
      <c r="Q33" s="96">
        <f t="shared" si="8"/>
        <v>107.79574468085107</v>
      </c>
      <c r="R33" s="94"/>
      <c r="S33" s="94"/>
    </row>
    <row r="34" spans="2:21">
      <c r="B34" s="91">
        <v>3</v>
      </c>
      <c r="C34" s="501" t="s">
        <v>283</v>
      </c>
      <c r="D34" s="502"/>
      <c r="E34" s="95">
        <v>20</v>
      </c>
      <c r="F34" s="78">
        <f>Production2!P26</f>
        <v>0</v>
      </c>
      <c r="G34" s="75">
        <f>F34+'23'!G34</f>
        <v>269.88</v>
      </c>
      <c r="H34" s="75">
        <f>F34+'23'!H34</f>
        <v>885.55</v>
      </c>
      <c r="I34" s="473"/>
      <c r="J34" s="78">
        <f>Production2!Q26</f>
        <v>0</v>
      </c>
      <c r="K34" s="74">
        <f>J34+'23'!K34</f>
        <v>2446.6</v>
      </c>
      <c r="L34" s="74">
        <f>J34+'23'!L34</f>
        <v>8000.22</v>
      </c>
      <c r="M34" s="473"/>
      <c r="N34" s="473"/>
      <c r="O34" s="473"/>
      <c r="P34" s="473"/>
      <c r="Q34" s="96" t="e">
        <f>J34/F34</f>
        <v>#DIV/0!</v>
      </c>
      <c r="R34" s="94"/>
      <c r="S34" s="94"/>
    </row>
    <row r="35" spans="2:21">
      <c r="B35" s="79">
        <v>4</v>
      </c>
      <c r="C35" s="501" t="s">
        <v>157</v>
      </c>
      <c r="D35" s="502"/>
      <c r="E35" s="95">
        <v>10</v>
      </c>
      <c r="F35" s="78">
        <f>Production2!S26</f>
        <v>11.91</v>
      </c>
      <c r="G35" s="75">
        <f>F35+'23'!G35</f>
        <v>376.90999999999997</v>
      </c>
      <c r="H35" s="75">
        <f>F35+'23'!H35</f>
        <v>1330.24</v>
      </c>
      <c r="I35" s="77">
        <f>Production2!T26</f>
        <v>45.409999999999805</v>
      </c>
      <c r="J35" s="77">
        <f>Production2!U26</f>
        <v>157.5</v>
      </c>
      <c r="K35" s="74">
        <f>J35+'23'!K35</f>
        <v>5096.8000000000011</v>
      </c>
      <c r="L35" s="74">
        <f>J35+'23'!L35</f>
        <v>18342.399999999994</v>
      </c>
      <c r="M35" s="77">
        <f>Production2!V26</f>
        <v>165</v>
      </c>
      <c r="N35" s="74">
        <f>M35+'23'!N35</f>
        <v>5101</v>
      </c>
      <c r="O35" s="74">
        <f>M35+'23'!O35</f>
        <v>18320</v>
      </c>
      <c r="P35" s="74">
        <f t="shared" ref="P35:P36" si="9">I35+J35-M35</f>
        <v>37.909999999999798</v>
      </c>
      <c r="Q35" s="96">
        <f t="shared" si="8"/>
        <v>13.224181360201511</v>
      </c>
      <c r="R35" s="94"/>
      <c r="S35" s="94"/>
    </row>
    <row r="36" spans="2:21">
      <c r="B36" s="91">
        <v>5</v>
      </c>
      <c r="C36" s="501" t="s">
        <v>63</v>
      </c>
      <c r="D36" s="502"/>
      <c r="E36" s="95">
        <v>50</v>
      </c>
      <c r="F36" s="78">
        <f>Production2!Y26</f>
        <v>16.05</v>
      </c>
      <c r="G36" s="75">
        <f>F36+'23'!G36</f>
        <v>529.30999999999995</v>
      </c>
      <c r="H36" s="75">
        <f>F36+'23'!H36</f>
        <v>1844.12</v>
      </c>
      <c r="I36" s="77">
        <f>Clinker!EJ26</f>
        <v>16602.378564427196</v>
      </c>
      <c r="J36" s="77">
        <f>Clinker!EK26</f>
        <v>750</v>
      </c>
      <c r="K36" s="74">
        <f>J36+'23'!K36</f>
        <v>32507</v>
      </c>
      <c r="L36" s="74">
        <f>J36+'23'!L36</f>
        <v>118033</v>
      </c>
      <c r="M36" s="77">
        <f>Clinker!EL26</f>
        <v>2352.7730000100019</v>
      </c>
      <c r="N36" s="74">
        <f>M36+'23'!N36</f>
        <v>43453.203521344491</v>
      </c>
      <c r="O36" s="74">
        <f>M36+'23'!O36</f>
        <v>106314.93453520953</v>
      </c>
      <c r="P36" s="74">
        <f t="shared" si="9"/>
        <v>14999.605564417194</v>
      </c>
      <c r="Q36" s="96">
        <f t="shared" si="8"/>
        <v>46.728971962616818</v>
      </c>
      <c r="R36" s="94"/>
      <c r="S36" s="94"/>
    </row>
    <row r="37" spans="2:21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Production2!AE26</f>
        <v>0</v>
      </c>
      <c r="G37" s="75">
        <f>F37+'23'!G37</f>
        <v>24.2</v>
      </c>
      <c r="H37" s="75">
        <f>F37+'23'!H37</f>
        <v>63.900000000000006</v>
      </c>
      <c r="I37" s="77">
        <f>Production2!BJ26</f>
        <v>155.19999999999996</v>
      </c>
      <c r="J37" s="77">
        <f>Production2!AF26</f>
        <v>0</v>
      </c>
      <c r="K37" s="74">
        <f>J37+'23'!K37</f>
        <v>1661</v>
      </c>
      <c r="L37" s="74">
        <f>J37+'23'!L37</f>
        <v>4295</v>
      </c>
      <c r="M37" s="77">
        <f>Production2!BL26</f>
        <v>180</v>
      </c>
      <c r="N37" s="74">
        <f>M37+'23'!N37</f>
        <v>3222</v>
      </c>
      <c r="O37" s="74">
        <f>M37+'23'!O37</f>
        <v>8260</v>
      </c>
      <c r="P37" s="74">
        <f>I37+J37+J43-M37</f>
        <v>215.19999999999993</v>
      </c>
      <c r="Q37" s="96" t="e">
        <f t="shared" si="8"/>
        <v>#DIV/0!</v>
      </c>
      <c r="R37" s="94"/>
      <c r="S37" s="94"/>
    </row>
    <row r="38" spans="2:21">
      <c r="B38" s="564"/>
      <c r="C38" s="477"/>
      <c r="D38" s="80" t="s">
        <v>286</v>
      </c>
      <c r="E38" s="97">
        <v>78</v>
      </c>
      <c r="F38" s="78">
        <f>Production2!AB26</f>
        <v>24</v>
      </c>
      <c r="G38" s="75">
        <f>F38+'23'!G38</f>
        <v>445.45</v>
      </c>
      <c r="H38" s="75">
        <f>F38+'23'!H38</f>
        <v>943.92</v>
      </c>
      <c r="I38" s="77">
        <f>Production2!BF26</f>
        <v>898.88799999997764</v>
      </c>
      <c r="J38" s="77">
        <f>Production2!AC26</f>
        <v>1540</v>
      </c>
      <c r="K38" s="74">
        <f>J38+'23'!K38</f>
        <v>29148</v>
      </c>
      <c r="L38" s="74">
        <f>J38+'23'!L38</f>
        <v>60478</v>
      </c>
      <c r="M38" s="77">
        <f>Production2!BH26</f>
        <v>2221</v>
      </c>
      <c r="N38" s="74">
        <f>M38+'23'!N38</f>
        <v>52531.840000000004</v>
      </c>
      <c r="O38" s="74">
        <f>M38+'23'!O38</f>
        <v>133274.66999999998</v>
      </c>
      <c r="P38" s="74">
        <f>I38+J38+J44-M38</f>
        <v>832.88799999997764</v>
      </c>
      <c r="Q38" s="96">
        <f t="shared" si="8"/>
        <v>64.166666666666671</v>
      </c>
      <c r="R38" s="94"/>
      <c r="S38" s="94"/>
    </row>
    <row r="39" spans="2:21">
      <c r="B39" s="564"/>
      <c r="C39" s="477"/>
      <c r="D39" s="80" t="s">
        <v>287</v>
      </c>
      <c r="E39" s="97">
        <v>78</v>
      </c>
      <c r="F39" s="78">
        <f>Production2!AH26</f>
        <v>0</v>
      </c>
      <c r="G39" s="75">
        <f>F39+'23'!G39</f>
        <v>0</v>
      </c>
      <c r="H39" s="75">
        <f>F39+'23'!H39</f>
        <v>0</v>
      </c>
      <c r="I39" s="77">
        <f>Production2!BN26</f>
        <v>9.0000000000849845E-2</v>
      </c>
      <c r="J39" s="77">
        <f>Production2!AI26</f>
        <v>0</v>
      </c>
      <c r="K39" s="74">
        <f>J39+'23'!K39</f>
        <v>0</v>
      </c>
      <c r="L39" s="74">
        <f>J39+'23'!L39</f>
        <v>0</v>
      </c>
      <c r="M39" s="77">
        <f>Production2!BP26</f>
        <v>0</v>
      </c>
      <c r="N39" s="74">
        <f>M39+'23'!N39</f>
        <v>0</v>
      </c>
      <c r="O39" s="74">
        <f>M39+'23'!O39</f>
        <v>-0.15</v>
      </c>
      <c r="P39" s="74">
        <f>I39+J39+J45-M39</f>
        <v>9.0000000000849845E-2</v>
      </c>
      <c r="Q39" s="96" t="e">
        <f t="shared" ref="Q39:Q47" si="10">J39/F39</f>
        <v>#DIV/0!</v>
      </c>
      <c r="R39" s="94"/>
      <c r="S39" s="94"/>
    </row>
    <row r="40" spans="2:21">
      <c r="B40" s="564"/>
      <c r="C40" s="477"/>
      <c r="D40" s="194" t="s">
        <v>187</v>
      </c>
      <c r="E40" s="97">
        <v>65</v>
      </c>
      <c r="F40" s="84">
        <f>Production2!AK26</f>
        <v>0</v>
      </c>
      <c r="G40" s="75">
        <f>F40+'23'!G40</f>
        <v>3</v>
      </c>
      <c r="H40" s="75">
        <f>F40+'23'!H40</f>
        <v>8</v>
      </c>
      <c r="I40" s="195">
        <f>Production2!BR26</f>
        <v>110.35000000000002</v>
      </c>
      <c r="J40" s="195">
        <v>0</v>
      </c>
      <c r="K40" s="74">
        <f>J40+'23'!K40</f>
        <v>185</v>
      </c>
      <c r="L40" s="74">
        <f>J40+'23'!L40</f>
        <v>485</v>
      </c>
      <c r="M40" s="195">
        <f>Production2!BT26</f>
        <v>105</v>
      </c>
      <c r="N40" s="74">
        <f>M40+'23'!N40</f>
        <v>1706</v>
      </c>
      <c r="O40" s="74">
        <f>M40+'23'!O40</f>
        <v>4738.5</v>
      </c>
      <c r="P40" s="74">
        <f>I40+J46-M40</f>
        <v>170.35000000000002</v>
      </c>
      <c r="Q40" s="96" t="e">
        <f t="shared" si="10"/>
        <v>#DIV/0!</v>
      </c>
      <c r="R40" s="94"/>
      <c r="S40" s="94"/>
    </row>
    <row r="41" spans="2:21">
      <c r="B41" s="564"/>
      <c r="C41" s="477"/>
      <c r="D41" s="80" t="s">
        <v>288</v>
      </c>
      <c r="E41" s="97"/>
      <c r="F41" s="84">
        <f>Production2!AN26</f>
        <v>0</v>
      </c>
      <c r="G41" s="75">
        <f>F41+'23'!G41</f>
        <v>56.5</v>
      </c>
      <c r="H41" s="75">
        <f>F41+'23'!H41</f>
        <v>182.67</v>
      </c>
      <c r="I41" s="195">
        <f>Production2!BV26</f>
        <v>197.22000000000008</v>
      </c>
      <c r="J41" s="195">
        <f>Production2!AO26</f>
        <v>0</v>
      </c>
      <c r="K41" s="74">
        <f>J41+'23'!K41</f>
        <v>3883</v>
      </c>
      <c r="L41" s="74">
        <f>J41+'23'!L41</f>
        <v>12061</v>
      </c>
      <c r="M41" s="195">
        <f>Production2!BX26</f>
        <v>307.88</v>
      </c>
      <c r="N41" s="74">
        <f>M41+'23'!N41</f>
        <v>6307.0599999999995</v>
      </c>
      <c r="O41" s="74">
        <f>M41+'23'!O41</f>
        <v>20302.370000000003</v>
      </c>
      <c r="P41" s="74">
        <f>I41+J41+J47-M41-F63</f>
        <v>189.34000000000009</v>
      </c>
      <c r="Q41" s="96" t="e">
        <f t="shared" si="10"/>
        <v>#DIV/0!</v>
      </c>
      <c r="R41" s="94"/>
      <c r="S41" s="94"/>
    </row>
    <row r="42" spans="2:21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>G37+G38+G39+G40+G41</f>
        <v>529.15</v>
      </c>
      <c r="H42" s="132">
        <f t="shared" ref="H42" si="11">H37+H38+H39+H40+H41</f>
        <v>1198.49</v>
      </c>
      <c r="I42" s="122">
        <f>I37+I38+I39+I40+I41</f>
        <v>1361.7479999999784</v>
      </c>
      <c r="J42" s="122">
        <f t="shared" ref="J42:O42" si="12">J37+J38+J39+J40+J41</f>
        <v>1540</v>
      </c>
      <c r="K42" s="122">
        <f>K37+K38+K39+K40+K41</f>
        <v>34877</v>
      </c>
      <c r="L42" s="122">
        <f>L37+L38+L39+L40+L41</f>
        <v>77319</v>
      </c>
      <c r="M42" s="122">
        <f>M37+M38+M39+M40+M41</f>
        <v>2813.88</v>
      </c>
      <c r="N42" s="122">
        <f>N37+N38+N39+N40+N41</f>
        <v>63766.9</v>
      </c>
      <c r="O42" s="122">
        <f t="shared" si="12"/>
        <v>166575.38999999998</v>
      </c>
      <c r="P42" s="122">
        <f>P37+P38+P39+P40+P41</f>
        <v>1407.8679999999786</v>
      </c>
      <c r="Q42" s="122">
        <f>J42/F42</f>
        <v>64.166666666666671</v>
      </c>
      <c r="R42" s="94"/>
      <c r="S42" s="94">
        <f>J42+J48</f>
        <v>2860</v>
      </c>
    </row>
    <row r="43" spans="2:21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Production2!AT26</f>
        <v>4</v>
      </c>
      <c r="G43" s="75">
        <f>F43+'23'!G43</f>
        <v>19.5</v>
      </c>
      <c r="H43" s="75">
        <f>F43+'23'!H43</f>
        <v>64.929999999999993</v>
      </c>
      <c r="I43" s="471"/>
      <c r="J43" s="77">
        <f>Production2!AU26</f>
        <v>240</v>
      </c>
      <c r="K43" s="74">
        <f>J43+'23'!K43</f>
        <v>1198</v>
      </c>
      <c r="L43" s="74">
        <f>J43+'23'!L43</f>
        <v>3948</v>
      </c>
      <c r="M43" s="542"/>
      <c r="N43" s="543"/>
      <c r="O43" s="543"/>
      <c r="P43" s="544"/>
      <c r="Q43" s="96">
        <f t="shared" si="10"/>
        <v>60</v>
      </c>
      <c r="R43" s="94"/>
      <c r="S43" s="94"/>
    </row>
    <row r="44" spans="2:21">
      <c r="B44" s="564"/>
      <c r="C44" s="477"/>
      <c r="D44" s="80" t="s">
        <v>286</v>
      </c>
      <c r="E44" s="97">
        <v>70</v>
      </c>
      <c r="F44" s="78">
        <f>Production2!AQ26</f>
        <v>12</v>
      </c>
      <c r="G44" s="75">
        <f>F44+'23'!G44</f>
        <v>384.03</v>
      </c>
      <c r="H44" s="75">
        <f>F44+'23'!H44</f>
        <v>1234.44</v>
      </c>
      <c r="I44" s="472"/>
      <c r="J44" s="77">
        <f>Production2!AR26</f>
        <v>615</v>
      </c>
      <c r="K44" s="74">
        <f>J44+'23'!K44</f>
        <v>22400</v>
      </c>
      <c r="L44" s="74">
        <f>J44+'23'!L44</f>
        <v>72361</v>
      </c>
      <c r="M44" s="545"/>
      <c r="N44" s="546"/>
      <c r="O44" s="546"/>
      <c r="P44" s="547"/>
      <c r="Q44" s="96">
        <f t="shared" si="10"/>
        <v>51.25</v>
      </c>
      <c r="R44" s="94"/>
      <c r="S44" s="94"/>
    </row>
    <row r="45" spans="2:21">
      <c r="B45" s="564"/>
      <c r="C45" s="477"/>
      <c r="D45" s="80" t="s">
        <v>287</v>
      </c>
      <c r="E45" s="97">
        <v>70</v>
      </c>
      <c r="F45" s="78">
        <f>Production2!AW26</f>
        <v>0</v>
      </c>
      <c r="G45" s="75">
        <f>F45+'23'!G45</f>
        <v>0</v>
      </c>
      <c r="H45" s="75">
        <f>F45+'23'!H45</f>
        <v>0</v>
      </c>
      <c r="I45" s="472"/>
      <c r="J45" s="77">
        <f>Production2!AX26</f>
        <v>0</v>
      </c>
      <c r="K45" s="74">
        <f>J45+'23'!K45</f>
        <v>0</v>
      </c>
      <c r="L45" s="74">
        <f>J45+'23'!L45</f>
        <v>0</v>
      </c>
      <c r="M45" s="545"/>
      <c r="N45" s="546"/>
      <c r="O45" s="546"/>
      <c r="P45" s="547"/>
      <c r="Q45" s="96" t="e">
        <f t="shared" si="10"/>
        <v>#DIV/0!</v>
      </c>
      <c r="R45" s="94"/>
      <c r="S45" s="94"/>
    </row>
    <row r="46" spans="2:21">
      <c r="B46" s="564"/>
      <c r="C46" s="477"/>
      <c r="D46" s="194" t="s">
        <v>187</v>
      </c>
      <c r="E46" s="97">
        <v>60</v>
      </c>
      <c r="F46" s="84">
        <f>Production2!AZ26</f>
        <v>3</v>
      </c>
      <c r="G46" s="75">
        <f>F46+'23'!G46</f>
        <v>27.77</v>
      </c>
      <c r="H46" s="75">
        <f>F46+'23'!H46</f>
        <v>75.649999999999991</v>
      </c>
      <c r="I46" s="473"/>
      <c r="J46" s="195">
        <f>Production2!BA26</f>
        <v>165</v>
      </c>
      <c r="K46" s="74">
        <f>J46+'23'!K46</f>
        <v>1564</v>
      </c>
      <c r="L46" s="74">
        <f>J46+'23'!L46</f>
        <v>4211</v>
      </c>
      <c r="M46" s="548"/>
      <c r="N46" s="549"/>
      <c r="O46" s="549"/>
      <c r="P46" s="550"/>
      <c r="Q46" s="96">
        <f t="shared" si="10"/>
        <v>55</v>
      </c>
      <c r="R46" s="94"/>
      <c r="S46" s="94"/>
    </row>
    <row r="47" spans="2:21">
      <c r="B47" s="564"/>
      <c r="C47" s="477"/>
      <c r="D47" s="80" t="s">
        <v>288</v>
      </c>
      <c r="E47" s="97">
        <v>70</v>
      </c>
      <c r="F47" s="84">
        <f>Production2!BC26</f>
        <v>5</v>
      </c>
      <c r="G47" s="75">
        <f>F47+'23'!G47</f>
        <v>24</v>
      </c>
      <c r="H47" s="75">
        <f>F47+'23'!H47</f>
        <v>132.67000000000002</v>
      </c>
      <c r="I47" s="425"/>
      <c r="J47" s="195">
        <f>Production2!BD26</f>
        <v>300</v>
      </c>
      <c r="K47" s="74">
        <f>J47+'23'!K47</f>
        <v>1446</v>
      </c>
      <c r="L47" s="74">
        <f>J47+'23'!L47</f>
        <v>8061</v>
      </c>
      <c r="M47" s="426"/>
      <c r="N47" s="109"/>
      <c r="O47" s="109"/>
      <c r="P47" s="427"/>
      <c r="Q47" s="96">
        <f t="shared" si="10"/>
        <v>60</v>
      </c>
      <c r="R47" s="94"/>
      <c r="S47" s="94"/>
      <c r="T47" s="94"/>
      <c r="U47" s="94"/>
    </row>
    <row r="48" spans="2:21" ht="15.75" thickBot="1">
      <c r="B48" s="565"/>
      <c r="C48" s="478"/>
      <c r="D48" s="120" t="s">
        <v>162</v>
      </c>
      <c r="E48" s="121">
        <v>70</v>
      </c>
      <c r="F48" s="132">
        <f>F43+F44+F45+F46+F47</f>
        <v>24</v>
      </c>
      <c r="G48" s="132">
        <f>G43+G44+G45+G46+G47</f>
        <v>455.29999999999995</v>
      </c>
      <c r="H48" s="132">
        <f>H43+H44+H45+H46+H47</f>
        <v>1507.6900000000003</v>
      </c>
      <c r="I48" s="122">
        <f t="shared" ref="I48" si="13">I43+I44+I45+I46</f>
        <v>0</v>
      </c>
      <c r="J48" s="122">
        <f>J43+J44+J45+J46+J47</f>
        <v>1320</v>
      </c>
      <c r="K48" s="122">
        <f>K43+K44+K45+K46+K47</f>
        <v>26608</v>
      </c>
      <c r="L48" s="122">
        <f>L43+L44+L45+L46+L47</f>
        <v>88581</v>
      </c>
      <c r="M48" s="574"/>
      <c r="N48" s="575"/>
      <c r="O48" s="575"/>
      <c r="P48" s="576"/>
      <c r="Q48" s="123">
        <f>J48/F48</f>
        <v>55</v>
      </c>
      <c r="R48" s="94"/>
      <c r="S48" s="94"/>
    </row>
    <row r="49" spans="2:19" ht="15.75" thickBot="1">
      <c r="B49" s="692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4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723" t="s">
        <v>295</v>
      </c>
      <c r="D52" s="724"/>
      <c r="E52" s="99">
        <f>E55/J32</f>
        <v>0.5807009412435824</v>
      </c>
      <c r="F52" s="99">
        <f>F55/(J33+J34)</f>
        <v>20.987946734038633</v>
      </c>
      <c r="G52" s="99">
        <v>0</v>
      </c>
      <c r="H52" s="99">
        <f>H55/J36</f>
        <v>43.607999999999997</v>
      </c>
      <c r="I52" s="99">
        <f>I55/J35</f>
        <v>51.803174603174604</v>
      </c>
      <c r="J52" s="99"/>
      <c r="K52" s="99"/>
      <c r="L52" s="99"/>
      <c r="M52" s="100"/>
      <c r="N52" s="101"/>
      <c r="O52" s="721" t="s">
        <v>296</v>
      </c>
      <c r="P52" s="722"/>
      <c r="Q52" s="93">
        <f>(M35/J36)*100</f>
        <v>22</v>
      </c>
    </row>
    <row r="53" spans="2:19" ht="14.45" customHeight="1">
      <c r="B53" s="79">
        <v>2</v>
      </c>
      <c r="C53" s="501" t="s">
        <v>297</v>
      </c>
      <c r="D53" s="502"/>
      <c r="E53" s="102">
        <f>E52*(I9/J36)</f>
        <v>1.2496684255561894</v>
      </c>
      <c r="F53" s="102">
        <f>F52*1.55</f>
        <v>32.531317437759881</v>
      </c>
      <c r="G53" s="102">
        <f>G52*1.55</f>
        <v>0</v>
      </c>
      <c r="H53" s="102">
        <f>H52</f>
        <v>43.607999999999997</v>
      </c>
      <c r="I53" s="102">
        <f>I52*(Q52/100)</f>
        <v>11.396698412698413</v>
      </c>
      <c r="J53" s="102"/>
      <c r="K53" s="102"/>
      <c r="L53" s="102"/>
      <c r="M53" s="96"/>
      <c r="N53" s="306">
        <f>SUM(E53:I53)</f>
        <v>88.785684276014479</v>
      </c>
      <c r="O53" s="501" t="s">
        <v>298</v>
      </c>
      <c r="P53" s="502"/>
      <c r="Q53" s="104">
        <v>5438</v>
      </c>
    </row>
    <row r="54" spans="2:19" ht="14.45" customHeight="1">
      <c r="B54" s="79">
        <v>3</v>
      </c>
      <c r="C54" s="715" t="s">
        <v>299</v>
      </c>
      <c r="D54" s="716"/>
      <c r="E54" s="102">
        <f>E53*M20/100</f>
        <v>1.0280371086061577</v>
      </c>
      <c r="F54" s="102">
        <f>F53*M20/100</f>
        <v>26.76182004276783</v>
      </c>
      <c r="G54" s="102">
        <f>G53*M20/100</f>
        <v>0</v>
      </c>
      <c r="H54" s="102">
        <f>H53*M20/100</f>
        <v>35.874029714837818</v>
      </c>
      <c r="I54" s="102">
        <f>I53*M20/100</f>
        <v>9.3754700400886968</v>
      </c>
      <c r="J54" s="99">
        <f>J55/(J42+J48)</f>
        <v>41.382167832167831</v>
      </c>
      <c r="K54" s="99">
        <f>K55/(J48+J42)</f>
        <v>0.61993006993006994</v>
      </c>
      <c r="L54" s="99">
        <f>L55/(M42)</f>
        <v>2.6674911510085715</v>
      </c>
      <c r="M54" s="96">
        <f>M55/(J48+J42)</f>
        <v>1.4290209790209791</v>
      </c>
      <c r="N54" s="306">
        <f>SUM(E54:M54)</f>
        <v>119.13796693842794</v>
      </c>
      <c r="O54" s="501" t="s">
        <v>300</v>
      </c>
      <c r="P54" s="502"/>
      <c r="Q54" s="104">
        <f>Q53*Q52/100</f>
        <v>1196.3599999999999</v>
      </c>
    </row>
    <row r="55" spans="2:19" ht="15" customHeight="1" thickBot="1">
      <c r="B55" s="90" t="s">
        <v>262</v>
      </c>
      <c r="C55" s="719" t="s">
        <v>301</v>
      </c>
      <c r="D55" s="720"/>
      <c r="E55" s="118">
        <f>'Daily unit'!B26</f>
        <v>1303</v>
      </c>
      <c r="F55" s="118">
        <f>'Daily unit'!C26</f>
        <v>31900</v>
      </c>
      <c r="G55" s="118">
        <f>'Daily unit'!D26</f>
        <v>0</v>
      </c>
      <c r="H55" s="118">
        <f>'Daily unit'!E26</f>
        <v>32706</v>
      </c>
      <c r="I55" s="118">
        <f>'Daily unit'!F26</f>
        <v>8159</v>
      </c>
      <c r="J55" s="118">
        <f>'Daily unit'!G26</f>
        <v>118353</v>
      </c>
      <c r="K55" s="118">
        <f>'Daily unit'!H26</f>
        <v>1773</v>
      </c>
      <c r="L55" s="118">
        <f>'Daily unit'!I26</f>
        <v>7506</v>
      </c>
      <c r="M55" s="119">
        <f>'Daily unit'!J26</f>
        <v>4087</v>
      </c>
      <c r="N55" s="317">
        <f>SUM(E55:M55)</f>
        <v>205787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67"/>
      <c r="I57" s="551" t="s">
        <v>303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9" s="110" customFormat="1" ht="14.45" customHeight="1">
      <c r="B58" s="149" t="s">
        <v>250</v>
      </c>
      <c r="C58" s="717" t="s">
        <v>304</v>
      </c>
      <c r="D58" s="483"/>
      <c r="E58" s="718"/>
      <c r="F58" s="150" t="s">
        <v>305</v>
      </c>
      <c r="G58" s="150" t="s">
        <v>27</v>
      </c>
      <c r="H58" s="151" t="s">
        <v>28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9" ht="14.45" customHeight="1">
      <c r="B59" s="700">
        <v>1</v>
      </c>
      <c r="C59" s="626" t="s">
        <v>306</v>
      </c>
      <c r="D59" s="626"/>
      <c r="E59" s="80" t="s">
        <v>286</v>
      </c>
      <c r="F59" s="53">
        <f>'Internal use cement'!F26</f>
        <v>0</v>
      </c>
      <c r="G59" s="53">
        <f>F59+'23'!G59</f>
        <v>0</v>
      </c>
      <c r="H59" s="96">
        <f>F59+'23'!H59</f>
        <v>10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9" ht="14.45" customHeight="1">
      <c r="B60" s="469"/>
      <c r="C60" s="466"/>
      <c r="D60" s="466"/>
      <c r="E60" s="80" t="s">
        <v>211</v>
      </c>
      <c r="F60" s="53">
        <f>'Internal use cement'!Q26</f>
        <v>0</v>
      </c>
      <c r="G60" s="53">
        <f>F60+'23'!G60</f>
        <v>0</v>
      </c>
      <c r="H60" s="96">
        <f>F60+'23'!H60</f>
        <v>2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9" ht="15" customHeight="1">
      <c r="B61" s="469"/>
      <c r="C61" s="466"/>
      <c r="D61" s="466"/>
      <c r="E61" s="80">
        <v>32.5</v>
      </c>
      <c r="F61" s="53">
        <f>'Internal use cement'!Y26</f>
        <v>0</v>
      </c>
      <c r="G61" s="53">
        <f>F61+'23'!G61</f>
        <v>0.1</v>
      </c>
      <c r="H61" s="96">
        <f>F61+'23'!H61</f>
        <v>0.1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9" ht="15" customHeight="1" thickBot="1">
      <c r="B62" s="469"/>
      <c r="C62" s="466"/>
      <c r="D62" s="466"/>
      <c r="E62" s="112" t="s">
        <v>187</v>
      </c>
      <c r="F62" s="113">
        <f>'Internal use cement'!AJ26</f>
        <v>0</v>
      </c>
      <c r="G62" s="53">
        <f>F62+'23'!G62</f>
        <v>0.35</v>
      </c>
      <c r="H62" s="96">
        <f>F62+'23'!H62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9" ht="15" customHeight="1" thickBot="1">
      <c r="B63" s="470"/>
      <c r="C63" s="467"/>
      <c r="D63" s="467"/>
      <c r="E63" s="443" t="s">
        <v>307</v>
      </c>
      <c r="F63" s="444">
        <f>'Internal use cement'!AO26</f>
        <v>0</v>
      </c>
      <c r="G63" s="53">
        <f>F63+'23'!G63</f>
        <v>0</v>
      </c>
      <c r="H63" s="96">
        <f>F63+'23'!H63</f>
        <v>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109"/>
    </row>
    <row r="64" spans="2:19">
      <c r="R64" s="115"/>
      <c r="S64" s="115"/>
    </row>
    <row r="65" spans="2:19">
      <c r="R65" s="116"/>
      <c r="S65" s="116"/>
    </row>
    <row r="66" spans="2:19">
      <c r="R66" s="94"/>
      <c r="S66" s="94"/>
    </row>
    <row r="67" spans="2:19">
      <c r="R67" s="94"/>
      <c r="S67" s="94"/>
    </row>
    <row r="68" spans="2:19">
      <c r="R68" s="94"/>
      <c r="S68" s="94"/>
    </row>
    <row r="69" spans="2:19">
      <c r="R69" s="109"/>
      <c r="S69" s="109"/>
    </row>
    <row r="70" spans="2:19">
      <c r="R70" s="94"/>
      <c r="S70" s="94"/>
    </row>
    <row r="71" spans="2:19">
      <c r="R71" s="117"/>
      <c r="S71" s="117"/>
    </row>
    <row r="72" spans="2:19">
      <c r="R72" s="117"/>
      <c r="S72" s="117"/>
    </row>
    <row r="73" spans="2:19">
      <c r="R73" s="117"/>
      <c r="S73" s="117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 spans="2:19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</sheetData>
  <mergeCells count="88">
    <mergeCell ref="P33:P34"/>
    <mergeCell ref="B50:N50"/>
    <mergeCell ref="O50:Q50"/>
    <mergeCell ref="C34:D34"/>
    <mergeCell ref="I33:I34"/>
    <mergeCell ref="M33:M34"/>
    <mergeCell ref="N33:N34"/>
    <mergeCell ref="O33:O34"/>
    <mergeCell ref="Q23:Q24"/>
    <mergeCell ref="C24:D24"/>
    <mergeCell ref="B25:B26"/>
    <mergeCell ref="C23:D23"/>
    <mergeCell ref="M20:M21"/>
    <mergeCell ref="C25:C26"/>
    <mergeCell ref="M25:N26"/>
    <mergeCell ref="P25:Q27"/>
    <mergeCell ref="C27:D27"/>
    <mergeCell ref="M27:N27"/>
    <mergeCell ref="B2:Q2"/>
    <mergeCell ref="B3:Q3"/>
    <mergeCell ref="B4:O4"/>
    <mergeCell ref="B16:B18"/>
    <mergeCell ref="C16:C18"/>
    <mergeCell ref="C8:Q8"/>
    <mergeCell ref="C11:D11"/>
    <mergeCell ref="C12:D12"/>
    <mergeCell ref="C15:D15"/>
    <mergeCell ref="P15:Q15"/>
    <mergeCell ref="O9:O18"/>
    <mergeCell ref="C9:D9"/>
    <mergeCell ref="C10:D10"/>
    <mergeCell ref="Q6:Q7"/>
    <mergeCell ref="P6:P7"/>
    <mergeCell ref="O6:O7"/>
    <mergeCell ref="C19:Q19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20:B22"/>
    <mergeCell ref="C20:C22"/>
    <mergeCell ref="N20:N22"/>
    <mergeCell ref="O20:O27"/>
    <mergeCell ref="P20:Q22"/>
    <mergeCell ref="C32:D32"/>
    <mergeCell ref="C33:D33"/>
    <mergeCell ref="C35:D35"/>
    <mergeCell ref="C36:D36"/>
    <mergeCell ref="C52:D52"/>
    <mergeCell ref="B49:Q49"/>
    <mergeCell ref="C51:D51"/>
    <mergeCell ref="O51:P51"/>
    <mergeCell ref="B37:B42"/>
    <mergeCell ref="C37:C42"/>
    <mergeCell ref="I43:I46"/>
    <mergeCell ref="M43:P46"/>
    <mergeCell ref="M48:P48"/>
    <mergeCell ref="O52:P52"/>
    <mergeCell ref="B43:B48"/>
    <mergeCell ref="C43:C48"/>
    <mergeCell ref="O53:P53"/>
    <mergeCell ref="C54:D54"/>
    <mergeCell ref="O54:P54"/>
    <mergeCell ref="B57:H57"/>
    <mergeCell ref="C58:E58"/>
    <mergeCell ref="B56:Q56"/>
    <mergeCell ref="C55:D55"/>
    <mergeCell ref="C53:D53"/>
    <mergeCell ref="I57:Q63"/>
    <mergeCell ref="C59:D63"/>
    <mergeCell ref="B59:B63"/>
    <mergeCell ref="B6:B7"/>
    <mergeCell ref="L6:L7"/>
    <mergeCell ref="I6:K6"/>
    <mergeCell ref="F6:H6"/>
    <mergeCell ref="E6:E7"/>
    <mergeCell ref="D6:D7"/>
    <mergeCell ref="C13:D13"/>
    <mergeCell ref="C14:D14"/>
    <mergeCell ref="N6:N7"/>
    <mergeCell ref="M6:M7"/>
    <mergeCell ref="C6:C7"/>
  </mergeCells>
  <pageMargins left="0" right="0" top="0.5" bottom="0.5" header="0.3" footer="0.3"/>
  <pageSetup paperSize="9" scale="5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2:U156"/>
  <sheetViews>
    <sheetView zoomScale="90" zoomScaleNormal="90" workbookViewId="0">
      <pane xSplit="4" ySplit="1" topLeftCell="E50" activePane="bottomRight" state="frozen"/>
      <selection pane="bottomRight" activeCell="H43" sqref="H43:H47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344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747" t="s">
        <v>263</v>
      </c>
      <c r="D9" s="748"/>
      <c r="E9" s="74">
        <f>'24'!L9</f>
        <v>25390.756380217383</v>
      </c>
      <c r="F9" s="74">
        <f>Production2!D27</f>
        <v>2194.36</v>
      </c>
      <c r="G9" s="74">
        <f>F9+'24'!G9</f>
        <v>71684.000000000015</v>
      </c>
      <c r="H9" s="74">
        <f>F9+'24'!H9</f>
        <v>228551.28000000006</v>
      </c>
      <c r="I9" s="74">
        <f>Production2!E27</f>
        <v>2600</v>
      </c>
      <c r="J9" s="74">
        <f>I9+'24'!J9</f>
        <v>55352</v>
      </c>
      <c r="K9" s="74">
        <f>I9+'24'!K9</f>
        <v>195383</v>
      </c>
      <c r="L9" s="74">
        <f>E9+F9-I9-I23</f>
        <v>24547.651935772941</v>
      </c>
      <c r="M9" s="74">
        <f>I9</f>
        <v>2600</v>
      </c>
      <c r="N9" s="75">
        <f>(I9/I15)*100</f>
        <v>96.510764662212324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(2)'!L27</f>
        <v>3225.46</v>
      </c>
      <c r="F10" s="77">
        <f>'Mines (2)'!M27</f>
        <v>0</v>
      </c>
      <c r="G10" s="74">
        <f>F10+'24'!G10</f>
        <v>1408.0200000000002</v>
      </c>
      <c r="H10" s="74">
        <f>F10+'24'!H10</f>
        <v>6677.420000000001</v>
      </c>
      <c r="I10" s="77">
        <f>'Mines (2)'!N27</f>
        <v>17</v>
      </c>
      <c r="J10" s="74">
        <f>I10+'24'!J10</f>
        <v>1111</v>
      </c>
      <c r="K10" s="74">
        <f>I10+'24'!K10</f>
        <v>3593</v>
      </c>
      <c r="L10" s="77">
        <f t="shared" ref="L10:L12" si="0">E10+F10-I10</f>
        <v>3208.46</v>
      </c>
      <c r="M10" s="74">
        <f t="shared" ref="M10:M14" si="1">I10</f>
        <v>17</v>
      </c>
      <c r="N10" s="75">
        <f>(I10/I15)*100</f>
        <v>0.63103192279138831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Clinker!C27</f>
        <v>1249.5400000000002</v>
      </c>
      <c r="F11" s="77">
        <f>Clinker!D27</f>
        <v>38.200000000000003</v>
      </c>
      <c r="G11" s="74">
        <f>F11+'24'!G11</f>
        <v>98.82</v>
      </c>
      <c r="H11" s="74">
        <f>F11+'24'!H11</f>
        <v>516.1</v>
      </c>
      <c r="I11" s="77">
        <f>Clinker!E27</f>
        <v>51</v>
      </c>
      <c r="J11" s="74">
        <f>I11+'24'!J11</f>
        <v>1510</v>
      </c>
      <c r="K11" s="74">
        <f>I11+'24'!K11</f>
        <v>4645</v>
      </c>
      <c r="L11" s="77">
        <f t="shared" si="0"/>
        <v>1236.7400000000002</v>
      </c>
      <c r="M11" s="74">
        <f t="shared" si="1"/>
        <v>51</v>
      </c>
      <c r="N11" s="75">
        <f>(I11/I15)*100</f>
        <v>1.8930957683741649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(2)'!Q27</f>
        <v>3.999999999996362E-2</v>
      </c>
      <c r="F12" s="77">
        <f>'Mines (2)'!R27</f>
        <v>0</v>
      </c>
      <c r="G12" s="74">
        <f>F12+'24'!G12</f>
        <v>0</v>
      </c>
      <c r="H12" s="74">
        <f>F12+'24'!H12</f>
        <v>137.76</v>
      </c>
      <c r="I12" s="77">
        <f>'Mines (2)'!S27</f>
        <v>0</v>
      </c>
      <c r="J12" s="74">
        <f>I12+'24'!J12</f>
        <v>0</v>
      </c>
      <c r="K12" s="74">
        <f>I12+'24'!K12</f>
        <v>738</v>
      </c>
      <c r="L12" s="77">
        <f t="shared" si="0"/>
        <v>3.999999999996362E-2</v>
      </c>
      <c r="M12" s="74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199">
        <v>5</v>
      </c>
      <c r="C13" s="501" t="s">
        <v>8</v>
      </c>
      <c r="D13" s="502"/>
      <c r="E13" s="77">
        <f>'Mines (2)'!AH27</f>
        <v>366.44</v>
      </c>
      <c r="F13" s="77">
        <f>'Mines (2)'!AI27</f>
        <v>0</v>
      </c>
      <c r="G13" s="74">
        <f>F13+'24'!G13</f>
        <v>121.08</v>
      </c>
      <c r="H13" s="74">
        <f>F13+'24'!H13</f>
        <v>121.08</v>
      </c>
      <c r="I13" s="77">
        <f>'Mines (2)'!AJ27</f>
        <v>26</v>
      </c>
      <c r="J13" s="74">
        <f>I13+'24'!J13</f>
        <v>79</v>
      </c>
      <c r="K13" s="74">
        <f>I13+'24'!K13</f>
        <v>79</v>
      </c>
      <c r="L13" s="77">
        <f>E13+F13-I13</f>
        <v>340.44</v>
      </c>
      <c r="M13" s="74">
        <f t="shared" si="1"/>
        <v>26</v>
      </c>
      <c r="N13" s="75">
        <f>(I13/I15)*100</f>
        <v>0.96510764662212312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F14+'24'!G14</f>
        <v>0</v>
      </c>
      <c r="H14" s="74">
        <f>F14+'24'!H14</f>
        <v>0</v>
      </c>
      <c r="I14" s="77">
        <v>0</v>
      </c>
      <c r="J14" s="74">
        <f>I14+'24'!J14</f>
        <v>0</v>
      </c>
      <c r="K14" s="74">
        <f>I14+'24'!K14</f>
        <v>0</v>
      </c>
      <c r="L14" s="77">
        <f t="shared" ref="L14" si="2">E14+F14-I14</f>
        <v>0</v>
      </c>
      <c r="M14" s="74">
        <f t="shared" si="1"/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521" t="s">
        <v>265</v>
      </c>
      <c r="D15" s="521"/>
      <c r="E15" s="127">
        <f>SUM(E9:E14)</f>
        <v>30232.236380217382</v>
      </c>
      <c r="F15" s="127">
        <f t="shared" ref="F15:N15" si="3">SUM(F9:F14)</f>
        <v>2232.56</v>
      </c>
      <c r="G15" s="127">
        <f t="shared" si="3"/>
        <v>73311.920000000027</v>
      </c>
      <c r="H15" s="127">
        <f t="shared" si="3"/>
        <v>236003.64000000007</v>
      </c>
      <c r="I15" s="127">
        <f>SUM(I9:I14)</f>
        <v>2694</v>
      </c>
      <c r="J15" s="127">
        <f t="shared" si="3"/>
        <v>58052</v>
      </c>
      <c r="K15" s="127">
        <f t="shared" si="3"/>
        <v>204438</v>
      </c>
      <c r="L15" s="127">
        <f t="shared" si="3"/>
        <v>29333.331935772942</v>
      </c>
      <c r="M15" s="127">
        <f t="shared" si="3"/>
        <v>2694</v>
      </c>
      <c r="N15" s="127">
        <f t="shared" si="3"/>
        <v>100.00000000000001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Clinker!EB27</f>
        <v>3175.8869999999906</v>
      </c>
      <c r="F16" s="77">
        <f>Clinker!EC27</f>
        <v>254.56</v>
      </c>
      <c r="G16" s="77">
        <f>F16+'24'!G16</f>
        <v>4475.4800000000014</v>
      </c>
      <c r="H16" s="77">
        <f>F16+'24'!H16</f>
        <v>5280.72</v>
      </c>
      <c r="I16" s="77">
        <f>Clinker!ED27</f>
        <v>272</v>
      </c>
      <c r="J16" s="77">
        <f>I16+'24'!J16</f>
        <v>5935.1099999999988</v>
      </c>
      <c r="K16" s="77">
        <f>I16+'24'!K16</f>
        <v>20652.419999999998</v>
      </c>
      <c r="L16" s="77">
        <f>E16+F16-I16-Clinker!N27-Clinker!Z27-Clinker!AS27-Clinker!AX27-Clinker!BC27-Clinker!BW27-Clinker!BH27-Clinker!BM27-Clinker!BR27-Clinker!CV27-Clinker!DF27-Clinker!DP27</f>
        <v>3158.4469999999906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Clinker!EF27</f>
        <v>3962.3199999999933</v>
      </c>
      <c r="F17" s="77">
        <f>Clinker!EG27</f>
        <v>180</v>
      </c>
      <c r="G17" s="77">
        <f>F17+'24'!G17</f>
        <v>3523.6000000000004</v>
      </c>
      <c r="H17" s="77">
        <f>F17+'24'!H17</f>
        <v>5664.5499999999993</v>
      </c>
      <c r="I17" s="77">
        <f>Clinker!EH27</f>
        <v>148</v>
      </c>
      <c r="J17" s="77">
        <f>I17+'24'!J17</f>
        <v>3588</v>
      </c>
      <c r="K17" s="77">
        <f>I17+'24'!K17</f>
        <v>11760</v>
      </c>
      <c r="L17" s="77">
        <f>E17+F17-Clinker!T27-Clinker!AE27-Clinker!AJ27-Clinker!CL27-Clinker!CQ27-Clinker!CG27</f>
        <v>3994.3199999999933</v>
      </c>
      <c r="M17" s="81"/>
      <c r="N17" s="81"/>
      <c r="O17" s="515"/>
      <c r="P17" s="82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7138.206999999984</v>
      </c>
      <c r="F18" s="125">
        <f>F16+F17</f>
        <v>434.56</v>
      </c>
      <c r="G18" s="125">
        <f t="shared" ref="G18:L18" si="4">G16+G17</f>
        <v>7999.0800000000017</v>
      </c>
      <c r="H18" s="125">
        <f t="shared" si="4"/>
        <v>10945.27</v>
      </c>
      <c r="I18" s="125">
        <f>I16+I17</f>
        <v>420</v>
      </c>
      <c r="J18" s="125">
        <f>J16+J17</f>
        <v>9523.1099999999988</v>
      </c>
      <c r="K18" s="125">
        <f t="shared" si="4"/>
        <v>32412.42</v>
      </c>
      <c r="L18" s="125">
        <f t="shared" si="4"/>
        <v>7152.7669999999835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Clinker!EJ27</f>
        <v>14999.605564417194</v>
      </c>
      <c r="F20" s="74">
        <f>Clinker!EK27</f>
        <v>1525</v>
      </c>
      <c r="G20" s="74">
        <f>F20+'24'!G20</f>
        <v>34032</v>
      </c>
      <c r="H20" s="74">
        <f>F20+'24'!H20</f>
        <v>119558</v>
      </c>
      <c r="I20" s="74">
        <f>Clinker!EL27</f>
        <v>2398.3320000000003</v>
      </c>
      <c r="J20" s="74">
        <f>I20+'24'!J20</f>
        <v>45851.535521344493</v>
      </c>
      <c r="K20" s="74">
        <f>I20+'24'!K20</f>
        <v>108713.26653520952</v>
      </c>
      <c r="L20" s="74">
        <f>E20+F20-I20-I22</f>
        <v>14126.273564417193</v>
      </c>
      <c r="M20" s="75">
        <f>((I20+I21)/(J42+J48))*100</f>
        <v>81.603674719292286</v>
      </c>
      <c r="N20" s="525"/>
      <c r="O20" s="527"/>
      <c r="P20" s="535"/>
      <c r="Q20" s="536"/>
      <c r="R20" s="190"/>
      <c r="S20" s="20"/>
    </row>
    <row r="21" spans="2:19" ht="45">
      <c r="B21" s="512"/>
      <c r="C21" s="477"/>
      <c r="D21" s="85" t="s">
        <v>70</v>
      </c>
      <c r="E21" s="74">
        <f>Clinker!EO27</f>
        <v>89.258008000135931</v>
      </c>
      <c r="F21" s="74">
        <f>Clinker!EP27</f>
        <v>0</v>
      </c>
      <c r="G21" s="74">
        <f>F21+'24'!G21</f>
        <v>0</v>
      </c>
      <c r="H21" s="74">
        <f>F21+'24'!H21</f>
        <v>13390.660000000003</v>
      </c>
      <c r="I21" s="74">
        <f>Clinker!EQ27</f>
        <v>0</v>
      </c>
      <c r="J21" s="74">
        <f>I21+'24'!J21</f>
        <v>5216.8510000000006</v>
      </c>
      <c r="K21" s="74">
        <f>I21+'24'!K21</f>
        <v>22150.950999999997</v>
      </c>
      <c r="L21" s="74">
        <f>E21+F21-I21</f>
        <v>89.258008000135931</v>
      </c>
      <c r="M21" s="75"/>
      <c r="N21" s="525"/>
      <c r="O21" s="527"/>
      <c r="P21" s="535"/>
      <c r="Q21" s="536"/>
      <c r="R21" s="20"/>
      <c r="S21" s="190"/>
    </row>
    <row r="22" spans="2:19" ht="30">
      <c r="B22" s="512"/>
      <c r="C22" s="524"/>
      <c r="D22" s="86" t="s">
        <v>270</v>
      </c>
      <c r="E22" s="77"/>
      <c r="F22" s="77">
        <v>0</v>
      </c>
      <c r="G22" s="74">
        <v>0</v>
      </c>
      <c r="H22" s="74">
        <f>F22+'24'!H22</f>
        <v>0</v>
      </c>
      <c r="I22" s="77">
        <f>Clinker!EN27</f>
        <v>0</v>
      </c>
      <c r="J22" s="74">
        <f>I22+'24'!J22</f>
        <v>0</v>
      </c>
      <c r="K22" s="74">
        <f>I22+'24'!K22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/>
      <c r="C23" s="474" t="s">
        <v>263</v>
      </c>
      <c r="D23" s="475"/>
      <c r="E23" s="77">
        <f>Cement!P27</f>
        <v>0</v>
      </c>
      <c r="F23" s="77">
        <f>Cement!Q27</f>
        <v>0</v>
      </c>
      <c r="G23" s="74">
        <f>F23+'24'!G23</f>
        <v>0</v>
      </c>
      <c r="H23" s="74">
        <f>F23+'24'!H23</f>
        <v>0</v>
      </c>
      <c r="I23" s="77">
        <f>Cement!S27</f>
        <v>437.46444444444364</v>
      </c>
      <c r="J23" s="74">
        <f>I23+'24'!J23</f>
        <v>11252.148326558228</v>
      </c>
      <c r="K23" s="74">
        <f>I23+'24'!K23</f>
        <v>31725.499761410905</v>
      </c>
      <c r="L23" s="74"/>
      <c r="M23" s="78">
        <f>(I23/(J42+J48))*100</f>
        <v>14.884805867453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Cement!C27</f>
        <v>3114.1456838889003</v>
      </c>
      <c r="F24" s="77">
        <f>Cement!D27</f>
        <v>0</v>
      </c>
      <c r="G24" s="74">
        <f>F24+'24'!G24</f>
        <v>2150.36</v>
      </c>
      <c r="H24" s="74">
        <f>F24+'24'!H24</f>
        <v>4276.9799999999996</v>
      </c>
      <c r="I24" s="77">
        <f>Cement!F27</f>
        <v>154.68421052631581</v>
      </c>
      <c r="J24" s="74">
        <f>I24+'24'!J24</f>
        <v>3399.2290639620551</v>
      </c>
      <c r="K24" s="74">
        <f>I24+'24'!K24</f>
        <v>8762.8985857871994</v>
      </c>
      <c r="L24" s="74">
        <f t="shared" ref="L24:L26" si="5">E24+F24-I24</f>
        <v>2959.4614733625845</v>
      </c>
      <c r="M24" s="78">
        <f>(I24/(J42+J48))*100</f>
        <v>5.2631578947368425</v>
      </c>
      <c r="N24" s="78"/>
      <c r="O24" s="527"/>
      <c r="P24" s="87"/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Cement!H27</f>
        <v>0.23999999999796273</v>
      </c>
      <c r="F25" s="77">
        <f>Cement!I27</f>
        <v>0</v>
      </c>
      <c r="G25" s="74">
        <f>F25+'24'!G25</f>
        <v>0</v>
      </c>
      <c r="H25" s="74">
        <f>F25+'24'!H25</f>
        <v>0</v>
      </c>
      <c r="I25" s="77">
        <f>Cement!J27</f>
        <v>0</v>
      </c>
      <c r="J25" s="74">
        <f>I25+'24'!J25</f>
        <v>0</v>
      </c>
      <c r="K25" s="74">
        <f>I25+'24'!K25</f>
        <v>0</v>
      </c>
      <c r="L25" s="74">
        <f t="shared" si="5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Cement!L27</f>
        <v>0</v>
      </c>
      <c r="F26" s="77">
        <f>Cement!M27</f>
        <v>0</v>
      </c>
      <c r="G26" s="74">
        <f>F26+'24'!G26</f>
        <v>0</v>
      </c>
      <c r="H26" s="74">
        <f>F26+'24'!H26</f>
        <v>0</v>
      </c>
      <c r="I26" s="77">
        <f>Cement!N27</f>
        <v>0</v>
      </c>
      <c r="J26" s="74">
        <f>I26+'24'!J26</f>
        <v>0</v>
      </c>
      <c r="K26" s="74">
        <f>I26+'24'!K26</f>
        <v>0</v>
      </c>
      <c r="L26" s="74">
        <f t="shared" si="5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18203.249256306226</v>
      </c>
      <c r="F27" s="122">
        <f t="shared" ref="F27:L27" si="6">F20+F21+F23+F24+F25+F26</f>
        <v>1525</v>
      </c>
      <c r="G27" s="122">
        <f t="shared" si="6"/>
        <v>36182.36</v>
      </c>
      <c r="H27" s="122">
        <f t="shared" si="6"/>
        <v>137225.64000000001</v>
      </c>
      <c r="I27" s="122">
        <f t="shared" si="6"/>
        <v>2990.48065497076</v>
      </c>
      <c r="J27" s="122">
        <f t="shared" si="6"/>
        <v>65719.763911864778</v>
      </c>
      <c r="K27" s="122">
        <f t="shared" si="6"/>
        <v>171352.61588240761</v>
      </c>
      <c r="L27" s="122">
        <f t="shared" si="6"/>
        <v>17175.233045779911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Production2!C27</f>
        <v>13.7</v>
      </c>
      <c r="G32" s="75">
        <f>F32+'24'!G32</f>
        <v>456.37</v>
      </c>
      <c r="H32" s="75">
        <f>F32+'24'!H32</f>
        <v>1425.5000000000002</v>
      </c>
      <c r="I32" s="74">
        <f>'Mines (2)'!C27+'Mines (2)'!H27+'Mines (2)'!V27+'Mines (2)'!Z27+'Mines (2)'!AD27</f>
        <v>25390.756380217383</v>
      </c>
      <c r="J32" s="74">
        <f>Production2!D27</f>
        <v>2194.36</v>
      </c>
      <c r="K32" s="74">
        <f>J32+'24'!K32</f>
        <v>71684.000000000015</v>
      </c>
      <c r="L32" s="74">
        <f>J32+'24'!L32</f>
        <v>228551.28000000006</v>
      </c>
      <c r="M32" s="74">
        <f>I9+I23</f>
        <v>3037.4644444444439</v>
      </c>
      <c r="N32" s="74">
        <f>M32+'24'!N32</f>
        <v>66604.148326558221</v>
      </c>
      <c r="O32" s="74">
        <f>M32+'24'!O32</f>
        <v>227108.4997614109</v>
      </c>
      <c r="P32" s="74">
        <f>I32+J32-M32</f>
        <v>24547.651935772941</v>
      </c>
      <c r="Q32" s="93">
        <f>J32/F32</f>
        <v>160.17226277372265</v>
      </c>
      <c r="R32" s="94"/>
      <c r="S32" s="94"/>
    </row>
    <row r="33" spans="2:19">
      <c r="B33" s="79">
        <v>2</v>
      </c>
      <c r="C33" s="501" t="s">
        <v>154</v>
      </c>
      <c r="D33" s="502"/>
      <c r="E33" s="95">
        <v>120</v>
      </c>
      <c r="F33" s="78">
        <f>Production2!G27</f>
        <v>20.48</v>
      </c>
      <c r="G33" s="75">
        <f>F33+'24'!G33</f>
        <v>429.56</v>
      </c>
      <c r="H33" s="75">
        <f>F33+'24'!H33</f>
        <v>1499.0999999999995</v>
      </c>
      <c r="I33" s="541">
        <f>Production2!H27</f>
        <v>749.35001683751852</v>
      </c>
      <c r="J33" s="78">
        <f>Production2!N27</f>
        <v>2232</v>
      </c>
      <c r="K33" s="74">
        <f>J33+'24'!K33</f>
        <v>49652.959999999999</v>
      </c>
      <c r="L33" s="74">
        <f>J33+'24'!L33</f>
        <v>175938.55</v>
      </c>
      <c r="M33" s="541">
        <f>Production2!K27</f>
        <v>2363.75</v>
      </c>
      <c r="N33" s="541">
        <f>M33+'24'!N33</f>
        <v>52749.600000000006</v>
      </c>
      <c r="O33" s="541">
        <f>M33+'24'!O33</f>
        <v>185314.9</v>
      </c>
      <c r="P33" s="541">
        <f>I33+J33+J34-M33</f>
        <v>812.51001683751838</v>
      </c>
      <c r="Q33" s="96">
        <f t="shared" ref="Q33:Q48" si="7">J33/F33</f>
        <v>108.984375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Production2!P27</f>
        <v>23</v>
      </c>
      <c r="G34" s="75">
        <f>F34+'24'!G34</f>
        <v>292.88</v>
      </c>
      <c r="H34" s="75">
        <f>F34+'24'!H34</f>
        <v>908.55</v>
      </c>
      <c r="I34" s="473"/>
      <c r="J34" s="78">
        <f>Production2!Q27</f>
        <v>194.91</v>
      </c>
      <c r="K34" s="74">
        <f>J34+'24'!K34</f>
        <v>2641.5099999999998</v>
      </c>
      <c r="L34" s="74">
        <f>J34+'24'!L34</f>
        <v>8195.130000000001</v>
      </c>
      <c r="M34" s="473"/>
      <c r="N34" s="473"/>
      <c r="O34" s="473"/>
      <c r="P34" s="473"/>
      <c r="Q34" s="96">
        <f>J34/F34</f>
        <v>8.4743478260869569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Production2!S27</f>
        <v>18.690000000000001</v>
      </c>
      <c r="G35" s="75">
        <f>F35+'24'!G35</f>
        <v>395.59999999999997</v>
      </c>
      <c r="H35" s="75">
        <f>F35+'24'!H35</f>
        <v>1348.93</v>
      </c>
      <c r="I35" s="77">
        <f>Production2!T27</f>
        <v>37.909999999999798</v>
      </c>
      <c r="J35" s="77">
        <f>Production2!U27</f>
        <v>244.8</v>
      </c>
      <c r="K35" s="74">
        <f>J35+'24'!K35</f>
        <v>5341.6000000000013</v>
      </c>
      <c r="L35" s="74">
        <f>J35+'24'!L35</f>
        <v>18587.199999999993</v>
      </c>
      <c r="M35" s="77">
        <f>Production2!V27</f>
        <v>230</v>
      </c>
      <c r="N35" s="74">
        <f>M35+'24'!N35</f>
        <v>5331</v>
      </c>
      <c r="O35" s="74">
        <f>M35+'24'!O35</f>
        <v>18550</v>
      </c>
      <c r="P35" s="74">
        <f t="shared" ref="P35" si="8">I35+J35-M35</f>
        <v>52.709999999999809</v>
      </c>
      <c r="Q35" s="96">
        <f t="shared" si="7"/>
        <v>13.097913322632424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Production2!Y27</f>
        <v>24</v>
      </c>
      <c r="G36" s="75">
        <f>F36+'24'!G36</f>
        <v>553.30999999999995</v>
      </c>
      <c r="H36" s="75">
        <f>F36+'24'!H36</f>
        <v>1868.12</v>
      </c>
      <c r="I36" s="77">
        <f>Clinker!EJ27</f>
        <v>14999.605564417194</v>
      </c>
      <c r="J36" s="77">
        <f>Clinker!EK27</f>
        <v>1525</v>
      </c>
      <c r="K36" s="74">
        <f>J36+'24'!K36</f>
        <v>34032</v>
      </c>
      <c r="L36" s="74">
        <f>J36+'24'!L36</f>
        <v>119558</v>
      </c>
      <c r="M36" s="77">
        <f>Clinker!EL27</f>
        <v>2398.3320000000003</v>
      </c>
      <c r="N36" s="74">
        <f>M36+'24'!N36</f>
        <v>45851.535521344493</v>
      </c>
      <c r="O36" s="74">
        <f>M36+'24'!O36</f>
        <v>108713.26653520952</v>
      </c>
      <c r="P36" s="74">
        <f>I36+J36-M36-I22</f>
        <v>14126.273564417193</v>
      </c>
      <c r="Q36" s="96">
        <f t="shared" si="7"/>
        <v>63.541666666666664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Production2!AE27</f>
        <v>0</v>
      </c>
      <c r="G37" s="75">
        <f>F37+'24'!G37</f>
        <v>24.2</v>
      </c>
      <c r="H37" s="75">
        <f>F37+'24'!H37</f>
        <v>63.900000000000006</v>
      </c>
      <c r="I37" s="77">
        <f>Production2!BJ27</f>
        <v>215.19999999999993</v>
      </c>
      <c r="J37" s="77">
        <f>Production2!AF27</f>
        <v>0</v>
      </c>
      <c r="K37" s="74">
        <f>J37+'24'!K37</f>
        <v>1661</v>
      </c>
      <c r="L37" s="74">
        <f>J37+'24'!L37</f>
        <v>4295</v>
      </c>
      <c r="M37" s="77">
        <f>Production2!BL27</f>
        <v>60</v>
      </c>
      <c r="N37" s="74">
        <f>M37+'24'!N37</f>
        <v>3282</v>
      </c>
      <c r="O37" s="74">
        <f>M37+'24'!O37</f>
        <v>8320</v>
      </c>
      <c r="P37" s="74">
        <f>I37+J37+J43-M37-F61</f>
        <v>155.19999999999993</v>
      </c>
      <c r="Q37" s="96" t="e">
        <f t="shared" si="7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Production2!AB27</f>
        <v>24</v>
      </c>
      <c r="G38" s="75">
        <f>F38+'24'!G38</f>
        <v>469.45</v>
      </c>
      <c r="H38" s="75">
        <f>F38+'24'!H38</f>
        <v>967.92</v>
      </c>
      <c r="I38" s="77">
        <f>Production2!BF27</f>
        <v>832.88799999997764</v>
      </c>
      <c r="J38" s="77">
        <f>Production2!AC27</f>
        <v>1588</v>
      </c>
      <c r="K38" s="74">
        <f>J38+'24'!K38</f>
        <v>30736</v>
      </c>
      <c r="L38" s="74">
        <f>J38+'24'!L38</f>
        <v>62066</v>
      </c>
      <c r="M38" s="77">
        <f>Production2!BH27</f>
        <v>2619.84</v>
      </c>
      <c r="N38" s="74">
        <f>M38+'24'!N38</f>
        <v>55151.680000000008</v>
      </c>
      <c r="O38" s="74">
        <f>M38+'24'!O38</f>
        <v>135894.50999999998</v>
      </c>
      <c r="P38" s="74">
        <f>I38+J38+J44-M38-F59</f>
        <v>804.04799999997749</v>
      </c>
      <c r="Q38" s="96">
        <f t="shared" si="7"/>
        <v>66.166666666666671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Production2!AH27</f>
        <v>0</v>
      </c>
      <c r="G39" s="75">
        <f>F39+'24'!G39</f>
        <v>0</v>
      </c>
      <c r="H39" s="75">
        <f>F39+'24'!H39</f>
        <v>0</v>
      </c>
      <c r="I39" s="77">
        <f>Production2!BN27</f>
        <v>9.0000000000849845E-2</v>
      </c>
      <c r="J39" s="77">
        <f>Production2!AI27</f>
        <v>0</v>
      </c>
      <c r="K39" s="74">
        <f>J39+'24'!K39</f>
        <v>0</v>
      </c>
      <c r="L39" s="74">
        <f>J39+'24'!L39</f>
        <v>0</v>
      </c>
      <c r="M39" s="77">
        <f>Production2!BP27</f>
        <v>0</v>
      </c>
      <c r="N39" s="74">
        <f>M39+'24'!N39</f>
        <v>0</v>
      </c>
      <c r="O39" s="74">
        <f>M39+'24'!O39</f>
        <v>-0.15</v>
      </c>
      <c r="P39" s="74">
        <f>I39+J39+J45-M39-F60</f>
        <v>9.0000000000849845E-2</v>
      </c>
      <c r="Q39" s="96" t="e">
        <f t="shared" si="7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Production2!AK27</f>
        <v>0</v>
      </c>
      <c r="G40" s="75">
        <f>F40+'24'!G40</f>
        <v>3</v>
      </c>
      <c r="H40" s="75">
        <f>F40+'24'!H40</f>
        <v>8</v>
      </c>
      <c r="I40" s="195">
        <f>Production2!BR27</f>
        <v>170.35000000000002</v>
      </c>
      <c r="J40" s="195">
        <v>0</v>
      </c>
      <c r="K40" s="74">
        <f>J40+'24'!K40</f>
        <v>185</v>
      </c>
      <c r="L40" s="74">
        <f>J40+'24'!L40</f>
        <v>485</v>
      </c>
      <c r="M40" s="195">
        <f>Production2!BT27</f>
        <v>15</v>
      </c>
      <c r="N40" s="74">
        <f>M40+'24'!N40</f>
        <v>1721</v>
      </c>
      <c r="O40" s="74">
        <f>M40+'24'!O40</f>
        <v>4753.5</v>
      </c>
      <c r="P40" s="74">
        <f>I40+J40+J46-M40-F61</f>
        <v>155.35000000000002</v>
      </c>
      <c r="Q40" s="96" t="e">
        <f t="shared" si="7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Production2!AN27</f>
        <v>0</v>
      </c>
      <c r="G41" s="75">
        <f>F41+'24'!G41</f>
        <v>56.5</v>
      </c>
      <c r="H41" s="75">
        <f>F41+'24'!H41</f>
        <v>182.67</v>
      </c>
      <c r="I41" s="195">
        <f>Production2!BV27</f>
        <v>189.34000000000009</v>
      </c>
      <c r="J41" s="195">
        <f>Production2!AO27</f>
        <v>0</v>
      </c>
      <c r="K41" s="74">
        <f>J41+'23'!K41</f>
        <v>3883</v>
      </c>
      <c r="L41" s="74">
        <f>J41+'23'!L41</f>
        <v>12061</v>
      </c>
      <c r="M41" s="195">
        <f>Production2!BX27</f>
        <v>398.68</v>
      </c>
      <c r="N41" s="74">
        <f>M41+'24'!N41</f>
        <v>6705.74</v>
      </c>
      <c r="O41" s="74">
        <f>M41+'24'!O41</f>
        <v>20701.050000000003</v>
      </c>
      <c r="P41" s="74">
        <f>I41+J41+J47-M41-F63</f>
        <v>138.66000000000014</v>
      </c>
      <c r="Q41" s="96" t="e">
        <f t="shared" si="7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24</v>
      </c>
      <c r="G42" s="132">
        <f t="shared" ref="G42:H42" si="9">G37+G38+G39+G40+G41</f>
        <v>553.15</v>
      </c>
      <c r="H42" s="132">
        <f t="shared" si="9"/>
        <v>1222.49</v>
      </c>
      <c r="I42" s="122">
        <f>I37+I38+I39+I40+I41</f>
        <v>1407.8679999999786</v>
      </c>
      <c r="J42" s="122">
        <f t="shared" ref="J42:P42" si="10">J37+J38+J39+J40+J41</f>
        <v>1588</v>
      </c>
      <c r="K42" s="122">
        <f t="shared" si="10"/>
        <v>36465</v>
      </c>
      <c r="L42" s="122">
        <f t="shared" si="10"/>
        <v>78907</v>
      </c>
      <c r="M42" s="122">
        <f t="shared" si="10"/>
        <v>3093.52</v>
      </c>
      <c r="N42" s="122">
        <f t="shared" si="10"/>
        <v>66860.420000000013</v>
      </c>
      <c r="O42" s="122">
        <f t="shared" si="10"/>
        <v>169668.90999999997</v>
      </c>
      <c r="P42" s="122">
        <f t="shared" si="10"/>
        <v>1253.3479999999784</v>
      </c>
      <c r="Q42" s="123">
        <f t="shared" si="7"/>
        <v>66.166666666666671</v>
      </c>
      <c r="R42" s="94"/>
      <c r="S42" s="94"/>
    </row>
    <row r="43" spans="2:19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Production2!AT27</f>
        <v>0</v>
      </c>
      <c r="G43" s="75">
        <f>F43+'24'!G43</f>
        <v>19.5</v>
      </c>
      <c r="H43" s="75">
        <f>F43+'24'!H43</f>
        <v>64.929999999999993</v>
      </c>
      <c r="I43" s="471"/>
      <c r="J43" s="77">
        <f>Production2!AU27</f>
        <v>0</v>
      </c>
      <c r="K43" s="74">
        <f>J43+'24'!K43</f>
        <v>1198</v>
      </c>
      <c r="L43" s="74">
        <f>J43+'24'!L43</f>
        <v>3948</v>
      </c>
      <c r="M43" s="542"/>
      <c r="N43" s="543"/>
      <c r="O43" s="543"/>
      <c r="P43" s="544"/>
      <c r="Q43" s="96" t="e">
        <f t="shared" si="7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Production2!AQ27</f>
        <v>17</v>
      </c>
      <c r="G44" s="75">
        <f>F44+'24'!G44</f>
        <v>401.03</v>
      </c>
      <c r="H44" s="75">
        <f>F44+'24'!H44</f>
        <v>1251.44</v>
      </c>
      <c r="I44" s="472"/>
      <c r="J44" s="77">
        <f>Production2!AR27</f>
        <v>1003</v>
      </c>
      <c r="K44" s="74">
        <f>J44+'24'!K44</f>
        <v>23403</v>
      </c>
      <c r="L44" s="74">
        <f>J44+'24'!L44</f>
        <v>73364</v>
      </c>
      <c r="M44" s="545"/>
      <c r="N44" s="546"/>
      <c r="O44" s="546"/>
      <c r="P44" s="547"/>
      <c r="Q44" s="96">
        <f t="shared" si="7"/>
        <v>59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Production2!AW27</f>
        <v>0</v>
      </c>
      <c r="G45" s="75">
        <f>F45+'24'!G45</f>
        <v>0</v>
      </c>
      <c r="H45" s="75">
        <f>F45+'24'!H45</f>
        <v>0</v>
      </c>
      <c r="I45" s="472"/>
      <c r="J45" s="77">
        <f>Production2!AX27</f>
        <v>0</v>
      </c>
      <c r="K45" s="74">
        <f>J45+'24'!K45</f>
        <v>0</v>
      </c>
      <c r="L45" s="74">
        <f>J45+'24'!L45</f>
        <v>0</v>
      </c>
      <c r="M45" s="545"/>
      <c r="N45" s="546"/>
      <c r="O45" s="546"/>
      <c r="P45" s="547"/>
      <c r="Q45" s="96" t="e">
        <f t="shared" si="7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Production2!AZ27</f>
        <v>0</v>
      </c>
      <c r="G46" s="75">
        <f>F46+'24'!G46</f>
        <v>27.77</v>
      </c>
      <c r="H46" s="75">
        <f>F46+'24'!H46</f>
        <v>75.649999999999991</v>
      </c>
      <c r="I46" s="472"/>
      <c r="J46" s="195">
        <f>Production2!BA27</f>
        <v>0</v>
      </c>
      <c r="K46" s="74">
        <f>J46+'24'!K46</f>
        <v>1564</v>
      </c>
      <c r="L46" s="74">
        <f>J46+'24'!L46</f>
        <v>4211</v>
      </c>
      <c r="M46" s="545"/>
      <c r="N46" s="546"/>
      <c r="O46" s="546"/>
      <c r="P46" s="547"/>
      <c r="Q46" s="96" t="e">
        <f t="shared" si="7"/>
        <v>#DIV/0!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Production2!BC27</f>
        <v>6</v>
      </c>
      <c r="G47" s="75">
        <f>F47+'24'!G47</f>
        <v>30</v>
      </c>
      <c r="H47" s="75">
        <f>F47+'24'!H47</f>
        <v>138.67000000000002</v>
      </c>
      <c r="I47" s="473"/>
      <c r="J47" s="195">
        <f>Production2!BD27</f>
        <v>348</v>
      </c>
      <c r="K47" s="74">
        <f>J47+'24'!K47</f>
        <v>1794</v>
      </c>
      <c r="L47" s="74">
        <f>J47+'24'!L47</f>
        <v>8409</v>
      </c>
      <c r="M47" s="548"/>
      <c r="N47" s="549"/>
      <c r="O47" s="549"/>
      <c r="P47" s="550"/>
      <c r="Q47" s="96">
        <f t="shared" si="7"/>
        <v>58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23</v>
      </c>
      <c r="G48" s="132">
        <f t="shared" ref="G48:H48" si="11">G43+G44+G45+G46+G47</f>
        <v>478.29999999999995</v>
      </c>
      <c r="H48" s="132">
        <f t="shared" si="11"/>
        <v>1530.6900000000003</v>
      </c>
      <c r="I48" s="122"/>
      <c r="J48" s="122">
        <f>J43+J44+J45+J46+J47</f>
        <v>1351</v>
      </c>
      <c r="K48" s="122">
        <f t="shared" ref="K48:L48" si="12">K43+K44+K45+K46+K47</f>
        <v>27959</v>
      </c>
      <c r="L48" s="122">
        <f t="shared" si="12"/>
        <v>89932</v>
      </c>
      <c r="M48" s="574"/>
      <c r="N48" s="575"/>
      <c r="O48" s="575"/>
      <c r="P48" s="576"/>
      <c r="Q48" s="123">
        <f t="shared" si="7"/>
        <v>58.739130434782609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0.61612497493574436</v>
      </c>
      <c r="F52" s="99">
        <f>F55/(J33+J34)</f>
        <v>26.320712346152103</v>
      </c>
      <c r="G52" s="99">
        <v>0</v>
      </c>
      <c r="H52" s="99">
        <f>H55/J36</f>
        <v>35.868852459016395</v>
      </c>
      <c r="I52" s="99">
        <f>I55/J35</f>
        <v>56.870915032679733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15.081967213114755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1.0504425802183182</v>
      </c>
      <c r="F53" s="102">
        <f>F52*1.55</f>
        <v>40.797104136535758</v>
      </c>
      <c r="G53" s="102">
        <f>G52*1.55</f>
        <v>0</v>
      </c>
      <c r="H53" s="102">
        <f>H52</f>
        <v>35.868852459016395</v>
      </c>
      <c r="I53" s="102">
        <f>I52*(Q52/100)</f>
        <v>8.5772527590271075</v>
      </c>
      <c r="J53" s="102"/>
      <c r="K53" s="102"/>
      <c r="L53" s="102"/>
      <c r="M53" s="96"/>
      <c r="N53" s="306">
        <f>SUM(E53:I53)</f>
        <v>86.29365193479758</v>
      </c>
      <c r="O53" s="516" t="s">
        <v>298</v>
      </c>
      <c r="P53" s="516"/>
      <c r="Q53" s="104">
        <v>5379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0.8571997462742974</v>
      </c>
      <c r="F54" s="102">
        <f>F53*M20/100</f>
        <v>33.291936154469575</v>
      </c>
      <c r="G54" s="102">
        <f>G53*M20/100</f>
        <v>0</v>
      </c>
      <c r="H54" s="102">
        <f>H53*M20/100</f>
        <v>29.270301686198614</v>
      </c>
      <c r="I54" s="102">
        <f>I53*M20/100</f>
        <v>6.9993534413280045</v>
      </c>
      <c r="J54" s="99">
        <f>J55/(J42+J48)</f>
        <v>39.471248724055805</v>
      </c>
      <c r="K54" s="99">
        <f>K55/(J48+J42)</f>
        <v>0.79448792106158561</v>
      </c>
      <c r="L54" s="99">
        <f>L55/(M42)</f>
        <v>2.5417647210944168</v>
      </c>
      <c r="M54" s="96">
        <f>M55/(J48+J42)</f>
        <v>1.4011568560734944</v>
      </c>
      <c r="N54" s="306">
        <f>SUM(E54:M54)</f>
        <v>114.6274492505558</v>
      </c>
      <c r="O54" s="516" t="s">
        <v>300</v>
      </c>
      <c r="P54" s="516"/>
      <c r="Q54" s="104">
        <f>Q53*Q52/100</f>
        <v>811.25901639344272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unit'!B27</f>
        <v>1352</v>
      </c>
      <c r="F55" s="118">
        <f>'Daily unit'!C27</f>
        <v>63878</v>
      </c>
      <c r="G55" s="118">
        <f>'Daily unit'!D27</f>
        <v>0</v>
      </c>
      <c r="H55" s="118">
        <f>'Daily unit'!E27</f>
        <v>54700</v>
      </c>
      <c r="I55" s="118">
        <f>'Daily unit'!F27</f>
        <v>13922</v>
      </c>
      <c r="J55" s="118">
        <f>'Daily unit'!G27</f>
        <v>116006</v>
      </c>
      <c r="K55" s="118">
        <f>'Daily unit'!H27</f>
        <v>2335</v>
      </c>
      <c r="L55" s="118">
        <f>'Daily unit'!I27</f>
        <v>7863</v>
      </c>
      <c r="M55" s="119">
        <f>'Daily unit'!J27</f>
        <v>4118</v>
      </c>
      <c r="N55" s="317">
        <f>SUM(E55:M55)</f>
        <v>264174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577" t="s">
        <v>302</v>
      </c>
      <c r="C57" s="578"/>
      <c r="D57" s="578"/>
      <c r="E57" s="578"/>
      <c r="F57" s="578"/>
      <c r="G57" s="578"/>
      <c r="H57" s="640"/>
      <c r="I57" s="551" t="s">
        <v>303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224" t="s">
        <v>28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9" ht="14.45" customHeight="1">
      <c r="B59" s="700">
        <v>1</v>
      </c>
      <c r="C59" s="626" t="s">
        <v>306</v>
      </c>
      <c r="D59" s="661"/>
      <c r="E59" s="80">
        <v>42.5</v>
      </c>
      <c r="F59" s="53">
        <f>'Internal use cement'!F27</f>
        <v>0</v>
      </c>
      <c r="G59" s="53">
        <f>F59+'24'!G59</f>
        <v>0</v>
      </c>
      <c r="H59" s="77">
        <f>F59+'24'!H59</f>
        <v>10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9" ht="14.45" customHeight="1">
      <c r="B60" s="469"/>
      <c r="C60" s="466"/>
      <c r="D60" s="663"/>
      <c r="E60" s="80" t="s">
        <v>211</v>
      </c>
      <c r="F60" s="53">
        <f>'Internal use cement'!Q27</f>
        <v>0</v>
      </c>
      <c r="G60" s="53">
        <f>F60+'24'!G60</f>
        <v>0</v>
      </c>
      <c r="H60" s="77">
        <f>F60+'24'!H60</f>
        <v>2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9" ht="15" customHeight="1">
      <c r="B61" s="469"/>
      <c r="C61" s="466"/>
      <c r="D61" s="663"/>
      <c r="E61" s="80">
        <v>32.5</v>
      </c>
      <c r="F61" s="53">
        <f>'Internal use cement'!Y27</f>
        <v>0</v>
      </c>
      <c r="G61" s="53">
        <f>F61+'24'!G61</f>
        <v>0.1</v>
      </c>
      <c r="H61" s="77">
        <f>F61+'24'!H61</f>
        <v>0.1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9" ht="15" customHeight="1">
      <c r="B62" s="469"/>
      <c r="C62" s="466"/>
      <c r="D62" s="663"/>
      <c r="E62" s="80" t="s">
        <v>187</v>
      </c>
      <c r="F62" s="53">
        <f>'Internal use cement'!AJ27</f>
        <v>0</v>
      </c>
      <c r="G62" s="53">
        <f>F62+'24'!G62</f>
        <v>0.35</v>
      </c>
      <c r="H62" s="77">
        <f>F62+'24'!H62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9" ht="15.75" thickBot="1">
      <c r="B63" s="470"/>
      <c r="C63" s="467"/>
      <c r="D63" s="665"/>
      <c r="E63" s="443" t="s">
        <v>307</v>
      </c>
      <c r="F63" s="444">
        <f>'Internal use cement'!AO27</f>
        <v>0</v>
      </c>
      <c r="G63" s="53">
        <f>F63+'24'!G63</f>
        <v>0</v>
      </c>
      <c r="H63" s="77">
        <f>F63+'24'!H63</f>
        <v>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116"/>
      <c r="S63" s="116"/>
    </row>
    <row r="64" spans="2:19">
      <c r="R64" s="94"/>
      <c r="S64" s="94"/>
    </row>
    <row r="65" spans="2:19">
      <c r="R65" s="94"/>
      <c r="S65" s="94"/>
    </row>
    <row r="66" spans="2:19">
      <c r="R66" s="94"/>
      <c r="S66" s="94"/>
    </row>
    <row r="67" spans="2:19">
      <c r="R67" s="109"/>
      <c r="S67" s="109"/>
    </row>
    <row r="68" spans="2:19">
      <c r="R68" s="94"/>
      <c r="S68" s="94"/>
    </row>
    <row r="69" spans="2:19">
      <c r="R69" s="117"/>
      <c r="S69" s="117"/>
    </row>
    <row r="70" spans="2:19">
      <c r="R70" s="117"/>
      <c r="S70" s="117"/>
    </row>
    <row r="71" spans="2:19">
      <c r="R71" s="117"/>
      <c r="S71" s="117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7"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M30:O30"/>
    <mergeCell ref="P30:P31"/>
    <mergeCell ref="Q30:Q31"/>
    <mergeCell ref="C27:D27"/>
    <mergeCell ref="M27:N27"/>
    <mergeCell ref="B30:B31"/>
    <mergeCell ref="C30:D31"/>
    <mergeCell ref="F30:H30"/>
    <mergeCell ref="I30:I31"/>
    <mergeCell ref="J30:L30"/>
    <mergeCell ref="P6:P7"/>
    <mergeCell ref="Q6:Q7"/>
    <mergeCell ref="P25:Q27"/>
    <mergeCell ref="B28:Q28"/>
    <mergeCell ref="B29:Q29"/>
    <mergeCell ref="C8:Q8"/>
    <mergeCell ref="C11:D11"/>
    <mergeCell ref="C12:D12"/>
    <mergeCell ref="C15:D15"/>
    <mergeCell ref="P15:Q15"/>
    <mergeCell ref="O9:O18"/>
    <mergeCell ref="C10:D10"/>
    <mergeCell ref="C9:D9"/>
    <mergeCell ref="C23:D23"/>
    <mergeCell ref="B16:B18"/>
    <mergeCell ref="C16:C18"/>
    <mergeCell ref="P33:P34"/>
    <mergeCell ref="N33:N34"/>
    <mergeCell ref="B37:B42"/>
    <mergeCell ref="C37:C42"/>
    <mergeCell ref="C34:D34"/>
    <mergeCell ref="I33:I34"/>
    <mergeCell ref="M33:M34"/>
    <mergeCell ref="B2:Q2"/>
    <mergeCell ref="B3:Q3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B43:B48"/>
    <mergeCell ref="C43:C48"/>
    <mergeCell ref="O53:P53"/>
    <mergeCell ref="C54:D54"/>
    <mergeCell ref="O54:P54"/>
    <mergeCell ref="C13:D13"/>
    <mergeCell ref="C14:D14"/>
    <mergeCell ref="I57:Q63"/>
    <mergeCell ref="C59:D63"/>
    <mergeCell ref="B59:B63"/>
    <mergeCell ref="M43:P47"/>
    <mergeCell ref="I43:I47"/>
    <mergeCell ref="C55:D55"/>
    <mergeCell ref="B50:N50"/>
    <mergeCell ref="O50:Q50"/>
    <mergeCell ref="C32:D32"/>
    <mergeCell ref="C33:D33"/>
    <mergeCell ref="C35:D35"/>
    <mergeCell ref="C36:D36"/>
    <mergeCell ref="M48:P48"/>
    <mergeCell ref="O33:O34"/>
  </mergeCells>
  <pageMargins left="0" right="0" top="0.75" bottom="0.75" header="0.3" footer="0.3"/>
  <pageSetup paperSize="9" scale="5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B2:U155"/>
  <sheetViews>
    <sheetView zoomScale="90" zoomScaleNormal="90" workbookViewId="0">
      <pane xSplit="4" ySplit="1" topLeftCell="E53" activePane="bottomRight" state="frozen"/>
      <selection pane="bottomRight" activeCell="H43" sqref="H43:H47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2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345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9" t="s">
        <v>250</v>
      </c>
      <c r="C6" s="509" t="s">
        <v>251</v>
      </c>
      <c r="D6" s="509" t="s">
        <v>252</v>
      </c>
      <c r="E6" s="509" t="s">
        <v>253</v>
      </c>
      <c r="F6" s="713" t="s">
        <v>254</v>
      </c>
      <c r="G6" s="714"/>
      <c r="H6" s="684"/>
      <c r="I6" s="713" t="s">
        <v>255</v>
      </c>
      <c r="J6" s="714"/>
      <c r="K6" s="684"/>
      <c r="L6" s="509" t="s">
        <v>256</v>
      </c>
      <c r="M6" s="509" t="s">
        <v>311</v>
      </c>
      <c r="N6" s="509" t="s">
        <v>258</v>
      </c>
      <c r="O6" s="510"/>
      <c r="P6" s="509" t="s">
        <v>259</v>
      </c>
      <c r="Q6" s="514"/>
    </row>
    <row r="7" spans="2:21" ht="15.75" thickBot="1">
      <c r="B7" s="712"/>
      <c r="C7" s="495"/>
      <c r="D7" s="495"/>
      <c r="E7" s="495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495"/>
      <c r="M7" s="495"/>
      <c r="N7" s="495"/>
      <c r="O7" s="738"/>
      <c r="P7" s="495"/>
      <c r="Q7" s="500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501" t="s">
        <v>263</v>
      </c>
      <c r="D9" s="502"/>
      <c r="E9" s="74">
        <f>'25'!L9</f>
        <v>24547.651935772941</v>
      </c>
      <c r="F9" s="74">
        <f>Production2!D28</f>
        <v>2623.16</v>
      </c>
      <c r="G9" s="74">
        <f>F9+'25'!G9</f>
        <v>74307.160000000018</v>
      </c>
      <c r="H9" s="74">
        <f>F9+'25'!H9</f>
        <v>231174.44000000006</v>
      </c>
      <c r="I9" s="74">
        <f>Production2!E28</f>
        <v>2675</v>
      </c>
      <c r="J9" s="74">
        <f>I9+'25'!J9</f>
        <v>58027</v>
      </c>
      <c r="K9" s="74">
        <f>I9+'25'!K9</f>
        <v>198058</v>
      </c>
      <c r="L9" s="74">
        <f>E9+F9-I9-I23</f>
        <v>24057.387492260939</v>
      </c>
      <c r="M9" s="75">
        <f>I9</f>
        <v>2675</v>
      </c>
      <c r="N9" s="75">
        <f>(I9/I15)*100</f>
        <v>96.53554673403103</v>
      </c>
      <c r="O9" s="736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01" t="s">
        <v>75</v>
      </c>
      <c r="D10" s="502"/>
      <c r="E10" s="77">
        <f>'Mines (2)'!L28</f>
        <v>3208.46</v>
      </c>
      <c r="F10" s="77">
        <f>'Mines (2)'!M28</f>
        <v>73.12</v>
      </c>
      <c r="G10" s="74">
        <f>F10+'25'!G10</f>
        <v>1481.1400000000003</v>
      </c>
      <c r="H10" s="74">
        <f>F10+'25'!H10</f>
        <v>6750.5400000000009</v>
      </c>
      <c r="I10" s="77">
        <f>'Mines (2)'!N28</f>
        <v>18</v>
      </c>
      <c r="J10" s="74">
        <f>I10+'25'!J10</f>
        <v>1129</v>
      </c>
      <c r="K10" s="74">
        <f>I10+'25'!K10</f>
        <v>3611</v>
      </c>
      <c r="L10" s="77">
        <f t="shared" ref="L10:L12" si="0">E10+F10-I10</f>
        <v>3263.58</v>
      </c>
      <c r="M10" s="75">
        <f t="shared" ref="M10:M14" si="1">I10</f>
        <v>18</v>
      </c>
      <c r="N10" s="75">
        <f>(I10/I15)*100</f>
        <v>0.6495849873691808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01" t="s">
        <v>77</v>
      </c>
      <c r="D11" s="502"/>
      <c r="E11" s="77">
        <f>Clinker!C28</f>
        <v>1236.7400000000002</v>
      </c>
      <c r="F11" s="77">
        <f>Clinker!D28</f>
        <v>0</v>
      </c>
      <c r="G11" s="74">
        <f>F11+'25'!G11</f>
        <v>98.82</v>
      </c>
      <c r="H11" s="74">
        <f>F11+'25'!H11</f>
        <v>516.1</v>
      </c>
      <c r="I11" s="77">
        <f>Clinker!E28</f>
        <v>50</v>
      </c>
      <c r="J11" s="74">
        <f>I11+'25'!J11</f>
        <v>1560</v>
      </c>
      <c r="K11" s="74">
        <f>I11+'25'!K11</f>
        <v>4695</v>
      </c>
      <c r="L11" s="77">
        <f t="shared" si="0"/>
        <v>1186.7400000000002</v>
      </c>
      <c r="M11" s="75">
        <f t="shared" si="1"/>
        <v>50</v>
      </c>
      <c r="N11" s="75">
        <f>(I11/I15)*100</f>
        <v>1.8044027426921689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01" t="s">
        <v>264</v>
      </c>
      <c r="D12" s="502"/>
      <c r="E12" s="77">
        <f>'Mines (2)'!Q28</f>
        <v>3.999999999996362E-2</v>
      </c>
      <c r="F12" s="77">
        <f>'Mines (2)'!R28</f>
        <v>0</v>
      </c>
      <c r="G12" s="74">
        <f>F12+'25'!G12</f>
        <v>0</v>
      </c>
      <c r="H12" s="74">
        <f>F12+'25'!H12</f>
        <v>137.76</v>
      </c>
      <c r="I12" s="77">
        <f>'Mines (2)'!S28</f>
        <v>0</v>
      </c>
      <c r="J12" s="74">
        <f>I12+'25'!J12</f>
        <v>0</v>
      </c>
      <c r="K12" s="74">
        <f>I12+'25'!K12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199">
        <v>5</v>
      </c>
      <c r="C13" s="501" t="s">
        <v>8</v>
      </c>
      <c r="D13" s="502"/>
      <c r="E13" s="77">
        <f>'Mines (2)'!AH28</f>
        <v>340.44</v>
      </c>
      <c r="F13" s="77">
        <f>'Mines (2)'!AI28</f>
        <v>0</v>
      </c>
      <c r="G13" s="74">
        <f>F13+'25'!G13</f>
        <v>121.08</v>
      </c>
      <c r="H13" s="74">
        <f>F13+'25'!H13</f>
        <v>121.08</v>
      </c>
      <c r="I13" s="77">
        <f>'Mines (2)'!AJ28</f>
        <v>28</v>
      </c>
      <c r="J13" s="74">
        <f>I13+'25'!J13</f>
        <v>107</v>
      </c>
      <c r="K13" s="74">
        <f>I13+'25'!K13</f>
        <v>107</v>
      </c>
      <c r="L13" s="77">
        <f>E13+F13-I13</f>
        <v>312.44</v>
      </c>
      <c r="M13" s="75">
        <f t="shared" si="1"/>
        <v>28</v>
      </c>
      <c r="N13" s="75">
        <f>(I13/I15)*100</f>
        <v>1.0104655359076147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F14+'25'!G14</f>
        <v>0</v>
      </c>
      <c r="H14" s="74">
        <f>F14+'25'!H14</f>
        <v>0</v>
      </c>
      <c r="I14" s="77">
        <v>0</v>
      </c>
      <c r="J14" s="74">
        <f>I14+'25'!J14</f>
        <v>0</v>
      </c>
      <c r="K14" s="74">
        <f>I14+'25'!K14</f>
        <v>0</v>
      </c>
      <c r="L14" s="77">
        <f t="shared" ref="L14" si="2">E14+F14-I14</f>
        <v>0</v>
      </c>
      <c r="M14" s="75">
        <f t="shared" si="1"/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734" t="s">
        <v>265</v>
      </c>
      <c r="D15" s="735"/>
      <c r="E15" s="127">
        <f>SUM(E9:E14)</f>
        <v>29333.331935772942</v>
      </c>
      <c r="F15" s="127">
        <f t="shared" ref="F15:J15" si="3">SUM(F9:F14)</f>
        <v>2696.2799999999997</v>
      </c>
      <c r="G15" s="127">
        <f t="shared" si="3"/>
        <v>76008.200000000026</v>
      </c>
      <c r="H15" s="127">
        <f t="shared" si="3"/>
        <v>238699.92000000007</v>
      </c>
      <c r="I15" s="127">
        <f t="shared" si="3"/>
        <v>2771</v>
      </c>
      <c r="J15" s="127">
        <f t="shared" si="3"/>
        <v>60823</v>
      </c>
      <c r="K15" s="127">
        <f>SUM(K9:K14)</f>
        <v>207209</v>
      </c>
      <c r="L15" s="127">
        <f t="shared" ref="L15:N15" si="4">SUM(L9:L14)</f>
        <v>28820.187492260942</v>
      </c>
      <c r="M15" s="127">
        <f t="shared" si="4"/>
        <v>2771</v>
      </c>
      <c r="N15" s="127">
        <f t="shared" si="4"/>
        <v>100</v>
      </c>
      <c r="O15" s="515"/>
      <c r="P15" s="522"/>
      <c r="Q15" s="523"/>
    </row>
    <row r="16" spans="2:21">
      <c r="B16" s="569">
        <v>6</v>
      </c>
      <c r="C16" s="476" t="s">
        <v>266</v>
      </c>
      <c r="D16" s="80" t="s">
        <v>63</v>
      </c>
      <c r="E16" s="77">
        <f>Clinker!EB28</f>
        <v>3158.4469999999906</v>
      </c>
      <c r="F16" s="77">
        <f>Clinker!EC28</f>
        <v>219.76</v>
      </c>
      <c r="G16" s="77">
        <f>F16+'25'!G16</f>
        <v>4695.2400000000016</v>
      </c>
      <c r="H16" s="77">
        <f>F16+'25'!H16</f>
        <v>5500.4800000000005</v>
      </c>
      <c r="I16" s="77">
        <f>Clinker!ED28</f>
        <v>266.67</v>
      </c>
      <c r="J16" s="77">
        <f>I16+'25'!J16</f>
        <v>6201.7799999999988</v>
      </c>
      <c r="K16" s="77">
        <f>I16+'25'!K16</f>
        <v>20919.089999999997</v>
      </c>
      <c r="L16" s="77">
        <f>E16+F16-Clinker!N28-Clinker!Z28-Clinker!AS28-Clinker!AX28-Clinker!BC28-Clinker!BW28-Clinker!BH28-Clinker!BM28-Clinker!BR28-Clinker!CV28</f>
        <v>3378.2069999999903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64"/>
      <c r="C17" s="477"/>
      <c r="D17" s="80" t="s">
        <v>62</v>
      </c>
      <c r="E17" s="77">
        <f>Clinker!EF28</f>
        <v>3994.3199999999933</v>
      </c>
      <c r="F17" s="77">
        <f>Clinker!EG28</f>
        <v>120.05</v>
      </c>
      <c r="G17" s="77">
        <f>F17+'25'!G17</f>
        <v>3643.6500000000005</v>
      </c>
      <c r="H17" s="77">
        <f>F17+'25'!H17</f>
        <v>5784.5999999999995</v>
      </c>
      <c r="I17" s="77">
        <f>Clinker!EH28</f>
        <v>140</v>
      </c>
      <c r="J17" s="77">
        <f>I17+'25'!J17</f>
        <v>3728</v>
      </c>
      <c r="K17" s="77">
        <f>I17+'25'!K17</f>
        <v>11900</v>
      </c>
      <c r="L17" s="77">
        <f>E17+F17-I16-Clinker!AE28-Clinker!AJ28-Clinker!CL28-Clinker!CQ28-Clinker!CG28</f>
        <v>3707.6999999999935</v>
      </c>
      <c r="M17" s="81"/>
      <c r="N17" s="81"/>
      <c r="O17" s="515"/>
      <c r="P17" s="82"/>
      <c r="Q17" s="82"/>
      <c r="R17" s="83"/>
      <c r="S17" s="83"/>
    </row>
    <row r="18" spans="2:19">
      <c r="B18" s="730"/>
      <c r="C18" s="524"/>
      <c r="D18" s="124" t="s">
        <v>162</v>
      </c>
      <c r="E18" s="125">
        <f>E16+E17</f>
        <v>7152.7669999999835</v>
      </c>
      <c r="F18" s="125">
        <f>F16+F17</f>
        <v>339.81</v>
      </c>
      <c r="G18" s="125">
        <f t="shared" ref="G18:K18" si="5">G16+G17</f>
        <v>8338.8900000000031</v>
      </c>
      <c r="H18" s="125">
        <f t="shared" si="5"/>
        <v>11285.08</v>
      </c>
      <c r="I18" s="125">
        <f t="shared" si="5"/>
        <v>406.67</v>
      </c>
      <c r="J18" s="125">
        <f>J16+J17</f>
        <v>9929.7799999999988</v>
      </c>
      <c r="K18" s="125">
        <f t="shared" si="5"/>
        <v>32819.089999999997</v>
      </c>
      <c r="L18" s="125">
        <f>E18+F18-I18</f>
        <v>7085.9069999999838</v>
      </c>
      <c r="M18" s="126"/>
      <c r="N18" s="126"/>
      <c r="O18" s="737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69">
        <v>7</v>
      </c>
      <c r="C20" s="476" t="s">
        <v>268</v>
      </c>
      <c r="D20" s="85" t="s">
        <v>269</v>
      </c>
      <c r="E20" s="74">
        <f>Clinker!EJ28</f>
        <v>14126.273564417193</v>
      </c>
      <c r="F20" s="74">
        <f>Clinker!EK28</f>
        <v>1550</v>
      </c>
      <c r="G20" s="74">
        <f>F20+'25'!G20</f>
        <v>35582</v>
      </c>
      <c r="H20" s="74">
        <f>F20+'25'!H20</f>
        <v>121108</v>
      </c>
      <c r="I20" s="74">
        <f>Clinker!EL28</f>
        <v>2372.9250020831996</v>
      </c>
      <c r="J20" s="74">
        <f>I20+'25'!J20</f>
        <v>48224.46052342769</v>
      </c>
      <c r="K20" s="74">
        <f>I20+'25'!K20</f>
        <v>111086.19153729272</v>
      </c>
      <c r="L20" s="74">
        <f>E20+F20-I20-I22</f>
        <v>13303.348562333995</v>
      </c>
      <c r="M20" s="641">
        <f>((I20+I21)/(J42+J48))*100</f>
        <v>81.459835292935097</v>
      </c>
      <c r="N20" s="731"/>
      <c r="O20" s="733"/>
      <c r="P20" s="533"/>
      <c r="Q20" s="534"/>
      <c r="R20" s="190"/>
      <c r="S20" s="190"/>
    </row>
    <row r="21" spans="2:19" ht="30">
      <c r="B21" s="564"/>
      <c r="C21" s="477"/>
      <c r="D21" s="85" t="s">
        <v>70</v>
      </c>
      <c r="E21" s="74">
        <f>Clinker!EO28</f>
        <v>89.258008000135931</v>
      </c>
      <c r="F21" s="74">
        <f>Clinker!EP28</f>
        <v>0</v>
      </c>
      <c r="G21" s="74">
        <f>F21+'25'!G21</f>
        <v>0</v>
      </c>
      <c r="H21" s="74">
        <f>F21+'25'!H21</f>
        <v>13390.660000000003</v>
      </c>
      <c r="I21" s="74">
        <f>Clinker!EQ28</f>
        <v>0</v>
      </c>
      <c r="J21" s="74">
        <f>I21+'25'!J21</f>
        <v>5216.8510000000006</v>
      </c>
      <c r="K21" s="74">
        <f>I21+'25'!K21</f>
        <v>22150.950999999997</v>
      </c>
      <c r="L21" s="74">
        <f>E21+F21-I21</f>
        <v>89.258008000135931</v>
      </c>
      <c r="M21" s="642"/>
      <c r="N21" s="732"/>
      <c r="O21" s="527"/>
      <c r="P21" s="535"/>
      <c r="Q21" s="536"/>
      <c r="R21" s="190"/>
      <c r="S21" s="20"/>
    </row>
    <row r="22" spans="2:19" ht="30">
      <c r="B22" s="730"/>
      <c r="C22" s="524"/>
      <c r="D22" s="86" t="s">
        <v>270</v>
      </c>
      <c r="E22" s="77"/>
      <c r="F22" s="77">
        <v>0</v>
      </c>
      <c r="G22" s="74">
        <v>0</v>
      </c>
      <c r="H22" s="74">
        <f>F22+'25'!H22</f>
        <v>0</v>
      </c>
      <c r="I22" s="77">
        <f>Clinker!EN28</f>
        <v>0</v>
      </c>
      <c r="J22" s="74">
        <f>I22+'25'!J22</f>
        <v>0</v>
      </c>
      <c r="K22" s="74">
        <f>I22+'25'!K22</f>
        <v>0</v>
      </c>
      <c r="L22" s="74"/>
      <c r="M22" s="78"/>
      <c r="N22" s="525"/>
      <c r="O22" s="527"/>
      <c r="P22" s="570"/>
      <c r="Q22" s="571"/>
      <c r="R22" s="20"/>
      <c r="S22" s="20"/>
    </row>
    <row r="23" spans="2:19">
      <c r="B23" s="229">
        <v>8</v>
      </c>
      <c r="C23" s="474" t="s">
        <v>263</v>
      </c>
      <c r="D23" s="475"/>
      <c r="E23" s="77">
        <f>Cement!P28</f>
        <v>0</v>
      </c>
      <c r="F23" s="77">
        <f>Cement!Q28</f>
        <v>0</v>
      </c>
      <c r="G23" s="74">
        <f>F23+'25'!G23</f>
        <v>0</v>
      </c>
      <c r="H23" s="74">
        <f>F23+'25'!H23</f>
        <v>0</v>
      </c>
      <c r="I23" s="77">
        <f>Cement!S28</f>
        <v>438.42444351200004</v>
      </c>
      <c r="J23" s="74">
        <f>I23+'25'!J23</f>
        <v>11690.572770070228</v>
      </c>
      <c r="K23" s="74">
        <f>I23+'25'!K23</f>
        <v>32163.924204922907</v>
      </c>
      <c r="L23" s="74"/>
      <c r="M23" s="78">
        <f>(I23/(J42+J48))*100</f>
        <v>15.050615980501203</v>
      </c>
      <c r="N23" s="78"/>
      <c r="O23" s="527"/>
      <c r="P23" s="87"/>
      <c r="Q23" s="572"/>
      <c r="R23" s="20"/>
      <c r="S23" s="20"/>
    </row>
    <row r="24" spans="2:19">
      <c r="B24" s="89">
        <v>9</v>
      </c>
      <c r="C24" s="474" t="s">
        <v>271</v>
      </c>
      <c r="D24" s="475"/>
      <c r="E24" s="77">
        <f>Cement!C28</f>
        <v>2959.4614733625845</v>
      </c>
      <c r="F24" s="77">
        <f>Cement!D28</f>
        <v>512.72</v>
      </c>
      <c r="G24" s="74">
        <f>F24+'25'!G24</f>
        <v>2663.08</v>
      </c>
      <c r="H24" s="74">
        <f>F24+'25'!H24</f>
        <v>4789.7</v>
      </c>
      <c r="I24" s="77">
        <f>Cement!F28</f>
        <v>153.15052500631577</v>
      </c>
      <c r="J24" s="74">
        <f>I24+'25'!J24</f>
        <v>3552.3795889683706</v>
      </c>
      <c r="K24" s="74">
        <f>I24+'25'!K24</f>
        <v>8916.0491107935159</v>
      </c>
      <c r="L24" s="74">
        <f t="shared" ref="L24:L26" si="6">E24+F24-I24</f>
        <v>3319.0309483562687</v>
      </c>
      <c r="M24" s="78">
        <f>(I24/(J42+J48))*100</f>
        <v>5.2574845522250522</v>
      </c>
      <c r="N24" s="78"/>
      <c r="O24" s="527"/>
      <c r="P24" s="87"/>
      <c r="Q24" s="573"/>
      <c r="R24" s="20"/>
      <c r="S24" s="20"/>
    </row>
    <row r="25" spans="2:19">
      <c r="B25" s="569">
        <v>10</v>
      </c>
      <c r="C25" s="476" t="s">
        <v>272</v>
      </c>
      <c r="D25" s="76" t="s">
        <v>82</v>
      </c>
      <c r="E25" s="77">
        <f>Cement!H28</f>
        <v>0.23999999999796273</v>
      </c>
      <c r="F25" s="77">
        <f>Cement!I28</f>
        <v>0</v>
      </c>
      <c r="G25" s="74">
        <f>F25+'25'!G25</f>
        <v>0</v>
      </c>
      <c r="H25" s="74">
        <f>F25+'25'!H25</f>
        <v>0</v>
      </c>
      <c r="I25" s="77">
        <f>Cement!J28</f>
        <v>0</v>
      </c>
      <c r="J25" s="74">
        <f>I25+'25'!J25</f>
        <v>0</v>
      </c>
      <c r="K25" s="74">
        <f>I25+'25'!K25</f>
        <v>0</v>
      </c>
      <c r="L25" s="74">
        <f t="shared" si="6"/>
        <v>0.23999999999796273</v>
      </c>
      <c r="M25" s="739"/>
      <c r="N25" s="740"/>
      <c r="O25" s="527"/>
      <c r="P25" s="533"/>
      <c r="Q25" s="534"/>
      <c r="R25" s="83"/>
      <c r="S25" s="234"/>
    </row>
    <row r="26" spans="2:19">
      <c r="B26" s="730"/>
      <c r="C26" s="524"/>
      <c r="D26" s="76" t="s">
        <v>273</v>
      </c>
      <c r="E26" s="77">
        <f>Cement!L28</f>
        <v>0</v>
      </c>
      <c r="F26" s="77">
        <f>Cement!M28</f>
        <v>0</v>
      </c>
      <c r="G26" s="74">
        <f>F26+'25'!G26</f>
        <v>0</v>
      </c>
      <c r="H26" s="74">
        <f>F26+'25'!H26</f>
        <v>0</v>
      </c>
      <c r="I26" s="77">
        <f>Cement!N28</f>
        <v>0</v>
      </c>
      <c r="J26" s="74">
        <f>I26+'25'!J26</f>
        <v>0</v>
      </c>
      <c r="K26" s="74">
        <f>I26+'25'!K26</f>
        <v>0</v>
      </c>
      <c r="L26" s="74">
        <f t="shared" si="6"/>
        <v>0</v>
      </c>
      <c r="M26" s="741"/>
      <c r="N26" s="74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743" t="s">
        <v>274</v>
      </c>
      <c r="D27" s="744"/>
      <c r="E27" s="122">
        <f>E20+E21+E23+E24+E25+E26</f>
        <v>17175.233045779911</v>
      </c>
      <c r="F27" s="122">
        <f t="shared" ref="F27:H27" si="7">F20+F21+F23+F24+F25+F26</f>
        <v>2062.7200000000003</v>
      </c>
      <c r="G27" s="122">
        <f t="shared" si="7"/>
        <v>38245.08</v>
      </c>
      <c r="H27" s="122">
        <f t="shared" si="7"/>
        <v>139288.36000000002</v>
      </c>
      <c r="I27" s="122">
        <f>I20+I21+I23+I24+I25+I26</f>
        <v>2964.4999706015151</v>
      </c>
      <c r="J27" s="122">
        <f>J20+J21+J23+J24+J25+J26</f>
        <v>68684.263882466286</v>
      </c>
      <c r="K27" s="122">
        <f>K20+K21+K23+K24+K25+K26</f>
        <v>174317.11585300911</v>
      </c>
      <c r="L27" s="122">
        <f>L20+L21+L23+L24+L25+L26</f>
        <v>16711.877518690395</v>
      </c>
      <c r="M27" s="745"/>
      <c r="N27" s="746"/>
      <c r="O27" s="528"/>
      <c r="P27" s="537"/>
      <c r="Q27" s="538"/>
      <c r="R27" s="83"/>
      <c r="S27" s="83"/>
    </row>
    <row r="28" spans="2:19" ht="14.45" customHeight="1" thickBot="1">
      <c r="B28" s="692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3"/>
      <c r="N28" s="693"/>
      <c r="O28" s="693"/>
      <c r="P28" s="693"/>
      <c r="Q28" s="694"/>
      <c r="R28" s="83"/>
      <c r="S28" s="83"/>
    </row>
    <row r="29" spans="2:19" ht="15" customHeight="1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649" t="s">
        <v>250</v>
      </c>
      <c r="C30" s="725" t="s">
        <v>276</v>
      </c>
      <c r="D30" s="726"/>
      <c r="E30" s="134" t="s">
        <v>277</v>
      </c>
      <c r="F30" s="727" t="s">
        <v>278</v>
      </c>
      <c r="G30" s="728"/>
      <c r="H30" s="729"/>
      <c r="I30" s="509" t="s">
        <v>279</v>
      </c>
      <c r="J30" s="713" t="s">
        <v>80</v>
      </c>
      <c r="K30" s="714"/>
      <c r="L30" s="684"/>
      <c r="M30" s="713" t="s">
        <v>79</v>
      </c>
      <c r="N30" s="714"/>
      <c r="O30" s="684"/>
      <c r="P30" s="509" t="s">
        <v>256</v>
      </c>
      <c r="Q30" s="514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721" t="s">
        <v>281</v>
      </c>
      <c r="D32" s="722"/>
      <c r="E32" s="92">
        <v>250</v>
      </c>
      <c r="F32" s="75">
        <f>Production2!C28</f>
        <v>18.48</v>
      </c>
      <c r="G32" s="75">
        <f>F32+'25'!G32</f>
        <v>474.85</v>
      </c>
      <c r="H32" s="75">
        <f>F32+'25'!H32</f>
        <v>1443.9800000000002</v>
      </c>
      <c r="I32" s="74">
        <f>'Mines (2)'!C28+'Mines (2)'!H28+'Mines (2)'!V28+'Mines (2)'!Z28+'Mines (2)'!AD28</f>
        <v>24547.651935772941</v>
      </c>
      <c r="J32" s="74">
        <f>Production2!D28</f>
        <v>2623.16</v>
      </c>
      <c r="K32" s="74">
        <f>J32+'25'!K32</f>
        <v>74307.160000000018</v>
      </c>
      <c r="L32" s="74">
        <f>J32+'25'!L32</f>
        <v>231174.44000000006</v>
      </c>
      <c r="M32" s="74">
        <f>I9+I23</f>
        <v>3113.4244435119999</v>
      </c>
      <c r="N32" s="74">
        <f>M32+'25'!N32</f>
        <v>69717.572770070226</v>
      </c>
      <c r="O32" s="74">
        <f>M32+'25'!O32</f>
        <v>230221.92420492289</v>
      </c>
      <c r="P32" s="74">
        <f>I32+J32-M32</f>
        <v>24057.387492260939</v>
      </c>
      <c r="Q32" s="93">
        <f>J32/F32</f>
        <v>141.94588744588742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Production2!G28</f>
        <v>21.1</v>
      </c>
      <c r="G33" s="75">
        <f>F33+'25'!G33</f>
        <v>450.66</v>
      </c>
      <c r="H33" s="75">
        <f>F33+'25'!H33</f>
        <v>1520.1999999999994</v>
      </c>
      <c r="I33" s="541">
        <f>Production2!H28</f>
        <v>812.51001683751838</v>
      </c>
      <c r="J33" s="78">
        <f>Production2!N28</f>
        <v>2320</v>
      </c>
      <c r="K33" s="74">
        <f>J33+'25'!K33</f>
        <v>51972.959999999999</v>
      </c>
      <c r="L33" s="74">
        <f>J33+'25'!L33</f>
        <v>178258.55</v>
      </c>
      <c r="M33" s="541">
        <f>Production2!K28</f>
        <v>2402.5</v>
      </c>
      <c r="N33" s="541">
        <f>M33+'25'!N33</f>
        <v>55152.100000000006</v>
      </c>
      <c r="O33" s="541">
        <f>M33+'25'!O33</f>
        <v>187717.4</v>
      </c>
      <c r="P33" s="541">
        <f>I33+J33+J34-M33</f>
        <v>906.25001683751816</v>
      </c>
      <c r="Q33" s="96">
        <f t="shared" ref="Q33:Q48" si="8">J33/F33</f>
        <v>109.95260663507108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Production2!P28</f>
        <v>22</v>
      </c>
      <c r="G34" s="75">
        <f>F34+'25'!G34</f>
        <v>314.88</v>
      </c>
      <c r="H34" s="75">
        <f>F34+'25'!H34</f>
        <v>930.55</v>
      </c>
      <c r="I34" s="473"/>
      <c r="J34" s="78">
        <f>Production2!Q28</f>
        <v>176.24</v>
      </c>
      <c r="K34" s="74">
        <f>J34+'25'!K34</f>
        <v>2817.75</v>
      </c>
      <c r="L34" s="74">
        <f>J34+'25'!L34</f>
        <v>8371.3700000000008</v>
      </c>
      <c r="M34" s="473"/>
      <c r="N34" s="473"/>
      <c r="O34" s="473"/>
      <c r="P34" s="473"/>
      <c r="Q34" s="96">
        <f>J34/F34</f>
        <v>8.0109090909090916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Production2!S28</f>
        <v>18</v>
      </c>
      <c r="G35" s="75">
        <f>F35+'25'!G35</f>
        <v>413.59999999999997</v>
      </c>
      <c r="H35" s="75">
        <f>F35+'25'!H35</f>
        <v>1366.93</v>
      </c>
      <c r="I35" s="77">
        <f>Production2!T28</f>
        <v>52.709999999999809</v>
      </c>
      <c r="J35" s="77">
        <f>Production2!U28</f>
        <v>240</v>
      </c>
      <c r="K35" s="74">
        <f>J35+'25'!K35</f>
        <v>5581.6000000000013</v>
      </c>
      <c r="L35" s="74">
        <f>J35+'25'!L35</f>
        <v>18827.199999999993</v>
      </c>
      <c r="M35" s="77">
        <f>Production2!V28</f>
        <v>238</v>
      </c>
      <c r="N35" s="74">
        <f>M35+'25'!N35</f>
        <v>5569</v>
      </c>
      <c r="O35" s="74">
        <f>M35+'25'!O35</f>
        <v>18788</v>
      </c>
      <c r="P35" s="74">
        <f t="shared" ref="P35" si="9">I35+J35-M35</f>
        <v>54.709999999999809</v>
      </c>
      <c r="Q35" s="96">
        <f t="shared" si="8"/>
        <v>13.333333333333334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Production2!Y28</f>
        <v>24</v>
      </c>
      <c r="G36" s="75">
        <f>F36+'25'!G36</f>
        <v>577.30999999999995</v>
      </c>
      <c r="H36" s="75">
        <f>F36+'25'!H36</f>
        <v>1892.12</v>
      </c>
      <c r="I36" s="77">
        <f>Clinker!EJ28</f>
        <v>14126.273564417193</v>
      </c>
      <c r="J36" s="77">
        <f>Clinker!EK28</f>
        <v>1550</v>
      </c>
      <c r="K36" s="74">
        <f>J36+'25'!K36</f>
        <v>35582</v>
      </c>
      <c r="L36" s="74">
        <f>J36+'25'!L36</f>
        <v>121108</v>
      </c>
      <c r="M36" s="77">
        <f>Clinker!EL28</f>
        <v>2372.9250020831996</v>
      </c>
      <c r="N36" s="74">
        <f>M36+'25'!N36</f>
        <v>48224.46052342769</v>
      </c>
      <c r="O36" s="74">
        <f>M36+'25'!O36</f>
        <v>111086.19153729272</v>
      </c>
      <c r="P36" s="74">
        <f>I36+J36-M36-I22</f>
        <v>13303.348562333995</v>
      </c>
      <c r="Q36" s="96">
        <f t="shared" si="8"/>
        <v>64.583333333333329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Production2!AE28</f>
        <v>3</v>
      </c>
      <c r="G37" s="75">
        <f>F37+'25'!G37</f>
        <v>27.2</v>
      </c>
      <c r="H37" s="75">
        <f>F37+'25'!H37</f>
        <v>66.900000000000006</v>
      </c>
      <c r="I37" s="77">
        <f>Production2!BJ28</f>
        <v>155.19999999999993</v>
      </c>
      <c r="J37" s="77">
        <f>Production2!AF28</f>
        <v>201</v>
      </c>
      <c r="K37" s="74">
        <f>J37+'25'!K37</f>
        <v>1862</v>
      </c>
      <c r="L37" s="74">
        <f>J37+'25'!L37</f>
        <v>4496</v>
      </c>
      <c r="M37" s="77">
        <f>Production2!BL28</f>
        <v>315</v>
      </c>
      <c r="N37" s="74">
        <f>M37+'25'!N37</f>
        <v>3597</v>
      </c>
      <c r="O37" s="74">
        <f>M37+'25'!O37</f>
        <v>8635</v>
      </c>
      <c r="P37" s="74">
        <f>I37+J37+J43-M37-F61</f>
        <v>161.19999999999993</v>
      </c>
      <c r="Q37" s="96">
        <f t="shared" si="8"/>
        <v>67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Production2!AB28</f>
        <v>20.67</v>
      </c>
      <c r="G38" s="75">
        <f>F38+'25'!G38</f>
        <v>490.12</v>
      </c>
      <c r="H38" s="75">
        <f>F38+'25'!H38</f>
        <v>988.58999999999992</v>
      </c>
      <c r="I38" s="77">
        <f>Production2!BF28</f>
        <v>804.04799999997749</v>
      </c>
      <c r="J38" s="77">
        <f>Production2!AC28</f>
        <v>1337</v>
      </c>
      <c r="K38" s="74">
        <f>J38+'25'!K38</f>
        <v>32073</v>
      </c>
      <c r="L38" s="74">
        <f>J38+'25'!L38</f>
        <v>63403</v>
      </c>
      <c r="M38" s="77">
        <f>Production2!BH28</f>
        <v>2406.86</v>
      </c>
      <c r="N38" s="74">
        <f>M38+'25'!N38</f>
        <v>57558.540000000008</v>
      </c>
      <c r="O38" s="74">
        <f>M38+'25'!O38</f>
        <v>138301.36999999997</v>
      </c>
      <c r="P38" s="74">
        <f>I38+J38+J44-M38-F59</f>
        <v>638.18799999997736</v>
      </c>
      <c r="Q38" s="96">
        <f t="shared" si="8"/>
        <v>64.683115626511849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Production2!AH28</f>
        <v>0</v>
      </c>
      <c r="G39" s="75">
        <f>F39+'25'!G39</f>
        <v>0</v>
      </c>
      <c r="H39" s="75">
        <f>F39+'25'!H39</f>
        <v>0</v>
      </c>
      <c r="I39" s="77">
        <f>Production2!BN28</f>
        <v>9.0000000000849845E-2</v>
      </c>
      <c r="J39" s="77">
        <f>Production2!AI28</f>
        <v>0</v>
      </c>
      <c r="K39" s="74">
        <f>J39+'25'!K39</f>
        <v>0</v>
      </c>
      <c r="L39" s="74">
        <f>J39+'25'!L39</f>
        <v>0</v>
      </c>
      <c r="M39" s="77">
        <f>Production2!BP28</f>
        <v>0</v>
      </c>
      <c r="N39" s="74">
        <f>M39+'25'!N39</f>
        <v>0</v>
      </c>
      <c r="O39" s="74">
        <f>M39+'25'!O39</f>
        <v>-0.15</v>
      </c>
      <c r="P39" s="74">
        <f>I39+J39+J45-M39-F60</f>
        <v>9.0000000000849845E-2</v>
      </c>
      <c r="Q39" s="96" t="e">
        <f t="shared" si="8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Production2!AK28</f>
        <v>0</v>
      </c>
      <c r="G40" s="75">
        <f>F40+'25'!G40</f>
        <v>3</v>
      </c>
      <c r="H40" s="75">
        <f>F40+'25'!H40</f>
        <v>8</v>
      </c>
      <c r="I40" s="195">
        <f>Production2!BR28</f>
        <v>155.35000000000002</v>
      </c>
      <c r="J40" s="77">
        <v>0</v>
      </c>
      <c r="K40" s="74">
        <f>J40+'25'!K40</f>
        <v>185</v>
      </c>
      <c r="L40" s="74">
        <f>J40+'25'!L40</f>
        <v>485</v>
      </c>
      <c r="M40" s="195">
        <f>Production2!BT28</f>
        <v>30</v>
      </c>
      <c r="N40" s="74">
        <f>M40+'25'!N40</f>
        <v>1751</v>
      </c>
      <c r="O40" s="74">
        <f>M40+'25'!O40</f>
        <v>4783.5</v>
      </c>
      <c r="P40" s="74">
        <f>I40+J40+J46-M40-F61</f>
        <v>125.35000000000002</v>
      </c>
      <c r="Q40" s="96" t="e">
        <f t="shared" si="8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Production2!AN28</f>
        <v>0</v>
      </c>
      <c r="G41" s="75">
        <f>F41+'25'!G41</f>
        <v>56.5</v>
      </c>
      <c r="H41" s="75">
        <f>F41+'25'!H41</f>
        <v>182.67</v>
      </c>
      <c r="I41" s="195">
        <f>Production2!BV28</f>
        <v>138.66000000000014</v>
      </c>
      <c r="J41" s="195">
        <f>Production2!AO28</f>
        <v>0</v>
      </c>
      <c r="K41" s="74">
        <f>J41+'25'!K41</f>
        <v>3883</v>
      </c>
      <c r="L41" s="74">
        <f>J41+'25'!L41</f>
        <v>12061</v>
      </c>
      <c r="M41" s="195">
        <f>Production2!BX28</f>
        <v>420.48</v>
      </c>
      <c r="N41" s="74">
        <f>M41+'25'!N41</f>
        <v>7126.2199999999993</v>
      </c>
      <c r="O41" s="74">
        <f>M41+'25'!O41</f>
        <v>21121.530000000002</v>
      </c>
      <c r="P41" s="74">
        <f>I41+J41+J47-M41-F63</f>
        <v>69.180000000000121</v>
      </c>
      <c r="Q41" s="96" t="e">
        <f t="shared" si="8"/>
        <v>#DIV/0!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23.67</v>
      </c>
      <c r="G42" s="132">
        <f t="shared" ref="G42:H42" si="10">G37+G38+G39+G40+G41</f>
        <v>576.82000000000005</v>
      </c>
      <c r="H42" s="132">
        <f t="shared" si="10"/>
        <v>1246.1600000000001</v>
      </c>
      <c r="I42" s="122">
        <f>I37+I38+I39+I40+I41</f>
        <v>1253.3479999999784</v>
      </c>
      <c r="J42" s="122">
        <f t="shared" ref="J42:P42" si="11">J37+J38+J39+J40+J41</f>
        <v>1538</v>
      </c>
      <c r="K42" s="122">
        <f t="shared" si="11"/>
        <v>38003</v>
      </c>
      <c r="L42" s="122">
        <f t="shared" si="11"/>
        <v>80445</v>
      </c>
      <c r="M42" s="122">
        <f t="shared" si="11"/>
        <v>3172.34</v>
      </c>
      <c r="N42" s="122">
        <f t="shared" si="11"/>
        <v>70032.760000000009</v>
      </c>
      <c r="O42" s="122">
        <f t="shared" si="11"/>
        <v>172841.24999999997</v>
      </c>
      <c r="P42" s="122">
        <f t="shared" si="11"/>
        <v>994.00799999997821</v>
      </c>
      <c r="Q42" s="123">
        <f t="shared" si="8"/>
        <v>64.976763836079414</v>
      </c>
      <c r="R42" s="94"/>
      <c r="S42" s="94"/>
    </row>
    <row r="43" spans="2:19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Production2!AT28</f>
        <v>2</v>
      </c>
      <c r="G43" s="75">
        <f>F43+'25'!G43</f>
        <v>21.5</v>
      </c>
      <c r="H43" s="75">
        <f>F43+'25'!H43</f>
        <v>66.929999999999993</v>
      </c>
      <c r="I43" s="471"/>
      <c r="J43" s="77">
        <f>Production2!AU28</f>
        <v>120</v>
      </c>
      <c r="K43" s="74">
        <f>J43+'25'!K43</f>
        <v>1318</v>
      </c>
      <c r="L43" s="74">
        <f>J43+'25'!L43</f>
        <v>4068</v>
      </c>
      <c r="M43" s="542"/>
      <c r="N43" s="543"/>
      <c r="O43" s="543"/>
      <c r="P43" s="544"/>
      <c r="Q43" s="96">
        <f t="shared" si="8"/>
        <v>60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Production2!AQ28</f>
        <v>15.3</v>
      </c>
      <c r="G44" s="75">
        <f>F44+'25'!G44</f>
        <v>416.33</v>
      </c>
      <c r="H44" s="75">
        <f>F44+'25'!H44</f>
        <v>1266.74</v>
      </c>
      <c r="I44" s="472"/>
      <c r="J44" s="77">
        <f>Production2!AR28</f>
        <v>904</v>
      </c>
      <c r="K44" s="74">
        <f>J44+'25'!K44</f>
        <v>24307</v>
      </c>
      <c r="L44" s="74">
        <f>J44+'25'!L44</f>
        <v>74268</v>
      </c>
      <c r="M44" s="545"/>
      <c r="N44" s="546"/>
      <c r="O44" s="546"/>
      <c r="P44" s="547"/>
      <c r="Q44" s="96">
        <f t="shared" si="8"/>
        <v>59.084967320261434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Production2!AW28</f>
        <v>0</v>
      </c>
      <c r="G45" s="75">
        <f>F45+'25'!G45</f>
        <v>0</v>
      </c>
      <c r="H45" s="75">
        <f>F45+'25'!H45</f>
        <v>0</v>
      </c>
      <c r="I45" s="472"/>
      <c r="J45" s="77">
        <f>Production2!AX28</f>
        <v>0</v>
      </c>
      <c r="K45" s="74">
        <f>J45+'25'!K45</f>
        <v>0</v>
      </c>
      <c r="L45" s="74">
        <f>J45+'25'!L45</f>
        <v>0</v>
      </c>
      <c r="M45" s="545"/>
      <c r="N45" s="546"/>
      <c r="O45" s="546"/>
      <c r="P45" s="547"/>
      <c r="Q45" s="96" t="e">
        <f t="shared" si="8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Production2!AZ28</f>
        <v>0</v>
      </c>
      <c r="G46" s="75">
        <f>F46+'25'!G46</f>
        <v>27.77</v>
      </c>
      <c r="H46" s="75">
        <f>F46+'25'!H46</f>
        <v>75.649999999999991</v>
      </c>
      <c r="I46" s="472"/>
      <c r="J46" s="195">
        <f>Production2!BA28</f>
        <v>0</v>
      </c>
      <c r="K46" s="74">
        <f>J46+'25'!K46</f>
        <v>1564</v>
      </c>
      <c r="L46" s="74">
        <f>J46+'25'!L46</f>
        <v>4211</v>
      </c>
      <c r="M46" s="545"/>
      <c r="N46" s="546"/>
      <c r="O46" s="546"/>
      <c r="P46" s="547"/>
      <c r="Q46" s="96" t="e">
        <f t="shared" si="8"/>
        <v>#DIV/0!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Production2!BC28</f>
        <v>6</v>
      </c>
      <c r="G47" s="75">
        <f>F47+'25'!G47</f>
        <v>36</v>
      </c>
      <c r="H47" s="75">
        <f>F47+'25'!H47</f>
        <v>144.67000000000002</v>
      </c>
      <c r="I47" s="473"/>
      <c r="J47" s="195">
        <f>Production2!BD28</f>
        <v>351</v>
      </c>
      <c r="K47" s="74">
        <f>J47+'25'!K47</f>
        <v>2145</v>
      </c>
      <c r="L47" s="74">
        <f>J47+'25'!L47</f>
        <v>8760</v>
      </c>
      <c r="M47" s="548"/>
      <c r="N47" s="549"/>
      <c r="O47" s="549"/>
      <c r="P47" s="550"/>
      <c r="Q47" s="96">
        <f t="shared" si="8"/>
        <v>58.5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23.3</v>
      </c>
      <c r="G48" s="132">
        <f t="shared" ref="G48:H48" si="12">G43+G44+G45+G46+G47</f>
        <v>501.59999999999997</v>
      </c>
      <c r="H48" s="132">
        <f t="shared" si="12"/>
        <v>1553.9900000000002</v>
      </c>
      <c r="I48" s="122"/>
      <c r="J48" s="122">
        <f>J43+J44+J45+J46+J47</f>
        <v>1375</v>
      </c>
      <c r="K48" s="122">
        <f>K43+K44+K45+K46+K47</f>
        <v>29334</v>
      </c>
      <c r="L48" s="122">
        <f>L43+L44+L45+L46+L47</f>
        <v>91307</v>
      </c>
      <c r="M48" s="574"/>
      <c r="N48" s="575"/>
      <c r="O48" s="575"/>
      <c r="P48" s="576"/>
      <c r="Q48" s="123">
        <f t="shared" si="8"/>
        <v>59.012875536480685</v>
      </c>
      <c r="R48" s="94"/>
      <c r="S48" s="94"/>
    </row>
    <row r="49" spans="2:19" ht="15.75" thickBot="1">
      <c r="B49" s="692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4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723" t="s">
        <v>295</v>
      </c>
      <c r="D52" s="724"/>
      <c r="E52" s="99">
        <f>E55/J32</f>
        <v>0.50969060217447659</v>
      </c>
      <c r="F52" s="99">
        <f>F55/(J33+J34)</f>
        <v>26.471813607665933</v>
      </c>
      <c r="G52" s="99">
        <v>0</v>
      </c>
      <c r="H52" s="99">
        <f>H55/J36</f>
        <v>35.298064516129031</v>
      </c>
      <c r="I52" s="99">
        <f>I55/J35</f>
        <v>52.55</v>
      </c>
      <c r="J52" s="99"/>
      <c r="K52" s="99"/>
      <c r="L52" s="99"/>
      <c r="M52" s="100"/>
      <c r="N52" s="101"/>
      <c r="O52" s="721" t="s">
        <v>296</v>
      </c>
      <c r="P52" s="722"/>
      <c r="Q52" s="93">
        <f>(M35/J36)*100</f>
        <v>15.354838709677418</v>
      </c>
    </row>
    <row r="53" spans="2:19" ht="14.45" customHeight="1">
      <c r="B53" s="79">
        <v>2</v>
      </c>
      <c r="C53" s="501" t="s">
        <v>297</v>
      </c>
      <c r="D53" s="502"/>
      <c r="E53" s="102">
        <f>E52*(I9/J36)</f>
        <v>0.87962732955917733</v>
      </c>
      <c r="F53" s="102">
        <f>F52*1.55</f>
        <v>41.031311091882195</v>
      </c>
      <c r="G53" s="102">
        <f>G52*1.55</f>
        <v>0</v>
      </c>
      <c r="H53" s="102">
        <f>H52</f>
        <v>35.298064516129031</v>
      </c>
      <c r="I53" s="102">
        <f>I52*(Q52/100)</f>
        <v>8.0689677419354826</v>
      </c>
      <c r="J53" s="102"/>
      <c r="K53" s="102"/>
      <c r="L53" s="102"/>
      <c r="M53" s="96"/>
      <c r="N53" s="306">
        <f>SUM(E53:I53)</f>
        <v>85.277970679505884</v>
      </c>
      <c r="O53" s="501" t="s">
        <v>298</v>
      </c>
      <c r="P53" s="502"/>
      <c r="Q53" s="104">
        <v>5511</v>
      </c>
    </row>
    <row r="54" spans="2:19" ht="14.45" customHeight="1">
      <c r="B54" s="79">
        <v>3</v>
      </c>
      <c r="C54" s="715" t="s">
        <v>299</v>
      </c>
      <c r="D54" s="716"/>
      <c r="E54" s="102">
        <f>E53*M20/100</f>
        <v>0.71654297385054933</v>
      </c>
      <c r="F54" s="102">
        <f>F53*M20/100</f>
        <v>33.424038433979042</v>
      </c>
      <c r="G54" s="102">
        <f>G53*M20/100</f>
        <v>0</v>
      </c>
      <c r="H54" s="102">
        <f>H53*M20/100</f>
        <v>28.753745216432677</v>
      </c>
      <c r="I54" s="102">
        <f>I53*M20/100</f>
        <v>6.5729678324207086</v>
      </c>
      <c r="J54" s="99">
        <f>J55/(J42+J48)</f>
        <v>39.094747682801234</v>
      </c>
      <c r="K54" s="99">
        <f>K55/(J48+J42)</f>
        <v>0.75283213182286302</v>
      </c>
      <c r="L54" s="99">
        <f>L55/(M42)</f>
        <v>2.4259694736377564</v>
      </c>
      <c r="M54" s="96">
        <f>M55/(J48+J42)</f>
        <v>1.4558874013044971</v>
      </c>
      <c r="N54" s="306">
        <f>SUM(E54:M54)</f>
        <v>113.19673114624932</v>
      </c>
      <c r="O54" s="501" t="s">
        <v>300</v>
      </c>
      <c r="P54" s="502"/>
      <c r="Q54" s="104">
        <f>Q53*Q52/100</f>
        <v>846.20516129032262</v>
      </c>
    </row>
    <row r="55" spans="2:19" ht="15" customHeight="1" thickBot="1">
      <c r="B55" s="90" t="s">
        <v>262</v>
      </c>
      <c r="C55" s="719" t="s">
        <v>301</v>
      </c>
      <c r="D55" s="720"/>
      <c r="E55" s="118">
        <f>'Daily unit'!B28</f>
        <v>1337</v>
      </c>
      <c r="F55" s="118">
        <f>'Daily unit'!C28</f>
        <v>66080</v>
      </c>
      <c r="G55" s="118">
        <f>'Daily unit'!D28</f>
        <v>0</v>
      </c>
      <c r="H55" s="118">
        <f>'Daily unit'!E28</f>
        <v>54712</v>
      </c>
      <c r="I55" s="118">
        <f>'Daily unit'!F28</f>
        <v>12612</v>
      </c>
      <c r="J55" s="118">
        <f>'Daily unit'!G28</f>
        <v>113883</v>
      </c>
      <c r="K55" s="118">
        <f>'Daily unit'!H28</f>
        <v>2193</v>
      </c>
      <c r="L55" s="118">
        <f>'Daily unit'!I28</f>
        <v>7696</v>
      </c>
      <c r="M55" s="119">
        <f>'Daily unit'!J28</f>
        <v>4241</v>
      </c>
      <c r="N55" s="317">
        <f>SUM(E55:M55)</f>
        <v>262754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749" t="s">
        <v>302</v>
      </c>
      <c r="C57" s="630"/>
      <c r="D57" s="630"/>
      <c r="E57" s="630"/>
      <c r="F57" s="630"/>
      <c r="G57" s="630"/>
      <c r="H57" s="703"/>
      <c r="I57" s="551" t="s">
        <v>303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224" t="s">
        <v>28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9" ht="14.45" customHeight="1">
      <c r="B59" s="700">
        <v>1</v>
      </c>
      <c r="C59" s="626" t="s">
        <v>306</v>
      </c>
      <c r="D59" s="626"/>
      <c r="E59" s="80">
        <v>42.5</v>
      </c>
      <c r="F59" s="53">
        <f>'Internal use cement'!F28</f>
        <v>0</v>
      </c>
      <c r="G59" s="53">
        <f>F59+'25'!G59</f>
        <v>0</v>
      </c>
      <c r="H59" s="104">
        <f>F59+'25'!H59</f>
        <v>10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9" ht="14.45" customHeight="1">
      <c r="B60" s="469"/>
      <c r="C60" s="466"/>
      <c r="D60" s="466"/>
      <c r="E60" s="80" t="s">
        <v>211</v>
      </c>
      <c r="F60" s="53">
        <f>'Internal use cement'!Q28</f>
        <v>0</v>
      </c>
      <c r="G60" s="53">
        <f>F60+'25'!G60</f>
        <v>0</v>
      </c>
      <c r="H60" s="104">
        <f>F60+'25'!H60</f>
        <v>2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9" ht="15" customHeight="1">
      <c r="B61" s="469"/>
      <c r="C61" s="466"/>
      <c r="D61" s="466"/>
      <c r="E61" s="80">
        <v>32.5</v>
      </c>
      <c r="F61" s="53">
        <f>'Internal use cement'!Y28</f>
        <v>0</v>
      </c>
      <c r="G61" s="53">
        <f>F61+'25'!G61</f>
        <v>0.1</v>
      </c>
      <c r="H61" s="104">
        <f>F61+'25'!H61</f>
        <v>0.1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9" ht="15" customHeight="1">
      <c r="B62" s="469"/>
      <c r="C62" s="466"/>
      <c r="D62" s="466"/>
      <c r="E62" s="80" t="s">
        <v>187</v>
      </c>
      <c r="F62" s="53">
        <f>'Internal use cement'!AJ28</f>
        <v>0</v>
      </c>
      <c r="G62" s="53">
        <f>F62+'25'!G62</f>
        <v>0.35</v>
      </c>
      <c r="H62" s="104">
        <f>F62+'25'!H62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9" ht="15.75" thickBot="1">
      <c r="B63" s="470"/>
      <c r="C63" s="467"/>
      <c r="D63" s="467"/>
      <c r="E63" s="443" t="s">
        <v>307</v>
      </c>
      <c r="F63" s="444">
        <f>'Internal use cement'!AO28</f>
        <v>0</v>
      </c>
      <c r="G63" s="53">
        <f>F63+'25'!G63</f>
        <v>0</v>
      </c>
      <c r="H63" s="104">
        <f>F63+'25'!H63</f>
        <v>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94"/>
      <c r="S63" s="94"/>
    </row>
    <row r="64" spans="2:19">
      <c r="R64" s="94"/>
      <c r="S64" s="94"/>
    </row>
    <row r="65" spans="2:19">
      <c r="R65" s="94"/>
      <c r="S65" s="94"/>
    </row>
    <row r="66" spans="2:19">
      <c r="R66" s="109"/>
      <c r="S66" s="109"/>
    </row>
    <row r="67" spans="2:19">
      <c r="R67" s="94"/>
      <c r="S67" s="94"/>
    </row>
    <row r="68" spans="2:19">
      <c r="R68" s="117"/>
      <c r="S68" s="117"/>
    </row>
    <row r="69" spans="2:19">
      <c r="R69" s="117"/>
      <c r="S69" s="117"/>
    </row>
    <row r="70" spans="2:19">
      <c r="R70" s="117"/>
      <c r="S70" s="117"/>
    </row>
    <row r="71" spans="2:19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8">
    <mergeCell ref="C14:D14"/>
    <mergeCell ref="B16:B18"/>
    <mergeCell ref="C16:C18"/>
    <mergeCell ref="C19:Q19"/>
    <mergeCell ref="B20:B22"/>
    <mergeCell ref="C20:C22"/>
    <mergeCell ref="N20:N22"/>
    <mergeCell ref="O20:O27"/>
    <mergeCell ref="P25:Q27"/>
    <mergeCell ref="C27:D27"/>
    <mergeCell ref="M27:N27"/>
    <mergeCell ref="B25:B26"/>
    <mergeCell ref="C25:C26"/>
    <mergeCell ref="M25:N2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P20:Q22"/>
    <mergeCell ref="Q23:Q24"/>
    <mergeCell ref="C24:D24"/>
    <mergeCell ref="C23:D23"/>
    <mergeCell ref="M20:M21"/>
    <mergeCell ref="C9:D9"/>
    <mergeCell ref="C8:Q8"/>
    <mergeCell ref="C11:D11"/>
    <mergeCell ref="C12:D12"/>
    <mergeCell ref="C15:D15"/>
    <mergeCell ref="P15:Q15"/>
    <mergeCell ref="O9:O18"/>
    <mergeCell ref="C10:D10"/>
    <mergeCell ref="C13:D13"/>
    <mergeCell ref="B28:Q28"/>
    <mergeCell ref="B29:Q29"/>
    <mergeCell ref="B30:B31"/>
    <mergeCell ref="C30:D31"/>
    <mergeCell ref="F30:H30"/>
    <mergeCell ref="I30:I31"/>
    <mergeCell ref="J30:L30"/>
    <mergeCell ref="C32:D32"/>
    <mergeCell ref="C33:D33"/>
    <mergeCell ref="C35:D35"/>
    <mergeCell ref="C36:D36"/>
    <mergeCell ref="O33:O34"/>
    <mergeCell ref="B2:Q2"/>
    <mergeCell ref="B3:Q3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B43:B48"/>
    <mergeCell ref="C43:C48"/>
    <mergeCell ref="M30:O30"/>
    <mergeCell ref="P30:P31"/>
    <mergeCell ref="Q30:Q31"/>
    <mergeCell ref="C37:C42"/>
    <mergeCell ref="C34:D34"/>
    <mergeCell ref="O54:P54"/>
    <mergeCell ref="C55:D55"/>
    <mergeCell ref="M48:P48"/>
    <mergeCell ref="B50:N50"/>
    <mergeCell ref="O50:Q50"/>
    <mergeCell ref="B37:B42"/>
    <mergeCell ref="P33:P34"/>
    <mergeCell ref="I43:I47"/>
    <mergeCell ref="I33:I34"/>
    <mergeCell ref="M33:M34"/>
    <mergeCell ref="N33:N34"/>
    <mergeCell ref="M43:P47"/>
    <mergeCell ref="I57:Q63"/>
    <mergeCell ref="C59:D63"/>
    <mergeCell ref="B59:B63"/>
    <mergeCell ref="O53:P53"/>
    <mergeCell ref="C54:D54"/>
  </mergeCells>
  <pageMargins left="0" right="0" top="0.75" bottom="0.75" header="0.3" footer="0.3"/>
  <pageSetup paperSize="9" scale="55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B2:U156"/>
  <sheetViews>
    <sheetView zoomScale="90" zoomScaleNormal="90" workbookViewId="0">
      <pane xSplit="4" ySplit="1" topLeftCell="E51" activePane="bottomRight" state="frozen"/>
      <selection pane="bottomRight" activeCell="K41" sqref="K41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346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89">
        <v>1</v>
      </c>
      <c r="C9" s="474" t="s">
        <v>263</v>
      </c>
      <c r="D9" s="475"/>
      <c r="E9" s="74">
        <f>'26'!L9</f>
        <v>24057.387492260939</v>
      </c>
      <c r="F9" s="74">
        <f>Production2!D29</f>
        <v>2537.4</v>
      </c>
      <c r="G9" s="74">
        <f>F9+'26'!G9</f>
        <v>76844.560000000012</v>
      </c>
      <c r="H9" s="74">
        <f>F9+'26'!H9</f>
        <v>233711.84000000005</v>
      </c>
      <c r="I9" s="74">
        <f>Production2!E29</f>
        <v>2197</v>
      </c>
      <c r="J9" s="74">
        <f>I9+'26'!J9</f>
        <v>60224</v>
      </c>
      <c r="K9" s="74">
        <f>I9+'26'!K9</f>
        <v>200255</v>
      </c>
      <c r="L9" s="74">
        <f>E9+F9-I9-I23</f>
        <v>24034.439715652941</v>
      </c>
      <c r="M9" s="75">
        <f>I9</f>
        <v>2197</v>
      </c>
      <c r="N9" s="75">
        <f>(I9/I15)*100</f>
        <v>96.528998242530747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(2)'!L29</f>
        <v>3263.58</v>
      </c>
      <c r="F10" s="77">
        <f>'Mines (2)'!M29</f>
        <v>382.08</v>
      </c>
      <c r="G10" s="74">
        <f>F10+'26'!G10</f>
        <v>1863.2200000000003</v>
      </c>
      <c r="H10" s="74">
        <f>F10+'26'!H10</f>
        <v>7132.6200000000008</v>
      </c>
      <c r="I10" s="77">
        <f>'Mines (2)'!N29</f>
        <v>16</v>
      </c>
      <c r="J10" s="74">
        <f>I10+'26'!J10</f>
        <v>1145</v>
      </c>
      <c r="K10" s="74">
        <f>I10+'26'!K10</f>
        <v>3627</v>
      </c>
      <c r="L10" s="77">
        <f t="shared" ref="L10:L12" si="0">E10+F10-I10</f>
        <v>3629.66</v>
      </c>
      <c r="M10" s="75">
        <f t="shared" ref="M10:M14" si="1">I10</f>
        <v>16</v>
      </c>
      <c r="N10" s="75">
        <f>(I10/I15)*100</f>
        <v>0.70298769771528991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Clinker!C29</f>
        <v>1186.7400000000002</v>
      </c>
      <c r="F11" s="77">
        <f>Clinker!D29</f>
        <v>29.5</v>
      </c>
      <c r="G11" s="74">
        <f>F11+'26'!G11</f>
        <v>128.32</v>
      </c>
      <c r="H11" s="74">
        <f>F11+'26'!H11</f>
        <v>545.6</v>
      </c>
      <c r="I11" s="77">
        <f>Clinker!E29</f>
        <v>40</v>
      </c>
      <c r="J11" s="74">
        <f>I11+'26'!J11</f>
        <v>1600</v>
      </c>
      <c r="K11" s="74">
        <f>I11+'26'!K11</f>
        <v>4735</v>
      </c>
      <c r="L11" s="77">
        <f t="shared" si="0"/>
        <v>1176.2400000000002</v>
      </c>
      <c r="M11" s="75">
        <f t="shared" si="1"/>
        <v>40</v>
      </c>
      <c r="N11" s="75">
        <f>(I11/I15)*100</f>
        <v>1.7574692442882252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(2)'!Q29</f>
        <v>3.999999999996362E-2</v>
      </c>
      <c r="F12" s="77">
        <f>'Mines (2)'!R29</f>
        <v>0</v>
      </c>
      <c r="G12" s="74">
        <f>F12+'26'!G12</f>
        <v>0</v>
      </c>
      <c r="H12" s="74">
        <f>F12+'26'!H12</f>
        <v>137.76</v>
      </c>
      <c r="I12" s="77">
        <f>'Mines (2)'!S29</f>
        <v>0</v>
      </c>
      <c r="J12" s="74">
        <f>I12+'26'!J12</f>
        <v>0</v>
      </c>
      <c r="K12" s="74">
        <f>I12+'26'!K12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199">
        <v>5</v>
      </c>
      <c r="C13" s="501" t="s">
        <v>8</v>
      </c>
      <c r="D13" s="502"/>
      <c r="E13" s="77">
        <f>'Mines (2)'!AH29</f>
        <v>312.44</v>
      </c>
      <c r="F13" s="77">
        <f>'Mines (2)'!AI29</f>
        <v>0</v>
      </c>
      <c r="G13" s="74">
        <f>F13+'26'!G13</f>
        <v>121.08</v>
      </c>
      <c r="H13" s="74">
        <f>F13+'26'!H13</f>
        <v>121.08</v>
      </c>
      <c r="I13" s="77">
        <f>'Mines (2)'!AJ29</f>
        <v>23</v>
      </c>
      <c r="J13" s="74">
        <f>I13+'26'!J13</f>
        <v>130</v>
      </c>
      <c r="K13" s="74">
        <f>I13+'26'!K13</f>
        <v>130</v>
      </c>
      <c r="L13" s="77">
        <f>E13+F13-I13</f>
        <v>289.44</v>
      </c>
      <c r="M13" s="75">
        <f t="shared" si="1"/>
        <v>23</v>
      </c>
      <c r="N13" s="75">
        <f>(I13/I15)*100</f>
        <v>1.0105448154657293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F14+'26'!G14</f>
        <v>0</v>
      </c>
      <c r="H14" s="74">
        <f>F14+'26'!H14</f>
        <v>0</v>
      </c>
      <c r="I14" s="77">
        <v>0</v>
      </c>
      <c r="J14" s="74">
        <f>I14+'26'!J14</f>
        <v>0</v>
      </c>
      <c r="K14" s="74">
        <f>I14+'26'!K14</f>
        <v>0</v>
      </c>
      <c r="L14" s="77">
        <f t="shared" ref="L14" si="2">E14+F14-I14</f>
        <v>0</v>
      </c>
      <c r="M14" s="75">
        <f t="shared" si="1"/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521" t="s">
        <v>265</v>
      </c>
      <c r="D15" s="521"/>
      <c r="E15" s="127">
        <f>SUM(E9:E14)</f>
        <v>28820.187492260942</v>
      </c>
      <c r="F15" s="127">
        <f t="shared" ref="F15:N15" si="3">SUM(F9:F14)</f>
        <v>2948.98</v>
      </c>
      <c r="G15" s="127">
        <f t="shared" si="3"/>
        <v>78957.180000000022</v>
      </c>
      <c r="H15" s="127">
        <f t="shared" si="3"/>
        <v>241648.90000000005</v>
      </c>
      <c r="I15" s="127">
        <f t="shared" si="3"/>
        <v>2276</v>
      </c>
      <c r="J15" s="127">
        <f t="shared" si="3"/>
        <v>63099</v>
      </c>
      <c r="K15" s="127">
        <f t="shared" si="3"/>
        <v>209485</v>
      </c>
      <c r="L15" s="127">
        <f t="shared" si="3"/>
        <v>29129.819715652942</v>
      </c>
      <c r="M15" s="127">
        <f t="shared" si="3"/>
        <v>2276</v>
      </c>
      <c r="N15" s="127">
        <f t="shared" si="3"/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Clinker!EB29</f>
        <v>3111.5369999999903</v>
      </c>
      <c r="F16" s="77">
        <f>Clinker!EC29</f>
        <v>282.27999999999997</v>
      </c>
      <c r="G16" s="77">
        <f>F16+'26'!G16</f>
        <v>4977.5200000000013</v>
      </c>
      <c r="H16" s="77">
        <f>F16+'26'!H16</f>
        <v>5782.76</v>
      </c>
      <c r="I16" s="77">
        <f>Clinker!ED29</f>
        <v>244.44</v>
      </c>
      <c r="J16" s="77">
        <f>I16+'26'!J16</f>
        <v>6446.2199999999984</v>
      </c>
      <c r="K16" s="77">
        <f>I16+'26'!K16</f>
        <v>21163.529999999995</v>
      </c>
      <c r="L16" s="77">
        <f>E16+F16-Clinker!N29-Clinker!Z29-Clinker!AS29-Clinker!AX29-Clinker!BC29-Clinker!BW29-Clinker!BH29-Clinker!BM29-Clinker!BR29-Clinker!CV29-Clinker!DF29-Clinker!DP29</f>
        <v>3393.81699999999</v>
      </c>
      <c r="M16" s="81"/>
      <c r="N16" s="81"/>
      <c r="O16" s="515"/>
      <c r="P16" s="82">
        <v>10</v>
      </c>
      <c r="Q16" s="264">
        <v>0.1</v>
      </c>
      <c r="R16" s="83"/>
      <c r="S16" s="83"/>
    </row>
    <row r="17" spans="2:19">
      <c r="B17" s="512"/>
      <c r="C17" s="517"/>
      <c r="D17" s="80" t="s">
        <v>62</v>
      </c>
      <c r="E17" s="77">
        <f>Clinker!EF29</f>
        <v>3974.3699999999935</v>
      </c>
      <c r="F17" s="77">
        <f>Clinker!EG29</f>
        <v>30</v>
      </c>
      <c r="G17" s="77">
        <f>F17+'26'!G17</f>
        <v>3673.6500000000005</v>
      </c>
      <c r="H17" s="77">
        <f>F17+'26'!H17</f>
        <v>5814.5999999999995</v>
      </c>
      <c r="I17" s="77">
        <f>Clinker!EH29</f>
        <v>143</v>
      </c>
      <c r="J17" s="77">
        <f>I17+'26'!J17</f>
        <v>3871</v>
      </c>
      <c r="K17" s="77">
        <f>I17+'26'!K17</f>
        <v>12043</v>
      </c>
      <c r="L17" s="77">
        <f>E17+F17-I16-Clinker!AE29-Clinker!AJ29-Clinker!CL29-Clinker!CQ29-Clinker!CG29</f>
        <v>3616.9299999999935</v>
      </c>
      <c r="M17" s="81"/>
      <c r="N17" s="81"/>
      <c r="O17" s="515"/>
      <c r="P17" s="82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7085.9069999999838</v>
      </c>
      <c r="F18" s="125">
        <f>F16+F17</f>
        <v>312.27999999999997</v>
      </c>
      <c r="G18" s="125">
        <f t="shared" ref="G18:L18" si="4">G16+G17</f>
        <v>8651.1700000000019</v>
      </c>
      <c r="H18" s="125">
        <f t="shared" si="4"/>
        <v>11597.36</v>
      </c>
      <c r="I18" s="125">
        <f t="shared" si="4"/>
        <v>387.44</v>
      </c>
      <c r="J18" s="125">
        <f>J16+J17</f>
        <v>10317.219999999998</v>
      </c>
      <c r="K18" s="125">
        <f t="shared" si="4"/>
        <v>33206.53</v>
      </c>
      <c r="L18" s="125">
        <f t="shared" si="4"/>
        <v>7010.746999999983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20"/>
    </row>
    <row r="20" spans="2:19">
      <c r="B20" s="512">
        <v>7</v>
      </c>
      <c r="C20" s="477" t="s">
        <v>268</v>
      </c>
      <c r="D20" s="85" t="s">
        <v>269</v>
      </c>
      <c r="E20" s="74">
        <f>Clinker!EJ29</f>
        <v>13303.348562333995</v>
      </c>
      <c r="F20" s="74">
        <f>Clinker!EK29</f>
        <v>1506</v>
      </c>
      <c r="G20" s="74">
        <f>F20+'26'!G20</f>
        <v>37088</v>
      </c>
      <c r="H20" s="74">
        <f>F20+'26'!H20</f>
        <v>122614</v>
      </c>
      <c r="I20" s="74">
        <f>Clinker!EL29</f>
        <v>1955.9900019827999</v>
      </c>
      <c r="J20" s="74">
        <f>I20+'26'!J20</f>
        <v>50180.450525410488</v>
      </c>
      <c r="K20" s="74">
        <f>I20+'26'!K20</f>
        <v>113042.18153927552</v>
      </c>
      <c r="L20" s="74">
        <f>E20+F20-I20-I22</f>
        <v>12853.358560351195</v>
      </c>
      <c r="M20" s="641">
        <f>((I20+I21)/(J42+J48))*100</f>
        <v>81.397836120798999</v>
      </c>
      <c r="N20" s="525"/>
      <c r="O20" s="527"/>
      <c r="P20" s="535"/>
      <c r="Q20" s="536"/>
      <c r="R20" s="20"/>
      <c r="S20" s="190"/>
    </row>
    <row r="21" spans="2:19" ht="45">
      <c r="B21" s="512"/>
      <c r="C21" s="477"/>
      <c r="D21" s="85" t="s">
        <v>70</v>
      </c>
      <c r="E21" s="74">
        <f>Clinker!EO29</f>
        <v>89.258008000135931</v>
      </c>
      <c r="F21" s="74">
        <f>Clinker!EP29</f>
        <v>0</v>
      </c>
      <c r="G21" s="74">
        <f>F21+'26'!G21</f>
        <v>0</v>
      </c>
      <c r="H21" s="74">
        <f>F21+'26'!H21</f>
        <v>13390.660000000003</v>
      </c>
      <c r="I21" s="74">
        <f>Clinker!EQ29</f>
        <v>0</v>
      </c>
      <c r="J21" s="74">
        <f>I21+'26'!J21</f>
        <v>5216.8510000000006</v>
      </c>
      <c r="K21" s="74">
        <f>I21+'26'!K21</f>
        <v>22150.950999999997</v>
      </c>
      <c r="L21" s="74">
        <f>E21+F21-I21</f>
        <v>89.258008000135931</v>
      </c>
      <c r="M21" s="642"/>
      <c r="N21" s="525"/>
      <c r="O21" s="527"/>
      <c r="P21" s="535"/>
      <c r="Q21" s="536"/>
      <c r="R21" s="20"/>
      <c r="S21" s="20"/>
    </row>
    <row r="22" spans="2:19" ht="30">
      <c r="B22" s="512"/>
      <c r="C22" s="524"/>
      <c r="D22" s="86" t="s">
        <v>270</v>
      </c>
      <c r="E22" s="77"/>
      <c r="F22" s="77">
        <v>0</v>
      </c>
      <c r="G22" s="74">
        <v>0</v>
      </c>
      <c r="H22" s="74">
        <f>F22+'26'!H22</f>
        <v>0</v>
      </c>
      <c r="I22" s="77">
        <f>Clinker!EN29</f>
        <v>0</v>
      </c>
      <c r="J22" s="74">
        <f>I22+'26'!J22</f>
        <v>0</v>
      </c>
      <c r="K22" s="74">
        <f>I22+'26'!K22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73" t="s">
        <v>263</v>
      </c>
      <c r="D23" s="88"/>
      <c r="E23" s="77"/>
      <c r="F23" s="77"/>
      <c r="G23" s="74"/>
      <c r="H23" s="74"/>
      <c r="I23" s="77">
        <f>Cement!S29</f>
        <v>363.347776608</v>
      </c>
      <c r="J23" s="74">
        <f>I23+'26'!J23</f>
        <v>12053.920546678228</v>
      </c>
      <c r="K23" s="74">
        <f>I23+'26'!K23</f>
        <v>32527.271981530906</v>
      </c>
      <c r="L23" s="74"/>
      <c r="M23" s="78">
        <f>(I23/(J42+J48))*100</f>
        <v>15.120589954556804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Cement!C29</f>
        <v>3319.0309483562687</v>
      </c>
      <c r="F24" s="77">
        <f>Cement!D29</f>
        <v>120.58</v>
      </c>
      <c r="G24" s="74">
        <f>F24+'26'!G24</f>
        <v>2783.66</v>
      </c>
      <c r="H24" s="74">
        <f>F24+'26'!H24</f>
        <v>4910.28</v>
      </c>
      <c r="I24" s="77">
        <f>Cement!F29</f>
        <v>126.31263060000001</v>
      </c>
      <c r="J24" s="74">
        <f>I24+'26'!J24</f>
        <v>3678.6922195683705</v>
      </c>
      <c r="K24" s="74">
        <f>I24+'26'!K24</f>
        <v>9042.3617413935153</v>
      </c>
      <c r="L24" s="74">
        <f t="shared" ref="L24:L26" si="5">E24+F24-I24</f>
        <v>3313.2983177562687</v>
      </c>
      <c r="M24" s="78">
        <f>(I24/(J42+J48))*100</f>
        <v>5.2564557053682899</v>
      </c>
      <c r="N24" s="78"/>
      <c r="O24" s="527"/>
      <c r="P24" s="87">
        <v>4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Cement!H29</f>
        <v>0.23999999999796273</v>
      </c>
      <c r="F25" s="77">
        <f>Cement!I29</f>
        <v>0</v>
      </c>
      <c r="G25" s="74">
        <f>F25+'26'!G25</f>
        <v>0</v>
      </c>
      <c r="H25" s="74">
        <f>F25+'26'!H25</f>
        <v>0</v>
      </c>
      <c r="I25" s="77">
        <f>Cement!J29</f>
        <v>0</v>
      </c>
      <c r="J25" s="74">
        <f>I25+'26'!J25</f>
        <v>0</v>
      </c>
      <c r="K25" s="74">
        <f>I25+'26'!K25</f>
        <v>0</v>
      </c>
      <c r="L25" s="74">
        <f t="shared" si="5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Cement!L29</f>
        <v>0</v>
      </c>
      <c r="F26" s="77">
        <f>Cement!M29</f>
        <v>0</v>
      </c>
      <c r="G26" s="74">
        <f>F26+'26'!G26</f>
        <v>0</v>
      </c>
      <c r="H26" s="74">
        <f>F26+'26'!H26</f>
        <v>0</v>
      </c>
      <c r="I26" s="77">
        <f>Cement!N29</f>
        <v>0</v>
      </c>
      <c r="J26" s="74">
        <f>I26+'26'!J26</f>
        <v>0</v>
      </c>
      <c r="K26" s="74">
        <f>I26+'26'!K26</f>
        <v>0</v>
      </c>
      <c r="L26" s="74">
        <f t="shared" si="5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16711.877518690395</v>
      </c>
      <c r="F27" s="122">
        <f t="shared" ref="F27:L27" si="6">F20+F21+F23+F24+F25+F26</f>
        <v>1626.58</v>
      </c>
      <c r="G27" s="122">
        <f t="shared" si="6"/>
        <v>39871.660000000003</v>
      </c>
      <c r="H27" s="122">
        <f t="shared" si="6"/>
        <v>140914.94</v>
      </c>
      <c r="I27" s="122">
        <f t="shared" si="6"/>
        <v>2445.6504091907996</v>
      </c>
      <c r="J27" s="122">
        <f t="shared" si="6"/>
        <v>71129.914291657085</v>
      </c>
      <c r="K27" s="122">
        <f t="shared" si="6"/>
        <v>176762.76626219993</v>
      </c>
      <c r="L27" s="122">
        <f t="shared" si="6"/>
        <v>16256.154886107597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Production2!C29</f>
        <v>17.329999999999998</v>
      </c>
      <c r="G32" s="75">
        <f>F32+'26'!G32</f>
        <v>492.18</v>
      </c>
      <c r="H32" s="75">
        <f>F32+'26'!H32</f>
        <v>1461.3100000000002</v>
      </c>
      <c r="I32" s="74">
        <f>'Mines (2)'!C29+'Mines (2)'!H29+'Mines (2)'!V29+'Mines (2)'!Z29+'Mines (2)'!AD29</f>
        <v>24057.387492260943</v>
      </c>
      <c r="J32" s="74">
        <f>Production2!D29</f>
        <v>2537.4</v>
      </c>
      <c r="K32" s="74">
        <f>J32+'26'!K32</f>
        <v>76844.560000000012</v>
      </c>
      <c r="L32" s="74">
        <f>J32+'26'!L32</f>
        <v>233711.84000000005</v>
      </c>
      <c r="M32" s="74">
        <f>I9+I23</f>
        <v>2560.347776608</v>
      </c>
      <c r="N32" s="74">
        <f>M32+'26'!N32</f>
        <v>72277.92054667823</v>
      </c>
      <c r="O32" s="74">
        <f>M32+'26'!O32</f>
        <v>232782.27198153088</v>
      </c>
      <c r="P32" s="74">
        <f>I32+J32-M32</f>
        <v>24034.439715652945</v>
      </c>
      <c r="Q32" s="93">
        <f>J32/F32</f>
        <v>146.41661858049628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Production2!G29</f>
        <v>17.850000000000001</v>
      </c>
      <c r="G33" s="75">
        <f>F33+'26'!G33</f>
        <v>468.51000000000005</v>
      </c>
      <c r="H33" s="75">
        <f>F33+'26'!H33</f>
        <v>1538.0499999999993</v>
      </c>
      <c r="I33" s="541">
        <f>Production2!H29</f>
        <v>906.25001683751816</v>
      </c>
      <c r="J33" s="78">
        <f>Production2!N29</f>
        <v>1910</v>
      </c>
      <c r="K33" s="74">
        <f>J33+'26'!K33</f>
        <v>53882.96</v>
      </c>
      <c r="L33" s="74">
        <f>J33+'26'!L33</f>
        <v>180168.55</v>
      </c>
      <c r="M33" s="541">
        <f>Production2!K29</f>
        <v>2334.3000000000002</v>
      </c>
      <c r="N33" s="541">
        <f>M33+'26'!N33</f>
        <v>57486.400000000009</v>
      </c>
      <c r="O33" s="541">
        <f>M33+'26'!O33</f>
        <v>190051.69999999998</v>
      </c>
      <c r="P33" s="541">
        <f>I33+J33+J34-M33</f>
        <v>622.24001683751794</v>
      </c>
      <c r="Q33" s="96">
        <f t="shared" ref="Q33:Q47" si="7">J33/F33</f>
        <v>107.00280112044817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Production2!P29</f>
        <v>16.329999999999998</v>
      </c>
      <c r="G34" s="75">
        <f>F34+'26'!G34</f>
        <v>331.21</v>
      </c>
      <c r="H34" s="75">
        <f>F34+'26'!H34</f>
        <v>946.88</v>
      </c>
      <c r="I34" s="473"/>
      <c r="J34" s="78">
        <f>Production2!Q29</f>
        <v>140.29</v>
      </c>
      <c r="K34" s="74">
        <f>J34+'26'!K34</f>
        <v>2958.04</v>
      </c>
      <c r="L34" s="74">
        <f>J34+'26'!L34</f>
        <v>8511.6600000000017</v>
      </c>
      <c r="M34" s="473"/>
      <c r="N34" s="473"/>
      <c r="O34" s="473"/>
      <c r="P34" s="473"/>
      <c r="Q34" s="96">
        <f>J34/F34</f>
        <v>8.5909369259032466</v>
      </c>
      <c r="R34" s="94"/>
      <c r="S34" s="94"/>
    </row>
    <row r="35" spans="2:19">
      <c r="B35" s="79">
        <v>3</v>
      </c>
      <c r="C35" s="501" t="s">
        <v>157</v>
      </c>
      <c r="D35" s="502"/>
      <c r="E35" s="95">
        <v>10</v>
      </c>
      <c r="F35" s="78">
        <f>Production2!S29</f>
        <v>17.079999999999998</v>
      </c>
      <c r="G35" s="75">
        <f>F35+'26'!G35</f>
        <v>430.67999999999995</v>
      </c>
      <c r="H35" s="75">
        <f>F35+'26'!H35</f>
        <v>1384.01</v>
      </c>
      <c r="I35" s="77">
        <f>Production2!T29</f>
        <v>54.709999999999809</v>
      </c>
      <c r="J35" s="77">
        <f>Production2!U29</f>
        <v>220</v>
      </c>
      <c r="K35" s="74">
        <f>J35+'26'!K35</f>
        <v>5801.6000000000013</v>
      </c>
      <c r="L35" s="74">
        <f>J35+'26'!L35</f>
        <v>19047.199999999993</v>
      </c>
      <c r="M35" s="77">
        <f>Production2!V29</f>
        <v>226</v>
      </c>
      <c r="N35" s="74">
        <f>M35+'26'!N35</f>
        <v>5795</v>
      </c>
      <c r="O35" s="74">
        <f>M35+'26'!O35</f>
        <v>19014</v>
      </c>
      <c r="P35" s="74">
        <f t="shared" ref="P35" si="8">I35+J35-M35</f>
        <v>48.709999999999809</v>
      </c>
      <c r="Q35" s="96">
        <f t="shared" si="7"/>
        <v>12.880562060889931</v>
      </c>
      <c r="R35" s="94"/>
      <c r="S35" s="94"/>
    </row>
    <row r="36" spans="2:19">
      <c r="B36" s="79">
        <v>4</v>
      </c>
      <c r="C36" s="501" t="s">
        <v>63</v>
      </c>
      <c r="D36" s="502"/>
      <c r="E36" s="95">
        <v>50</v>
      </c>
      <c r="F36" s="78">
        <f>Production2!Y29</f>
        <v>24</v>
      </c>
      <c r="G36" s="75">
        <f>F36+'26'!G36</f>
        <v>601.30999999999995</v>
      </c>
      <c r="H36" s="75">
        <f>F36+'26'!H36</f>
        <v>1916.12</v>
      </c>
      <c r="I36" s="77">
        <f>Clinker!EJ29</f>
        <v>13303.348562333995</v>
      </c>
      <c r="J36" s="77">
        <f>Clinker!EK29</f>
        <v>1506</v>
      </c>
      <c r="K36" s="74">
        <f>J36+'26'!K36</f>
        <v>37088</v>
      </c>
      <c r="L36" s="74">
        <f>J36+'26'!L36</f>
        <v>122614</v>
      </c>
      <c r="M36" s="77">
        <f>Clinker!EL29</f>
        <v>1955.9900019827999</v>
      </c>
      <c r="N36" s="74">
        <f>M36+'26'!N36</f>
        <v>50180.450525410488</v>
      </c>
      <c r="O36" s="74">
        <f>M36+'26'!O36</f>
        <v>113042.18153927552</v>
      </c>
      <c r="P36" s="74">
        <f>I36+J36-M36-I22</f>
        <v>12853.358560351195</v>
      </c>
      <c r="Q36" s="96">
        <f t="shared" si="7"/>
        <v>62.75</v>
      </c>
      <c r="R36" s="94"/>
      <c r="S36" s="94"/>
    </row>
    <row r="37" spans="2:19">
      <c r="B37" s="569">
        <v>5</v>
      </c>
      <c r="C37" s="476" t="s">
        <v>158</v>
      </c>
      <c r="D37" s="80" t="s">
        <v>285</v>
      </c>
      <c r="E37" s="97">
        <v>90</v>
      </c>
      <c r="F37" s="78">
        <f>Production2!AE29</f>
        <v>0</v>
      </c>
      <c r="G37" s="75">
        <f>F37+'26'!G37</f>
        <v>27.2</v>
      </c>
      <c r="H37" s="75">
        <f>F37+'26'!H37</f>
        <v>66.900000000000006</v>
      </c>
      <c r="I37" s="77">
        <f>Production2!BJ29</f>
        <v>161.19999999999993</v>
      </c>
      <c r="J37" s="77">
        <f>Production2!AF29</f>
        <v>0</v>
      </c>
      <c r="K37" s="74">
        <f>J37+'26'!K37</f>
        <v>1862</v>
      </c>
      <c r="L37" s="74">
        <f>J37+'26'!L37</f>
        <v>4496</v>
      </c>
      <c r="M37" s="77">
        <f>Production2!BL29</f>
        <v>150</v>
      </c>
      <c r="N37" s="75">
        <f>M37+'26'!N37</f>
        <v>3747</v>
      </c>
      <c r="O37" s="75">
        <f>M37+'26'!O37</f>
        <v>8785</v>
      </c>
      <c r="P37" s="74">
        <f>I37+J37+J43-M37-F61</f>
        <v>191.19999999999993</v>
      </c>
      <c r="Q37" s="96" t="e">
        <f t="shared" si="7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Production2!AB29</f>
        <v>14.48</v>
      </c>
      <c r="G38" s="75">
        <f>F38+'26'!G38</f>
        <v>504.6</v>
      </c>
      <c r="H38" s="75">
        <f>F38+'26'!H38</f>
        <v>1003.0699999999999</v>
      </c>
      <c r="I38" s="77">
        <f>Production2!BF29</f>
        <v>638.18799999997736</v>
      </c>
      <c r="J38" s="77">
        <f>Production2!AC29</f>
        <v>954</v>
      </c>
      <c r="K38" s="74">
        <f>J38+'26'!K38</f>
        <v>33027</v>
      </c>
      <c r="L38" s="74">
        <f>J38+'26'!L38</f>
        <v>64357</v>
      </c>
      <c r="M38" s="77">
        <f>Production2!BH29</f>
        <v>2139.46</v>
      </c>
      <c r="N38" s="75">
        <f>M38+'26'!N38</f>
        <v>59698.000000000007</v>
      </c>
      <c r="O38" s="74">
        <f>M38+'26'!O38</f>
        <v>140440.82999999996</v>
      </c>
      <c r="P38" s="74">
        <f>I38+J38+J44-M38-F59</f>
        <v>280.72799999997733</v>
      </c>
      <c r="Q38" s="96">
        <f t="shared" si="7"/>
        <v>65.88397790055248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Production2!AH29</f>
        <v>0</v>
      </c>
      <c r="G39" s="75">
        <f>F39+'26'!G39</f>
        <v>0</v>
      </c>
      <c r="H39" s="75">
        <f>F39+'26'!H39</f>
        <v>0</v>
      </c>
      <c r="I39" s="77">
        <f>Production2!BN29</f>
        <v>9.0000000000849845E-2</v>
      </c>
      <c r="J39" s="77">
        <f>Production2!AI29</f>
        <v>0</v>
      </c>
      <c r="K39" s="74">
        <f>J39+'26'!K39</f>
        <v>0</v>
      </c>
      <c r="L39" s="74">
        <f>J39+'26'!L39</f>
        <v>0</v>
      </c>
      <c r="M39" s="77">
        <f>Production2!BP29</f>
        <v>0</v>
      </c>
      <c r="N39" s="75">
        <f>M39+'26'!N39</f>
        <v>0</v>
      </c>
      <c r="O39" s="74">
        <f>M39+'26'!O39</f>
        <v>-0.15</v>
      </c>
      <c r="P39" s="74">
        <f>I39+J39+J45-M39-F60</f>
        <v>9.0000000000849845E-2</v>
      </c>
      <c r="Q39" s="96" t="e">
        <f t="shared" si="7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Production2!AK29</f>
        <v>0</v>
      </c>
      <c r="G40" s="75">
        <f>F40+'26'!G40</f>
        <v>3</v>
      </c>
      <c r="H40" s="75">
        <f>F40+'26'!H40</f>
        <v>8</v>
      </c>
      <c r="I40" s="77">
        <f>Production2!BR29</f>
        <v>125.35000000000002</v>
      </c>
      <c r="J40" s="195">
        <v>0</v>
      </c>
      <c r="K40" s="74">
        <f>J40+'26'!K40</f>
        <v>185</v>
      </c>
      <c r="L40" s="74">
        <f>J40+'26'!L40</f>
        <v>485</v>
      </c>
      <c r="M40" s="77">
        <f>Production2!BT29</f>
        <v>120</v>
      </c>
      <c r="N40" s="75">
        <f>M40+'26'!N40</f>
        <v>1871</v>
      </c>
      <c r="O40" s="74">
        <f>M40+'26'!O40</f>
        <v>4903.5</v>
      </c>
      <c r="P40" s="74">
        <f>I40+J46+J40-M40-F62</f>
        <v>5.3500000000000227</v>
      </c>
      <c r="Q40" s="96" t="e">
        <f t="shared" si="7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Production2!AN29</f>
        <v>3</v>
      </c>
      <c r="G41" s="75">
        <f>F41+'26'!G41</f>
        <v>59.5</v>
      </c>
      <c r="H41" s="75">
        <f>F41+'26'!H41</f>
        <v>185.67</v>
      </c>
      <c r="I41" s="195">
        <f>Production2!BV29</f>
        <v>69.180000000000121</v>
      </c>
      <c r="J41" s="195">
        <f>Production2!AO29</f>
        <v>201</v>
      </c>
      <c r="K41" s="74">
        <f>J41+'26'!K41</f>
        <v>4084</v>
      </c>
      <c r="L41" s="74">
        <f>J41+'26'!L41</f>
        <v>12262</v>
      </c>
      <c r="M41" s="77">
        <f>Production2!BX29</f>
        <v>457.72</v>
      </c>
      <c r="N41" s="74">
        <f>M41+'26'!N41</f>
        <v>7583.94</v>
      </c>
      <c r="O41" s="74">
        <f>M41+'26'!O41</f>
        <v>21579.250000000004</v>
      </c>
      <c r="P41" s="74">
        <f>I41+J47+J41-M41-F63</f>
        <v>52.460000000000093</v>
      </c>
      <c r="Q41" s="96">
        <f t="shared" si="7"/>
        <v>67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17.48</v>
      </c>
      <c r="G42" s="132">
        <f t="shared" ref="G42:O42" si="9">G37+G38+G39+G40+G41</f>
        <v>594.30000000000007</v>
      </c>
      <c r="H42" s="132">
        <f>H37+H38+H39+H40+H41</f>
        <v>1263.6400000000001</v>
      </c>
      <c r="I42" s="122">
        <f>I37+I38+I39+I40+I41</f>
        <v>994.00799999997821</v>
      </c>
      <c r="J42" s="122">
        <f>J37+J38+J39+J40+J41</f>
        <v>1155</v>
      </c>
      <c r="K42" s="122">
        <f>K37+K38+K39+K40+K41</f>
        <v>39158</v>
      </c>
      <c r="L42" s="122">
        <f t="shared" si="9"/>
        <v>81600</v>
      </c>
      <c r="M42" s="122">
        <f t="shared" si="9"/>
        <v>2867.1800000000003</v>
      </c>
      <c r="N42" s="122">
        <f t="shared" si="9"/>
        <v>72899.94</v>
      </c>
      <c r="O42" s="122">
        <f t="shared" si="9"/>
        <v>175708.42999999996</v>
      </c>
      <c r="P42" s="122">
        <f>P37+P38+P39+P40+P41</f>
        <v>529.82799999997815</v>
      </c>
      <c r="Q42" s="123">
        <f>J42/F42</f>
        <v>66.075514874141874</v>
      </c>
      <c r="R42" s="94"/>
      <c r="S42" s="94"/>
    </row>
    <row r="43" spans="2:19" ht="15" customHeight="1">
      <c r="B43" s="563">
        <v>5</v>
      </c>
      <c r="C43" s="566" t="s">
        <v>289</v>
      </c>
      <c r="D43" s="80" t="s">
        <v>285</v>
      </c>
      <c r="E43" s="97">
        <v>75</v>
      </c>
      <c r="F43" s="78">
        <f>Production2!AT29</f>
        <v>3</v>
      </c>
      <c r="G43" s="75">
        <f>F43+'26'!G43</f>
        <v>24.5</v>
      </c>
      <c r="H43" s="75">
        <f>F43+'26'!H43</f>
        <v>69.929999999999993</v>
      </c>
      <c r="I43" s="471"/>
      <c r="J43" s="77">
        <f>Production2!AU29</f>
        <v>180</v>
      </c>
      <c r="K43" s="74">
        <f>J43+'26'!K43</f>
        <v>1498</v>
      </c>
      <c r="L43" s="74">
        <f>J43+'26'!L43</f>
        <v>4248</v>
      </c>
      <c r="M43" s="542"/>
      <c r="N43" s="543"/>
      <c r="O43" s="543"/>
      <c r="P43" s="544"/>
      <c r="Q43" s="96">
        <f t="shared" si="7"/>
        <v>60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Production2!AQ29</f>
        <v>14.16</v>
      </c>
      <c r="G44" s="75">
        <f>F44+'26'!G44</f>
        <v>430.49</v>
      </c>
      <c r="H44" s="75">
        <f>F44+'26'!H44</f>
        <v>1280.9000000000001</v>
      </c>
      <c r="I44" s="472"/>
      <c r="J44" s="77">
        <f>Production2!AR29</f>
        <v>828</v>
      </c>
      <c r="K44" s="74">
        <f>J44+'26'!K44</f>
        <v>25135</v>
      </c>
      <c r="L44" s="74">
        <f>J44+'26'!L44</f>
        <v>75096</v>
      </c>
      <c r="M44" s="545"/>
      <c r="N44" s="546"/>
      <c r="O44" s="546"/>
      <c r="P44" s="547"/>
      <c r="Q44" s="96">
        <f t="shared" si="7"/>
        <v>58.474576271186443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Production2!AW29</f>
        <v>0</v>
      </c>
      <c r="G45" s="75">
        <f>F45+'26'!G45</f>
        <v>0</v>
      </c>
      <c r="H45" s="75">
        <f>F45+'26'!H45</f>
        <v>0</v>
      </c>
      <c r="I45" s="472"/>
      <c r="J45" s="77">
        <f>Production2!AX29</f>
        <v>0</v>
      </c>
      <c r="K45" s="74">
        <f>J45+'26'!K45</f>
        <v>0</v>
      </c>
      <c r="L45" s="74">
        <f>J45+'26'!L45</f>
        <v>0</v>
      </c>
      <c r="M45" s="545"/>
      <c r="N45" s="546"/>
      <c r="O45" s="546"/>
      <c r="P45" s="547"/>
      <c r="Q45" s="96" t="e">
        <f t="shared" si="7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Production2!AZ29</f>
        <v>0</v>
      </c>
      <c r="G46" s="75">
        <f>F46+'26'!G46</f>
        <v>27.77</v>
      </c>
      <c r="H46" s="75">
        <f>F46+'26'!H46</f>
        <v>75.649999999999991</v>
      </c>
      <c r="I46" s="472"/>
      <c r="J46" s="195">
        <f>Production2!BA29</f>
        <v>0</v>
      </c>
      <c r="K46" s="74">
        <f>J46+'26'!K46</f>
        <v>1564</v>
      </c>
      <c r="L46" s="74">
        <f>J46+'26'!L46</f>
        <v>4211</v>
      </c>
      <c r="M46" s="545"/>
      <c r="N46" s="546"/>
      <c r="O46" s="546"/>
      <c r="P46" s="547"/>
      <c r="Q46" s="96" t="e">
        <f t="shared" si="7"/>
        <v>#DIV/0!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Production2!BC29</f>
        <v>4</v>
      </c>
      <c r="G47" s="75">
        <f>F47+'26'!G47</f>
        <v>40</v>
      </c>
      <c r="H47" s="75">
        <f>F47+'26'!H47</f>
        <v>148.67000000000002</v>
      </c>
      <c r="I47" s="473"/>
      <c r="J47" s="195">
        <f>Production2!BD29</f>
        <v>240</v>
      </c>
      <c r="K47" s="74">
        <f>J47+'26'!K47</f>
        <v>2385</v>
      </c>
      <c r="L47" s="74">
        <f>J47+'26'!L47</f>
        <v>9000</v>
      </c>
      <c r="M47" s="548"/>
      <c r="N47" s="549"/>
      <c r="O47" s="549"/>
      <c r="P47" s="550"/>
      <c r="Q47" s="96">
        <f t="shared" si="7"/>
        <v>60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21.16</v>
      </c>
      <c r="G48" s="132">
        <f>G43+G44+G45+G46+G47</f>
        <v>522.76</v>
      </c>
      <c r="H48" s="132">
        <f>H43+H44+H45+H46+H47</f>
        <v>1575.1500000000003</v>
      </c>
      <c r="I48" s="122">
        <f t="shared" ref="I48" si="10">I43+I44+I45+I46</f>
        <v>0</v>
      </c>
      <c r="J48" s="122">
        <f>J43+J44+J45+J46+J47</f>
        <v>1248</v>
      </c>
      <c r="K48" s="122">
        <f t="shared" ref="K48:L48" si="11">K43+K44+K45+K46+K47</f>
        <v>30582</v>
      </c>
      <c r="L48" s="122">
        <f t="shared" si="11"/>
        <v>92555</v>
      </c>
      <c r="M48" s="574"/>
      <c r="N48" s="575"/>
      <c r="O48" s="575"/>
      <c r="P48" s="576"/>
      <c r="Q48" s="123">
        <f>J48/F48</f>
        <v>58.97920604914934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0.52534090013399537</v>
      </c>
      <c r="F52" s="99">
        <f>F55/(J33+J34)</f>
        <v>30.354730306444456</v>
      </c>
      <c r="G52" s="99">
        <v>0</v>
      </c>
      <c r="H52" s="99">
        <f>H55/J36</f>
        <v>35.001328021248341</v>
      </c>
      <c r="I52" s="99">
        <f>I55/J35</f>
        <v>61.81818181818182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15.006640106241701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0.76638376998299329</v>
      </c>
      <c r="F53" s="102">
        <f>F52*1.55</f>
        <v>47.049831974988905</v>
      </c>
      <c r="G53" s="102">
        <f>G52*1.55</f>
        <v>0</v>
      </c>
      <c r="H53" s="102">
        <f>H52</f>
        <v>35.001328021248341</v>
      </c>
      <c r="I53" s="102">
        <f>I52*(Q52/100)</f>
        <v>9.2768320656766878</v>
      </c>
      <c r="J53" s="102"/>
      <c r="K53" s="102"/>
      <c r="L53" s="102"/>
      <c r="M53" s="96"/>
      <c r="N53" s="306">
        <f>SUM(E53:I53)</f>
        <v>92.094375831896926</v>
      </c>
      <c r="O53" s="516" t="s">
        <v>298</v>
      </c>
      <c r="P53" s="516"/>
      <c r="Q53" s="104">
        <v>5463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0.62381980514715807</v>
      </c>
      <c r="F54" s="102">
        <f>F53*M20/100</f>
        <v>38.297545126112752</v>
      </c>
      <c r="G54" s="102">
        <f>G53*M20/100</f>
        <v>0</v>
      </c>
      <c r="H54" s="102">
        <f>H53*M20/100</f>
        <v>28.490323622839025</v>
      </c>
      <c r="I54" s="102">
        <f>I53*M20/100</f>
        <v>7.5511405620212431</v>
      </c>
      <c r="J54" s="99">
        <f>J55/(J42+J48)</f>
        <v>41.636704119850187</v>
      </c>
      <c r="K54" s="99">
        <f>K55/(J48+J42)</f>
        <v>0.8772367873491469</v>
      </c>
      <c r="L54" s="99">
        <f>L55/(M42)</f>
        <v>2.6747535906360951</v>
      </c>
      <c r="M54" s="96">
        <f>M55/(J48+J42)</f>
        <v>1.6724927174365376</v>
      </c>
      <c r="N54" s="306">
        <f>SUM(E54:M54)</f>
        <v>121.82401633139216</v>
      </c>
      <c r="O54" s="516" t="s">
        <v>300</v>
      </c>
      <c r="P54" s="516"/>
      <c r="Q54" s="104">
        <f>Q53*Q52/100</f>
        <v>819.81274900398409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unit'!B29</f>
        <v>1333</v>
      </c>
      <c r="F55" s="118">
        <f>'Daily unit'!C29</f>
        <v>62236</v>
      </c>
      <c r="G55" s="118">
        <f>'Daily unit'!D29</f>
        <v>0</v>
      </c>
      <c r="H55" s="118">
        <f>'Daily unit'!E29</f>
        <v>52712</v>
      </c>
      <c r="I55" s="118">
        <f>'Daily unit'!F29</f>
        <v>13600</v>
      </c>
      <c r="J55" s="118">
        <f>'Daily unit'!G29</f>
        <v>100053</v>
      </c>
      <c r="K55" s="118">
        <f>'Daily unit'!H29</f>
        <v>2108</v>
      </c>
      <c r="L55" s="118">
        <f>'Daily unit'!I29</f>
        <v>7669</v>
      </c>
      <c r="M55" s="119">
        <f>'Daily unit'!J29</f>
        <v>4019</v>
      </c>
      <c r="N55" s="317">
        <f>SUM(E55:M55)</f>
        <v>243730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577" t="s">
        <v>302</v>
      </c>
      <c r="C57" s="578"/>
      <c r="D57" s="578"/>
      <c r="E57" s="578"/>
      <c r="F57" s="578"/>
      <c r="G57" s="578"/>
      <c r="H57" s="640"/>
      <c r="I57" s="551" t="s">
        <v>303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9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224" t="s">
        <v>28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9" ht="14.45" customHeight="1">
      <c r="B59" s="700">
        <v>1</v>
      </c>
      <c r="C59" s="626" t="s">
        <v>306</v>
      </c>
      <c r="D59" s="661"/>
      <c r="E59" s="80">
        <v>42.5</v>
      </c>
      <c r="F59" s="53">
        <f>'Internal use cement'!F29</f>
        <v>0</v>
      </c>
      <c r="G59" s="53">
        <f>F59+'26'!G59</f>
        <v>0</v>
      </c>
      <c r="H59" s="104">
        <f>F59+'26'!H59</f>
        <v>10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9" ht="14.45" customHeight="1">
      <c r="B60" s="469"/>
      <c r="C60" s="466"/>
      <c r="D60" s="663"/>
      <c r="E60" s="80" t="s">
        <v>211</v>
      </c>
      <c r="F60" s="53">
        <f>'Internal use cement'!Q29</f>
        <v>0</v>
      </c>
      <c r="G60" s="53">
        <f>F60+'26'!G60</f>
        <v>0</v>
      </c>
      <c r="H60" s="104">
        <f>F60+'26'!H60</f>
        <v>2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9" ht="15" customHeight="1">
      <c r="B61" s="469"/>
      <c r="C61" s="466"/>
      <c r="D61" s="663"/>
      <c r="E61" s="80">
        <v>32.5</v>
      </c>
      <c r="F61" s="53">
        <f>'Internal use cement'!Y29</f>
        <v>0</v>
      </c>
      <c r="G61" s="53">
        <f>F61+'26'!G61</f>
        <v>0.1</v>
      </c>
      <c r="H61" s="284">
        <f>F61+'26'!H61</f>
        <v>0.1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9" ht="15" customHeight="1">
      <c r="B62" s="469"/>
      <c r="C62" s="466"/>
      <c r="D62" s="663"/>
      <c r="E62" s="80" t="s">
        <v>187</v>
      </c>
      <c r="F62" s="53">
        <f>'Internal use cement'!AJ29</f>
        <v>0</v>
      </c>
      <c r="G62" s="53">
        <f>F62+'26'!G62</f>
        <v>0.35</v>
      </c>
      <c r="H62" s="284">
        <f>F62+'26'!H62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9" ht="15.75" thickBot="1">
      <c r="B63" s="470"/>
      <c r="C63" s="467"/>
      <c r="D63" s="665"/>
      <c r="E63" s="443" t="s">
        <v>307</v>
      </c>
      <c r="F63" s="444">
        <f>'Internal use cement'!AO29</f>
        <v>0</v>
      </c>
      <c r="G63" s="53">
        <f>F63+'26'!G63</f>
        <v>0</v>
      </c>
      <c r="H63" s="284">
        <f>F63+'26'!H63</f>
        <v>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116"/>
      <c r="S63" s="116"/>
    </row>
    <row r="64" spans="2:19">
      <c r="R64" s="94"/>
      <c r="S64" s="94"/>
    </row>
    <row r="65" spans="2:19">
      <c r="R65" s="94"/>
      <c r="S65" s="94"/>
    </row>
    <row r="66" spans="2:19">
      <c r="R66" s="94"/>
      <c r="S66" s="94"/>
    </row>
    <row r="67" spans="2:19">
      <c r="R67" s="109"/>
      <c r="S67" s="109"/>
    </row>
    <row r="68" spans="2:19">
      <c r="R68" s="94"/>
      <c r="S68" s="94"/>
    </row>
    <row r="69" spans="2:19">
      <c r="R69" s="117"/>
      <c r="S69" s="117"/>
    </row>
    <row r="70" spans="2:19">
      <c r="R70" s="117"/>
      <c r="S70" s="117"/>
    </row>
    <row r="71" spans="2:19">
      <c r="R71" s="117"/>
      <c r="S71" s="117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7">
    <mergeCell ref="C51:D51"/>
    <mergeCell ref="O51:P51"/>
    <mergeCell ref="C52:D52"/>
    <mergeCell ref="O52:P52"/>
    <mergeCell ref="C53:D53"/>
    <mergeCell ref="B16:B18"/>
    <mergeCell ref="C16:C18"/>
    <mergeCell ref="C19:Q19"/>
    <mergeCell ref="P20:Q22"/>
    <mergeCell ref="Q23:Q24"/>
    <mergeCell ref="C24:D24"/>
    <mergeCell ref="M20:M21"/>
    <mergeCell ref="B25:B26"/>
    <mergeCell ref="C25:C26"/>
    <mergeCell ref="M25:N26"/>
    <mergeCell ref="P25:Q27"/>
    <mergeCell ref="C27:D27"/>
    <mergeCell ref="M27:N27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5:D15"/>
    <mergeCell ref="P6:P7"/>
    <mergeCell ref="Q6:Q7"/>
    <mergeCell ref="C8:Q8"/>
    <mergeCell ref="C11:D11"/>
    <mergeCell ref="C12:D12"/>
    <mergeCell ref="P15:Q15"/>
    <mergeCell ref="O9:O18"/>
    <mergeCell ref="C10:D10"/>
    <mergeCell ref="C9:D9"/>
    <mergeCell ref="C13:D13"/>
    <mergeCell ref="C14:D14"/>
    <mergeCell ref="B2:Q2"/>
    <mergeCell ref="B3:Q3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20:B22"/>
    <mergeCell ref="C20:C22"/>
    <mergeCell ref="N20:N22"/>
    <mergeCell ref="O20:O27"/>
    <mergeCell ref="B50:N50"/>
    <mergeCell ref="O50:Q50"/>
    <mergeCell ref="C34:D34"/>
    <mergeCell ref="I33:I34"/>
    <mergeCell ref="M33:M34"/>
    <mergeCell ref="N33:N34"/>
    <mergeCell ref="O33:O34"/>
    <mergeCell ref="B37:B42"/>
    <mergeCell ref="C37:C42"/>
    <mergeCell ref="M43:P47"/>
    <mergeCell ref="I43:I47"/>
    <mergeCell ref="B43:B48"/>
    <mergeCell ref="C43:C48"/>
    <mergeCell ref="M48:P48"/>
    <mergeCell ref="B49:Q49"/>
    <mergeCell ref="C32:D32"/>
    <mergeCell ref="C33:D33"/>
    <mergeCell ref="C35:D35"/>
    <mergeCell ref="C36:D36"/>
    <mergeCell ref="P33:P34"/>
    <mergeCell ref="I57:Q63"/>
    <mergeCell ref="C59:D63"/>
    <mergeCell ref="B59:B63"/>
    <mergeCell ref="O53:P53"/>
    <mergeCell ref="C54:D54"/>
    <mergeCell ref="O54:P54"/>
    <mergeCell ref="C55:D55"/>
    <mergeCell ref="B57:H57"/>
    <mergeCell ref="C58:E58"/>
    <mergeCell ref="B56:Q56"/>
  </mergeCells>
  <pageMargins left="0.25" right="0.25" top="0.75" bottom="0.75" header="0.3" footer="0.3"/>
  <pageSetup paperSize="9" scale="5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/>
  <dimension ref="B2:U154"/>
  <sheetViews>
    <sheetView zoomScale="90" zoomScaleNormal="90" zoomScaleSheetLayoutView="90" workbookViewId="0">
      <pane xSplit="4" ySplit="1" topLeftCell="E55" activePane="bottomRight" state="frozen"/>
      <selection pane="bottomRight" activeCell="G48" sqref="G48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1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1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347</v>
      </c>
      <c r="R4" s="67"/>
      <c r="S4" s="67"/>
    </row>
    <row r="5" spans="2:21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1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1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20"/>
      <c r="U8" s="68" t="s">
        <v>262</v>
      </c>
    </row>
    <row r="9" spans="2:21">
      <c r="B9" s="199">
        <v>1</v>
      </c>
      <c r="C9" s="225" t="s">
        <v>263</v>
      </c>
      <c r="D9" s="226"/>
      <c r="E9" s="74">
        <f>'27'!L9</f>
        <v>24034.439715652941</v>
      </c>
      <c r="F9" s="74">
        <f>Production2!D30</f>
        <v>2799.5600000000004</v>
      </c>
      <c r="G9" s="74">
        <f>F9+'27'!G9</f>
        <v>79644.12000000001</v>
      </c>
      <c r="H9" s="74">
        <f>F9+'27'!H9</f>
        <v>236511.40000000005</v>
      </c>
      <c r="I9" s="74">
        <f>Production2!E30</f>
        <v>2571</v>
      </c>
      <c r="J9" s="74">
        <f>I9+'27'!J9</f>
        <v>62795</v>
      </c>
      <c r="K9" s="74">
        <f>I9+'27'!K9</f>
        <v>202826</v>
      </c>
      <c r="L9" s="74">
        <f>E9+F9-I9-I23</f>
        <v>23845.993048984186</v>
      </c>
      <c r="M9" s="75">
        <f>I9</f>
        <v>2571</v>
      </c>
      <c r="N9" s="75">
        <f>(I9/I15)*100</f>
        <v>97.165532879818599</v>
      </c>
      <c r="O9" s="515"/>
      <c r="P9" s="285">
        <v>10</v>
      </c>
      <c r="Q9" s="261">
        <f>'Raw mill moisture content'!L35</f>
        <v>9.9999999999999908E-2</v>
      </c>
    </row>
    <row r="10" spans="2:21" ht="13.9" customHeight="1">
      <c r="B10" s="79">
        <v>2</v>
      </c>
      <c r="C10" s="516" t="s">
        <v>75</v>
      </c>
      <c r="D10" s="516"/>
      <c r="E10" s="77">
        <f>'Mines (2)'!L30</f>
        <v>3629.66</v>
      </c>
      <c r="F10" s="77">
        <f>'Mines (2)'!M30</f>
        <v>267.62</v>
      </c>
      <c r="G10" s="74">
        <f>F10+'27'!G10</f>
        <v>2130.84</v>
      </c>
      <c r="H10" s="74">
        <f>F10+'27'!H10</f>
        <v>7400.2400000000007</v>
      </c>
      <c r="I10" s="77">
        <f>'Mines (2)'!N30</f>
        <v>18</v>
      </c>
      <c r="J10" s="74">
        <f>I10+'27'!J10</f>
        <v>1163</v>
      </c>
      <c r="K10" s="74">
        <f>I10+'27'!K10</f>
        <v>3645</v>
      </c>
      <c r="L10" s="77">
        <f t="shared" ref="L10:L12" si="0">E10+F10-I10</f>
        <v>3879.2799999999997</v>
      </c>
      <c r="M10" s="75">
        <f t="shared" ref="M10:M14" si="1">I10</f>
        <v>18</v>
      </c>
      <c r="N10" s="75">
        <f>(I10/I15)*100</f>
        <v>0.68027210884353739</v>
      </c>
      <c r="O10" s="515"/>
      <c r="P10" s="53">
        <v>10</v>
      </c>
      <c r="Q10" s="262">
        <f>'Raw mill moisture content'!M35</f>
        <v>9.9999999999999964E-2</v>
      </c>
    </row>
    <row r="11" spans="2:21">
      <c r="B11" s="79">
        <v>3</v>
      </c>
      <c r="C11" s="516" t="s">
        <v>77</v>
      </c>
      <c r="D11" s="516"/>
      <c r="E11" s="77">
        <f>Clinker!C30</f>
        <v>1176.2400000000002</v>
      </c>
      <c r="F11" s="77">
        <f>Clinker!D30</f>
        <v>0</v>
      </c>
      <c r="G11" s="74">
        <f>F11+'27'!G11</f>
        <v>128.32</v>
      </c>
      <c r="H11" s="74">
        <f>F11+'27'!H11</f>
        <v>545.6</v>
      </c>
      <c r="I11" s="77">
        <f>Clinker!E30</f>
        <v>34</v>
      </c>
      <c r="J11" s="74">
        <f>I11+'27'!J11</f>
        <v>1634</v>
      </c>
      <c r="K11" s="74">
        <f>I11+'27'!K11</f>
        <v>4769</v>
      </c>
      <c r="L11" s="77">
        <f t="shared" si="0"/>
        <v>1142.2400000000002</v>
      </c>
      <c r="M11" s="75">
        <f t="shared" si="1"/>
        <v>34</v>
      </c>
      <c r="N11" s="75">
        <f>(I11/I15)*100</f>
        <v>1.2849584278155708</v>
      </c>
      <c r="O11" s="515"/>
      <c r="P11" s="53">
        <v>7</v>
      </c>
      <c r="Q11" s="262">
        <f>'Raw mill moisture content'!N35</f>
        <v>6.9999999999999854E-2</v>
      </c>
    </row>
    <row r="12" spans="2:21" ht="13.9" customHeight="1">
      <c r="B12" s="79">
        <v>4</v>
      </c>
      <c r="C12" s="516" t="s">
        <v>264</v>
      </c>
      <c r="D12" s="516"/>
      <c r="E12" s="77">
        <f>'Mines (2)'!Q30</f>
        <v>3.999999999996362E-2</v>
      </c>
      <c r="F12" s="77">
        <f>'Mines (2)'!R30</f>
        <v>0</v>
      </c>
      <c r="G12" s="74">
        <f>F12+'27'!G12</f>
        <v>0</v>
      </c>
      <c r="H12" s="74">
        <f>F12+'27'!H12</f>
        <v>137.76</v>
      </c>
      <c r="I12" s="77">
        <f>'Mines (2)'!S30</f>
        <v>0</v>
      </c>
      <c r="J12" s="74">
        <f>I12+'27'!J12</f>
        <v>0</v>
      </c>
      <c r="K12" s="74">
        <f>I12+'27'!K12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1" ht="13.9" customHeight="1">
      <c r="B13" s="199">
        <v>5</v>
      </c>
      <c r="C13" s="501" t="s">
        <v>8</v>
      </c>
      <c r="D13" s="502"/>
      <c r="E13" s="77">
        <f>'Mines (2)'!AH30</f>
        <v>289.44</v>
      </c>
      <c r="F13" s="77">
        <f>'Mines (2)'!AI30</f>
        <v>0</v>
      </c>
      <c r="G13" s="74">
        <f>F13+'27'!G13</f>
        <v>121.08</v>
      </c>
      <c r="H13" s="74">
        <f>F13+'27'!H13</f>
        <v>121.08</v>
      </c>
      <c r="I13" s="77">
        <f>'Mines (2)'!AJ30</f>
        <v>23</v>
      </c>
      <c r="J13" s="74">
        <f>I13+'27'!J13</f>
        <v>153</v>
      </c>
      <c r="K13" s="74">
        <f>I13+'27'!K13</f>
        <v>153</v>
      </c>
      <c r="L13" s="77">
        <f>E13+F13-I13</f>
        <v>266.44</v>
      </c>
      <c r="M13" s="75">
        <f t="shared" si="1"/>
        <v>23</v>
      </c>
      <c r="N13" s="75">
        <f>(I13/I15)*100</f>
        <v>0.86923658352229782</v>
      </c>
      <c r="O13" s="515"/>
      <c r="P13" s="95">
        <v>7</v>
      </c>
      <c r="Q13" s="262">
        <v>7.0000000000000007E-2</v>
      </c>
    </row>
    <row r="14" spans="2:21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F14+'27'!G14</f>
        <v>0</v>
      </c>
      <c r="H14" s="74">
        <f>F14+'27'!H14</f>
        <v>0</v>
      </c>
      <c r="I14" s="77">
        <v>0</v>
      </c>
      <c r="J14" s="74">
        <f>I14+'27'!J14</f>
        <v>0</v>
      </c>
      <c r="K14" s="74">
        <f>I14+'27'!K14</f>
        <v>0</v>
      </c>
      <c r="L14" s="77">
        <f t="shared" ref="L14" si="2">E14+F14-I14</f>
        <v>0</v>
      </c>
      <c r="M14" s="75">
        <f t="shared" si="1"/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1" ht="13.9" customHeight="1">
      <c r="B15" s="79" t="s">
        <v>262</v>
      </c>
      <c r="C15" s="521" t="s">
        <v>265</v>
      </c>
      <c r="D15" s="521"/>
      <c r="E15" s="127">
        <f>SUM(E9:E14)</f>
        <v>29129.819715652942</v>
      </c>
      <c r="F15" s="127">
        <f t="shared" ref="F15:N15" si="3">SUM(F9:F14)</f>
        <v>3067.1800000000003</v>
      </c>
      <c r="G15" s="127">
        <f t="shared" si="3"/>
        <v>82024.360000000015</v>
      </c>
      <c r="H15" s="127">
        <f t="shared" si="3"/>
        <v>244716.08000000005</v>
      </c>
      <c r="I15" s="127">
        <f t="shared" si="3"/>
        <v>2646</v>
      </c>
      <c r="J15" s="127">
        <f t="shared" si="3"/>
        <v>65745</v>
      </c>
      <c r="K15" s="127">
        <f t="shared" si="3"/>
        <v>212131</v>
      </c>
      <c r="L15" s="127">
        <f t="shared" si="3"/>
        <v>29133.993048984186</v>
      </c>
      <c r="M15" s="127">
        <f t="shared" si="3"/>
        <v>2646</v>
      </c>
      <c r="N15" s="127">
        <f t="shared" si="3"/>
        <v>100</v>
      </c>
      <c r="O15" s="515"/>
      <c r="P15" s="522"/>
      <c r="Q15" s="523"/>
    </row>
    <row r="16" spans="2:21">
      <c r="B16" s="512">
        <v>6</v>
      </c>
      <c r="C16" s="517" t="s">
        <v>266</v>
      </c>
      <c r="D16" s="80" t="s">
        <v>63</v>
      </c>
      <c r="E16" s="77">
        <f>Clinker!EB30</f>
        <v>3149.3769999999904</v>
      </c>
      <c r="F16" s="77">
        <f>Clinker!EC30</f>
        <v>0</v>
      </c>
      <c r="G16" s="77">
        <f>F16+'27'!G16</f>
        <v>4977.5200000000013</v>
      </c>
      <c r="H16" s="77">
        <f>F16+'27'!H16</f>
        <v>5782.76</v>
      </c>
      <c r="I16" s="77">
        <f>Clinker!ED30</f>
        <v>233.33</v>
      </c>
      <c r="J16" s="77">
        <f>I16+'27'!J16</f>
        <v>6679.5499999999984</v>
      </c>
      <c r="K16" s="77">
        <f>I16+'27'!K16</f>
        <v>21396.859999999997</v>
      </c>
      <c r="L16" s="77">
        <f>E16+F16-I16-Clinker!N30-Clinker!Z30-Clinker!AS30-Clinker!AX30-Clinker!BC30-Clinker!BW30-Clinker!BH30-Clinker!BM30-Clinker!BR30-Clinker!CV30-Clinker!DA30-Clinker!DF30-Clinker!DK30-Clinker!DP30</f>
        <v>2916.0469999999905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  <c r="S16" s="83"/>
    </row>
    <row r="17" spans="2:19">
      <c r="B17" s="512"/>
      <c r="C17" s="517"/>
      <c r="D17" s="80" t="s">
        <v>62</v>
      </c>
      <c r="E17" s="77">
        <f>Clinker!EF30</f>
        <v>3861.3699999999935</v>
      </c>
      <c r="F17" s="77">
        <f>Clinker!EG30</f>
        <v>0</v>
      </c>
      <c r="G17" s="77">
        <f>F17+'27'!G17</f>
        <v>3673.6500000000005</v>
      </c>
      <c r="H17" s="77">
        <f>F17+'27'!H17</f>
        <v>5814.5999999999995</v>
      </c>
      <c r="I17" s="77">
        <f>Clinker!EH30</f>
        <v>145</v>
      </c>
      <c r="J17" s="77">
        <f>I17+'27'!J17</f>
        <v>4016</v>
      </c>
      <c r="K17" s="77">
        <f>I17+'27'!K17</f>
        <v>12188</v>
      </c>
      <c r="L17" s="77">
        <f>E17+F17-Clinker!AE30-Clinker!AJ30-Clinker!CL30-Clinker!CQ30-Clinker!CG30</f>
        <v>3716.3699999999935</v>
      </c>
      <c r="M17" s="81"/>
      <c r="N17" s="81"/>
      <c r="O17" s="515"/>
      <c r="P17" s="82"/>
      <c r="Q17" s="82"/>
      <c r="R17" s="83"/>
      <c r="S17" s="83"/>
    </row>
    <row r="18" spans="2:19">
      <c r="B18" s="512"/>
      <c r="C18" s="476"/>
      <c r="D18" s="124" t="s">
        <v>162</v>
      </c>
      <c r="E18" s="125">
        <f>E16+E17</f>
        <v>7010.7469999999839</v>
      </c>
      <c r="F18" s="125">
        <f>F16+F17</f>
        <v>0</v>
      </c>
      <c r="G18" s="419">
        <f t="shared" ref="G18:L18" si="4">G16+G17</f>
        <v>8651.1700000000019</v>
      </c>
      <c r="H18" s="125">
        <f t="shared" si="4"/>
        <v>11597.36</v>
      </c>
      <c r="I18" s="125">
        <f t="shared" si="4"/>
        <v>378.33000000000004</v>
      </c>
      <c r="J18" s="125">
        <f>J16+J17</f>
        <v>10695.55</v>
      </c>
      <c r="K18" s="125">
        <f t="shared" si="4"/>
        <v>33584.86</v>
      </c>
      <c r="L18" s="125">
        <f t="shared" si="4"/>
        <v>6632.416999999984</v>
      </c>
      <c r="M18" s="126"/>
      <c r="N18" s="126"/>
      <c r="O18" s="515"/>
      <c r="P18" s="84"/>
      <c r="Q18" s="131"/>
      <c r="R18" s="83"/>
      <c r="S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  <c r="S19" s="190"/>
    </row>
    <row r="20" spans="2:19">
      <c r="B20" s="512">
        <v>7</v>
      </c>
      <c r="C20" s="477" t="s">
        <v>268</v>
      </c>
      <c r="D20" s="85" t="s">
        <v>269</v>
      </c>
      <c r="E20" s="74">
        <f>Clinker!EJ30</f>
        <v>12853.358560351195</v>
      </c>
      <c r="F20" s="74">
        <f>Clinker!EK30</f>
        <v>1370</v>
      </c>
      <c r="G20" s="74">
        <f>F20+'27'!G20</f>
        <v>38458</v>
      </c>
      <c r="H20" s="74">
        <f>F20+'27'!H20</f>
        <v>123984</v>
      </c>
      <c r="I20" s="74">
        <f>Clinker!EL30</f>
        <v>2303.7169994277206</v>
      </c>
      <c r="J20" s="74">
        <f>I20+'27'!J20</f>
        <v>52484.167524838209</v>
      </c>
      <c r="K20" s="74">
        <f>I20+'27'!K20</f>
        <v>115345.89853870324</v>
      </c>
      <c r="L20" s="74">
        <f>E20+F20-I20-I22</f>
        <v>11919.641560923474</v>
      </c>
      <c r="M20" s="710">
        <f>((I20+I21)/(J42+J48))*100</f>
        <v>81.692092178287965</v>
      </c>
      <c r="N20" s="525"/>
      <c r="O20" s="527"/>
      <c r="P20" s="535"/>
      <c r="Q20" s="536"/>
      <c r="R20" s="190"/>
      <c r="S20" s="190"/>
    </row>
    <row r="21" spans="2:19" ht="45">
      <c r="B21" s="512"/>
      <c r="C21" s="477"/>
      <c r="D21" s="85" t="s">
        <v>70</v>
      </c>
      <c r="E21" s="74">
        <f>Clinker!EO30</f>
        <v>89.258008000135931</v>
      </c>
      <c r="F21" s="74">
        <f>Clinker!EP30</f>
        <v>0</v>
      </c>
      <c r="G21" s="74">
        <f>F21+'27'!G21</f>
        <v>0</v>
      </c>
      <c r="H21" s="74">
        <f>F21+'27'!H21</f>
        <v>13390.660000000003</v>
      </c>
      <c r="I21" s="74">
        <f>Clinker!EQ30</f>
        <v>0</v>
      </c>
      <c r="J21" s="74">
        <f>I21+'27'!J21</f>
        <v>5216.8510000000006</v>
      </c>
      <c r="K21" s="74">
        <f>I21+'27'!K21</f>
        <v>22150.950999999997</v>
      </c>
      <c r="L21" s="74">
        <f>E21+F21-I21</f>
        <v>89.258008000135931</v>
      </c>
      <c r="M21" s="711"/>
      <c r="N21" s="525"/>
      <c r="O21" s="527"/>
      <c r="P21" s="535"/>
      <c r="Q21" s="536"/>
      <c r="R21" s="190"/>
      <c r="S21" s="20"/>
    </row>
    <row r="22" spans="2:19" ht="30">
      <c r="B22" s="512"/>
      <c r="C22" s="524"/>
      <c r="D22" s="86" t="s">
        <v>270</v>
      </c>
      <c r="E22" s="77"/>
      <c r="F22" s="77">
        <v>0</v>
      </c>
      <c r="G22" s="74">
        <v>0</v>
      </c>
      <c r="H22" s="74">
        <v>0</v>
      </c>
      <c r="I22" s="77">
        <f>Clinker!EN30</f>
        <v>0</v>
      </c>
      <c r="J22" s="74">
        <f>I22+'27'!J22</f>
        <v>0</v>
      </c>
      <c r="K22" s="74">
        <f>I22+'27'!K22</f>
        <v>0</v>
      </c>
      <c r="L22" s="74"/>
      <c r="M22" s="78"/>
      <c r="N22" s="526"/>
      <c r="O22" s="527"/>
      <c r="P22" s="570"/>
      <c r="Q22" s="571"/>
      <c r="R22" s="20"/>
      <c r="S22" s="20"/>
    </row>
    <row r="23" spans="2:19">
      <c r="B23" s="89">
        <v>8</v>
      </c>
      <c r="C23" s="73" t="s">
        <v>263</v>
      </c>
      <c r="D23" s="88"/>
      <c r="E23" s="77"/>
      <c r="F23" s="77"/>
      <c r="G23" s="74"/>
      <c r="H23" s="74"/>
      <c r="I23" s="77">
        <f>Cement!S30</f>
        <v>417.00666666875452</v>
      </c>
      <c r="J23" s="75">
        <f>I23+'27'!J23</f>
        <v>12470.927213346982</v>
      </c>
      <c r="K23" s="74">
        <f>I23+'27'!K23</f>
        <v>32944.278648199659</v>
      </c>
      <c r="L23" s="74"/>
      <c r="M23" s="78">
        <f>(I23/(J42+J48))*100</f>
        <v>14.787470449246614</v>
      </c>
      <c r="N23" s="78"/>
      <c r="O23" s="527"/>
      <c r="P23" s="87">
        <v>10</v>
      </c>
      <c r="Q23" s="572"/>
      <c r="R23" s="20"/>
      <c r="S23" s="20"/>
    </row>
    <row r="24" spans="2:19">
      <c r="B24" s="89">
        <v>9</v>
      </c>
      <c r="C24" s="517" t="s">
        <v>271</v>
      </c>
      <c r="D24" s="517"/>
      <c r="E24" s="77">
        <f>Cement!C30</f>
        <v>3313.2983177562687</v>
      </c>
      <c r="F24" s="77">
        <f>Cement!D30</f>
        <v>0</v>
      </c>
      <c r="G24" s="74">
        <f>F24+'27'!G24</f>
        <v>2783.66</v>
      </c>
      <c r="H24" s="74">
        <f>F24+'27'!H24</f>
        <v>4910.28</v>
      </c>
      <c r="I24" s="77">
        <f>Cement!F30</f>
        <v>148.39684270568421</v>
      </c>
      <c r="J24" s="75">
        <f>I24+'27'!J24</f>
        <v>3827.0890622740549</v>
      </c>
      <c r="K24" s="74">
        <f>I24+'27'!K24</f>
        <v>9190.7585840991997</v>
      </c>
      <c r="L24" s="74">
        <f t="shared" ref="L24:L26" si="5">E24+F24-I24</f>
        <v>3164.9014750505844</v>
      </c>
      <c r="M24" s="78">
        <f>(I24/(J42+J48))*100</f>
        <v>5.262299386726391</v>
      </c>
      <c r="N24" s="78"/>
      <c r="O24" s="527"/>
      <c r="P24" s="87">
        <v>5</v>
      </c>
      <c r="Q24" s="573"/>
      <c r="R24" s="20"/>
      <c r="S24" s="20"/>
    </row>
    <row r="25" spans="2:19">
      <c r="B25" s="512">
        <v>10</v>
      </c>
      <c r="C25" s="476" t="s">
        <v>272</v>
      </c>
      <c r="D25" s="76" t="s">
        <v>82</v>
      </c>
      <c r="E25" s="77">
        <f>Cement!H30</f>
        <v>0.23999999999796273</v>
      </c>
      <c r="F25" s="77">
        <f>Cement!I30</f>
        <v>0</v>
      </c>
      <c r="G25" s="74">
        <f>F25+'27'!G25</f>
        <v>0</v>
      </c>
      <c r="H25" s="74">
        <f>F25+'27'!H25</f>
        <v>0</v>
      </c>
      <c r="I25" s="77">
        <f>Cement!J30</f>
        <v>0</v>
      </c>
      <c r="J25" s="74">
        <f>I25+'27'!J25</f>
        <v>0</v>
      </c>
      <c r="K25" s="74">
        <f>I25+'27'!K25</f>
        <v>0</v>
      </c>
      <c r="L25" s="74">
        <f t="shared" si="5"/>
        <v>0.23999999999796273</v>
      </c>
      <c r="M25" s="532"/>
      <c r="N25" s="532"/>
      <c r="O25" s="527"/>
      <c r="P25" s="533"/>
      <c r="Q25" s="534"/>
      <c r="R25" s="83"/>
      <c r="S25" s="83"/>
    </row>
    <row r="26" spans="2:19">
      <c r="B26" s="512"/>
      <c r="C26" s="524"/>
      <c r="D26" s="76" t="s">
        <v>273</v>
      </c>
      <c r="E26" s="77">
        <f>Cement!L30</f>
        <v>0</v>
      </c>
      <c r="F26" s="77">
        <f>Cement!M30</f>
        <v>0</v>
      </c>
      <c r="G26" s="74">
        <f>F26+'27'!G26</f>
        <v>0</v>
      </c>
      <c r="H26" s="74">
        <f>F26+'27'!H26</f>
        <v>0</v>
      </c>
      <c r="I26" s="77">
        <f>Cement!N30</f>
        <v>0</v>
      </c>
      <c r="J26" s="74">
        <f>I26+'27'!J26</f>
        <v>0</v>
      </c>
      <c r="K26" s="74">
        <f>I26+'27'!K26</f>
        <v>0</v>
      </c>
      <c r="L26" s="74">
        <f t="shared" si="5"/>
        <v>0</v>
      </c>
      <c r="M26" s="532"/>
      <c r="N26" s="532"/>
      <c r="O26" s="527"/>
      <c r="P26" s="535"/>
      <c r="Q26" s="536"/>
      <c r="R26" s="83"/>
      <c r="S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16256.154886107597</v>
      </c>
      <c r="F27" s="122">
        <f t="shared" ref="F27:L27" si="6">F20+F21+F23+F24+F25+F26</f>
        <v>1370</v>
      </c>
      <c r="G27" s="122">
        <f t="shared" si="6"/>
        <v>41241.660000000003</v>
      </c>
      <c r="H27" s="122">
        <f t="shared" si="6"/>
        <v>142284.94</v>
      </c>
      <c r="I27" s="122">
        <f t="shared" si="6"/>
        <v>2869.1205088021593</v>
      </c>
      <c r="J27" s="122">
        <f t="shared" si="6"/>
        <v>73999.034800459252</v>
      </c>
      <c r="K27" s="122">
        <f t="shared" si="6"/>
        <v>179631.88677100211</v>
      </c>
      <c r="L27" s="122">
        <f t="shared" si="6"/>
        <v>15174.041043974192</v>
      </c>
      <c r="M27" s="540"/>
      <c r="N27" s="540"/>
      <c r="O27" s="528"/>
      <c r="P27" s="537"/>
      <c r="Q27" s="538"/>
      <c r="R27" s="83"/>
      <c r="S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  <c r="S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  <c r="S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  <c r="S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  <c r="S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Production2!C30</f>
        <v>19.8</v>
      </c>
      <c r="G32" s="75">
        <f>F32+'27'!G32</f>
        <v>511.98</v>
      </c>
      <c r="H32" s="74">
        <f>F32+'27'!H32</f>
        <v>1481.1100000000001</v>
      </c>
      <c r="I32" s="74">
        <f>'Mines (2)'!C30+'Mines (2)'!H30+'Mines (2)'!V30+'Mines (2)'!Z30+'Mines (2)'!AD30</f>
        <v>24034.439715652941</v>
      </c>
      <c r="J32" s="74">
        <f>Production2!D30</f>
        <v>2799.5600000000004</v>
      </c>
      <c r="K32" s="74">
        <f>J32+'27'!K32</f>
        <v>79644.12000000001</v>
      </c>
      <c r="L32" s="74">
        <f>J32+'27'!L32</f>
        <v>236511.40000000005</v>
      </c>
      <c r="M32" s="74">
        <f>I9+I23</f>
        <v>2988.0066666687544</v>
      </c>
      <c r="N32" s="75">
        <f>M32+'27'!N32</f>
        <v>75265.927213346979</v>
      </c>
      <c r="O32" s="74">
        <f>M32+'27'!O32</f>
        <v>235770.27864819963</v>
      </c>
      <c r="P32" s="74">
        <f>I32+J32-M32</f>
        <v>23845.993048984186</v>
      </c>
      <c r="Q32" s="93">
        <f>J32/F32</f>
        <v>141.39191919191921</v>
      </c>
      <c r="R32" s="94"/>
      <c r="S32" s="94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Production2!G30</f>
        <v>20.38</v>
      </c>
      <c r="G33" s="75">
        <f>F33+'27'!G33</f>
        <v>488.89000000000004</v>
      </c>
      <c r="H33" s="75">
        <f>F33+'27'!H33</f>
        <v>1558.4299999999994</v>
      </c>
      <c r="I33" s="541">
        <f>Production2!H30</f>
        <v>622.24001683751794</v>
      </c>
      <c r="J33" s="77">
        <f>Production2!N30</f>
        <v>2210</v>
      </c>
      <c r="K33" s="74">
        <f>J33+'27'!K33</f>
        <v>56092.959999999999</v>
      </c>
      <c r="L33" s="74">
        <f>J33+'27'!L33</f>
        <v>182378.55</v>
      </c>
      <c r="M33" s="541">
        <f>Production2!K30</f>
        <v>2123.5</v>
      </c>
      <c r="N33" s="541">
        <f>M33+'27'!N33</f>
        <v>59609.900000000009</v>
      </c>
      <c r="O33" s="541">
        <f>M33+'27'!O33</f>
        <v>192175.19999999998</v>
      </c>
      <c r="P33" s="541">
        <f>I33+J33+J34-M33</f>
        <v>881.85001683751807</v>
      </c>
      <c r="Q33" s="96">
        <f t="shared" ref="Q33:Q48" si="7">J33/F33</f>
        <v>108.4396467124632</v>
      </c>
      <c r="R33" s="94"/>
      <c r="S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Production2!P30</f>
        <v>21.7</v>
      </c>
      <c r="G34" s="75">
        <f>F34+'27'!G34</f>
        <v>352.90999999999997</v>
      </c>
      <c r="H34" s="75">
        <f>F34+'27'!H34</f>
        <v>968.58</v>
      </c>
      <c r="I34" s="473"/>
      <c r="J34" s="78">
        <f>Production2!Q30</f>
        <v>173.11</v>
      </c>
      <c r="K34" s="74">
        <f>J34+'27'!K34</f>
        <v>3131.15</v>
      </c>
      <c r="L34" s="74">
        <f>J34+'27'!L34</f>
        <v>8684.7700000000023</v>
      </c>
      <c r="M34" s="473"/>
      <c r="N34" s="473"/>
      <c r="O34" s="473"/>
      <c r="P34" s="473"/>
      <c r="Q34" s="96">
        <f>J34/F34</f>
        <v>7.9774193548387107</v>
      </c>
      <c r="R34" s="94"/>
      <c r="S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Production2!S30</f>
        <v>16.18</v>
      </c>
      <c r="G35" s="75">
        <f>F35+'27'!G35</f>
        <v>446.85999999999996</v>
      </c>
      <c r="H35" s="75">
        <f>F35+'27'!H35</f>
        <v>1400.19</v>
      </c>
      <c r="I35" s="77">
        <f>Production2!T30</f>
        <v>48.709999999999809</v>
      </c>
      <c r="J35" s="77">
        <f>Production2!U30</f>
        <v>210</v>
      </c>
      <c r="K35" s="74">
        <f>J35+'27'!K35</f>
        <v>6011.6000000000013</v>
      </c>
      <c r="L35" s="74">
        <f>J35+'27'!L35</f>
        <v>19257.199999999993</v>
      </c>
      <c r="M35" s="77">
        <f>Production2!V30</f>
        <v>212</v>
      </c>
      <c r="N35" s="74">
        <f>M35+'27'!N35</f>
        <v>6007</v>
      </c>
      <c r="O35" s="74">
        <f>M35+'27'!O35</f>
        <v>19226</v>
      </c>
      <c r="P35" s="74">
        <f t="shared" ref="P35" si="8">I35+J35-M35</f>
        <v>46.709999999999809</v>
      </c>
      <c r="Q35" s="96">
        <f t="shared" si="7"/>
        <v>12.978986402966626</v>
      </c>
      <c r="R35" s="94"/>
      <c r="S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Production2!Y30</f>
        <v>24</v>
      </c>
      <c r="G36" s="75">
        <f>F36+'27'!G36</f>
        <v>625.30999999999995</v>
      </c>
      <c r="H36" s="75">
        <f>F36+'27'!H36</f>
        <v>1940.12</v>
      </c>
      <c r="I36" s="77">
        <f>Clinker!EJ30</f>
        <v>12853.358560351195</v>
      </c>
      <c r="J36" s="77">
        <f>Clinker!EK30</f>
        <v>1370</v>
      </c>
      <c r="K36" s="74">
        <f>J36+'27'!K36</f>
        <v>38458</v>
      </c>
      <c r="L36" s="74">
        <f>J36+'27'!L36</f>
        <v>123984</v>
      </c>
      <c r="M36" s="77">
        <f>Clinker!EL30</f>
        <v>2303.7169994277206</v>
      </c>
      <c r="N36" s="74">
        <f>M36+'27'!N36</f>
        <v>52484.167524838209</v>
      </c>
      <c r="O36" s="74">
        <f>M36+'27'!O36</f>
        <v>115345.89853870324</v>
      </c>
      <c r="P36" s="74">
        <f>I36+J36-M36-I22</f>
        <v>11919.641560923474</v>
      </c>
      <c r="Q36" s="96">
        <f t="shared" si="7"/>
        <v>57.083333333333336</v>
      </c>
      <c r="R36" s="94"/>
      <c r="S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Production2!AE30</f>
        <v>0</v>
      </c>
      <c r="G37" s="75">
        <f>F37+'27'!G37</f>
        <v>27.2</v>
      </c>
      <c r="H37" s="75">
        <f>F37+'27'!H37</f>
        <v>66.900000000000006</v>
      </c>
      <c r="I37" s="77">
        <f>Production2!BJ30</f>
        <v>191.19999999999993</v>
      </c>
      <c r="J37" s="77">
        <f>Production2!AF30</f>
        <v>0</v>
      </c>
      <c r="K37" s="74">
        <f>J37+'27'!K37</f>
        <v>1862</v>
      </c>
      <c r="L37" s="74">
        <f>J37+'27'!L37</f>
        <v>4496</v>
      </c>
      <c r="M37" s="77">
        <f>Production2!BL30</f>
        <v>61</v>
      </c>
      <c r="N37" s="74">
        <f>M37+'27'!N37</f>
        <v>3808</v>
      </c>
      <c r="O37" s="74">
        <f>M37+'27'!O37</f>
        <v>8846</v>
      </c>
      <c r="P37" s="74">
        <f>I37+J37+J43-M37-F61</f>
        <v>130.19999999999993</v>
      </c>
      <c r="Q37" s="96" t="e">
        <f t="shared" si="7"/>
        <v>#DIV/0!</v>
      </c>
      <c r="R37" s="94"/>
      <c r="S37" s="94"/>
    </row>
    <row r="38" spans="2:19">
      <c r="B38" s="564"/>
      <c r="C38" s="477"/>
      <c r="D38" s="80" t="s">
        <v>286</v>
      </c>
      <c r="E38" s="97">
        <v>78</v>
      </c>
      <c r="F38" s="78">
        <f>Production2!AB30</f>
        <v>17.73</v>
      </c>
      <c r="G38" s="75">
        <f>F38+'27'!G38</f>
        <v>522.33000000000004</v>
      </c>
      <c r="H38" s="75">
        <f>F38+'27'!H38</f>
        <v>1020.8</v>
      </c>
      <c r="I38" s="77">
        <f>Production2!BF30</f>
        <v>280.72799999997733</v>
      </c>
      <c r="J38" s="77">
        <f>Production2!AC30</f>
        <v>1194</v>
      </c>
      <c r="K38" s="74">
        <f>J38+'27'!K38</f>
        <v>34221</v>
      </c>
      <c r="L38" s="74">
        <f>J38+'27'!L38</f>
        <v>65551</v>
      </c>
      <c r="M38" s="77">
        <f>Production2!BH30</f>
        <v>2247.9499999999998</v>
      </c>
      <c r="N38" s="74">
        <f>M38+'27'!N38</f>
        <v>61945.950000000004</v>
      </c>
      <c r="O38" s="74">
        <f>M38+'27'!O38</f>
        <v>142688.77999999997</v>
      </c>
      <c r="P38" s="74">
        <f>I38+J38+J44-M38-F59</f>
        <v>398.77799999997751</v>
      </c>
      <c r="Q38" s="96">
        <f t="shared" si="7"/>
        <v>67.343485617597295</v>
      </c>
      <c r="R38" s="94"/>
      <c r="S38" s="94"/>
    </row>
    <row r="39" spans="2:19">
      <c r="B39" s="564"/>
      <c r="C39" s="477"/>
      <c r="D39" s="80" t="s">
        <v>287</v>
      </c>
      <c r="E39" s="97">
        <v>78</v>
      </c>
      <c r="F39" s="78">
        <f>Production2!AH30</f>
        <v>0</v>
      </c>
      <c r="G39" s="75">
        <f>F39+'27'!G39</f>
        <v>0</v>
      </c>
      <c r="H39" s="75">
        <f>F39+'27'!H39</f>
        <v>0</v>
      </c>
      <c r="I39" s="77">
        <f>Production2!BN30</f>
        <v>9.0000000000849845E-2</v>
      </c>
      <c r="J39" s="77">
        <f>Production2!AI30</f>
        <v>0</v>
      </c>
      <c r="K39" s="74">
        <f>J39+'27'!K39</f>
        <v>0</v>
      </c>
      <c r="L39" s="74">
        <f>J39+'27'!L39</f>
        <v>0</v>
      </c>
      <c r="M39" s="77">
        <f>Production2!BP30</f>
        <v>0</v>
      </c>
      <c r="N39" s="74">
        <f>M39+'27'!N39</f>
        <v>0</v>
      </c>
      <c r="O39" s="74">
        <f>M39+'27'!O39</f>
        <v>-0.15</v>
      </c>
      <c r="P39" s="74">
        <f>I39+J39+J45-M39-F60</f>
        <v>9.0000000000849845E-2</v>
      </c>
      <c r="Q39" s="96" t="e">
        <f t="shared" si="7"/>
        <v>#DIV/0!</v>
      </c>
      <c r="R39" s="94"/>
      <c r="S39" s="94"/>
    </row>
    <row r="40" spans="2:19">
      <c r="B40" s="564"/>
      <c r="C40" s="477"/>
      <c r="D40" s="194" t="s">
        <v>187</v>
      </c>
      <c r="E40" s="97">
        <v>65</v>
      </c>
      <c r="F40" s="84">
        <f>Production2!AK30</f>
        <v>0</v>
      </c>
      <c r="G40" s="75">
        <f>F40+'27'!G40</f>
        <v>3</v>
      </c>
      <c r="H40" s="75">
        <f>F40+'27'!H40</f>
        <v>8</v>
      </c>
      <c r="I40" s="195">
        <f>Production2!BR30</f>
        <v>5.3500000000000227</v>
      </c>
      <c r="J40" s="195">
        <v>0</v>
      </c>
      <c r="K40" s="74">
        <f>J40+'27'!K40</f>
        <v>185</v>
      </c>
      <c r="L40" s="74">
        <f>J40+'27'!L40</f>
        <v>485</v>
      </c>
      <c r="M40" s="77">
        <f>Production2!BT30</f>
        <v>30</v>
      </c>
      <c r="N40" s="74">
        <f>M40+'27'!N40</f>
        <v>1901</v>
      </c>
      <c r="O40" s="74">
        <f>M40+'27'!O40</f>
        <v>4933.5</v>
      </c>
      <c r="P40" s="74">
        <f>I40+J40+J46-M40-F62</f>
        <v>33.350000000000023</v>
      </c>
      <c r="Q40" s="96" t="e">
        <f t="shared" si="7"/>
        <v>#DIV/0!</v>
      </c>
      <c r="R40" s="94"/>
      <c r="S40" s="94"/>
    </row>
    <row r="41" spans="2:19">
      <c r="B41" s="564"/>
      <c r="C41" s="477"/>
      <c r="D41" s="80" t="s">
        <v>288</v>
      </c>
      <c r="E41" s="97"/>
      <c r="F41" s="84">
        <f>Production2!AN30</f>
        <v>3</v>
      </c>
      <c r="G41" s="75">
        <f>F41+'27'!G41</f>
        <v>62.5</v>
      </c>
      <c r="H41" s="75">
        <f>F41+'27'!H41</f>
        <v>188.67</v>
      </c>
      <c r="I41" s="195">
        <f>Production2!BV30</f>
        <v>52.460000000000093</v>
      </c>
      <c r="J41" s="195">
        <f>Production2!AO30</f>
        <v>196</v>
      </c>
      <c r="K41" s="74">
        <f>J41+'27'!K41</f>
        <v>4280</v>
      </c>
      <c r="L41" s="74">
        <f>J41+'27'!L41</f>
        <v>12458</v>
      </c>
      <c r="M41" s="77">
        <f>Production2!BX30</f>
        <v>318.55</v>
      </c>
      <c r="N41" s="74">
        <f>M41+'27'!N41</f>
        <v>7902.49</v>
      </c>
      <c r="O41" s="74">
        <f>M41+'27'!O41</f>
        <v>21897.800000000003</v>
      </c>
      <c r="P41" s="74">
        <f>I41+J47+J41-M41-F63</f>
        <v>129.91000000000008</v>
      </c>
      <c r="Q41" s="96">
        <f t="shared" si="7"/>
        <v>65.333333333333329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20.73</v>
      </c>
      <c r="G42" s="132">
        <f>G37+G38+G39+G40+G41</f>
        <v>615.03000000000009</v>
      </c>
      <c r="H42" s="132">
        <f>H37+H38+H39+H40+H41</f>
        <v>1284.3700000000001</v>
      </c>
      <c r="I42" s="122">
        <f>I37+I38+I39+I40+I41</f>
        <v>529.82799999997815</v>
      </c>
      <c r="J42" s="122">
        <f t="shared" ref="J42:P42" si="9">J37+J38+J39+J40+J41</f>
        <v>1390</v>
      </c>
      <c r="K42" s="122">
        <f t="shared" si="9"/>
        <v>40548</v>
      </c>
      <c r="L42" s="122">
        <f t="shared" si="9"/>
        <v>82990</v>
      </c>
      <c r="M42" s="122">
        <f t="shared" si="9"/>
        <v>2657.5</v>
      </c>
      <c r="N42" s="122">
        <f t="shared" si="9"/>
        <v>75557.440000000017</v>
      </c>
      <c r="O42" s="122">
        <f t="shared" si="9"/>
        <v>178365.93</v>
      </c>
      <c r="P42" s="122">
        <f t="shared" si="9"/>
        <v>692.32799999997837</v>
      </c>
      <c r="Q42" s="123">
        <f t="shared" si="7"/>
        <v>67.052580800771821</v>
      </c>
      <c r="R42" s="94"/>
      <c r="S42" s="94"/>
    </row>
    <row r="43" spans="2:19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Production2!AT30</f>
        <v>0</v>
      </c>
      <c r="G43" s="75">
        <f>F43+'27'!G43</f>
        <v>24.5</v>
      </c>
      <c r="H43" s="75">
        <f>F43+'27'!H43</f>
        <v>69.929999999999993</v>
      </c>
      <c r="I43" s="471"/>
      <c r="J43" s="77">
        <f>Production2!AU30</f>
        <v>0</v>
      </c>
      <c r="K43" s="74">
        <f>J43+'27'!K43</f>
        <v>1498</v>
      </c>
      <c r="L43" s="74">
        <f>J43+'27'!L43</f>
        <v>4248</v>
      </c>
      <c r="M43" s="542"/>
      <c r="N43" s="543"/>
      <c r="O43" s="543"/>
      <c r="P43" s="544"/>
      <c r="Q43" s="96" t="e">
        <f t="shared" si="7"/>
        <v>#DIV/0!</v>
      </c>
      <c r="R43" s="94"/>
      <c r="S43" s="94"/>
    </row>
    <row r="44" spans="2:19">
      <c r="B44" s="564"/>
      <c r="C44" s="477"/>
      <c r="D44" s="80" t="s">
        <v>286</v>
      </c>
      <c r="E44" s="97">
        <v>70</v>
      </c>
      <c r="F44" s="78">
        <f>Production2!AQ30</f>
        <v>19.25</v>
      </c>
      <c r="G44" s="75">
        <f>F44+'27'!G44</f>
        <v>449.74</v>
      </c>
      <c r="H44" s="75">
        <f>F44+'27'!H44</f>
        <v>1300.1500000000001</v>
      </c>
      <c r="I44" s="472"/>
      <c r="J44" s="77">
        <f>Production2!AR30</f>
        <v>1172</v>
      </c>
      <c r="K44" s="74">
        <f>J44+'27'!K44</f>
        <v>26307</v>
      </c>
      <c r="L44" s="74">
        <f>J44+'27'!L44</f>
        <v>76268</v>
      </c>
      <c r="M44" s="545"/>
      <c r="N44" s="546"/>
      <c r="O44" s="546"/>
      <c r="P44" s="547"/>
      <c r="Q44" s="96">
        <f t="shared" si="7"/>
        <v>60.883116883116884</v>
      </c>
      <c r="R44" s="94"/>
      <c r="S44" s="94"/>
    </row>
    <row r="45" spans="2:19">
      <c r="B45" s="564"/>
      <c r="C45" s="477"/>
      <c r="D45" s="80" t="s">
        <v>287</v>
      </c>
      <c r="E45" s="97">
        <v>70</v>
      </c>
      <c r="F45" s="78">
        <f>Production2!AW30</f>
        <v>0</v>
      </c>
      <c r="G45" s="75">
        <f>F45+'27'!G45</f>
        <v>0</v>
      </c>
      <c r="H45" s="75">
        <f>F45+'27'!H45</f>
        <v>0</v>
      </c>
      <c r="I45" s="472"/>
      <c r="J45" s="77">
        <f>Production2!AX30</f>
        <v>0</v>
      </c>
      <c r="K45" s="74">
        <f>J45+'27'!K45</f>
        <v>0</v>
      </c>
      <c r="L45" s="74">
        <f>J45+'27'!L45</f>
        <v>0</v>
      </c>
      <c r="M45" s="545"/>
      <c r="N45" s="546"/>
      <c r="O45" s="546"/>
      <c r="P45" s="547"/>
      <c r="Q45" s="96" t="e">
        <f t="shared" si="7"/>
        <v>#DIV/0!</v>
      </c>
      <c r="R45" s="94"/>
      <c r="S45" s="94"/>
    </row>
    <row r="46" spans="2:19">
      <c r="B46" s="564"/>
      <c r="C46" s="477"/>
      <c r="D46" s="194" t="s">
        <v>187</v>
      </c>
      <c r="E46" s="97">
        <v>60</v>
      </c>
      <c r="F46" s="84">
        <f>Production2!AZ30</f>
        <v>1</v>
      </c>
      <c r="G46" s="75">
        <f>F46+'27'!G46</f>
        <v>28.77</v>
      </c>
      <c r="H46" s="75">
        <f>F46+'27'!H46</f>
        <v>76.649999999999991</v>
      </c>
      <c r="I46" s="472"/>
      <c r="J46" s="195">
        <f>Production2!BA30</f>
        <v>58</v>
      </c>
      <c r="K46" s="74">
        <f>J46+'27'!K46</f>
        <v>1622</v>
      </c>
      <c r="L46" s="74">
        <f>J46+'27'!L46</f>
        <v>4269</v>
      </c>
      <c r="M46" s="545"/>
      <c r="N46" s="546"/>
      <c r="O46" s="546"/>
      <c r="P46" s="547"/>
      <c r="Q46" s="96">
        <f t="shared" si="7"/>
        <v>58</v>
      </c>
      <c r="R46" s="94"/>
      <c r="S46" s="94"/>
    </row>
    <row r="47" spans="2:19">
      <c r="B47" s="564"/>
      <c r="C47" s="477"/>
      <c r="D47" s="80" t="s">
        <v>288</v>
      </c>
      <c r="E47" s="97">
        <v>70</v>
      </c>
      <c r="F47" s="84">
        <f>Production2!BC30</f>
        <v>3.2</v>
      </c>
      <c r="G47" s="75">
        <f>F47+'27'!G47</f>
        <v>43.2</v>
      </c>
      <c r="H47" s="75">
        <f>F47+'27'!H47</f>
        <v>151.87</v>
      </c>
      <c r="I47" s="473"/>
      <c r="J47" s="195">
        <f>Production2!BD30</f>
        <v>200</v>
      </c>
      <c r="K47" s="74">
        <f>J47+'27'!K47</f>
        <v>2585</v>
      </c>
      <c r="L47" s="74">
        <f>J47+'27'!L47</f>
        <v>9200</v>
      </c>
      <c r="M47" s="548"/>
      <c r="N47" s="549"/>
      <c r="O47" s="549"/>
      <c r="P47" s="550"/>
      <c r="Q47" s="96">
        <f t="shared" si="7"/>
        <v>62.5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23.45</v>
      </c>
      <c r="G48" s="132">
        <f>G43+G44+G45+G46+G47</f>
        <v>546.21</v>
      </c>
      <c r="H48" s="132">
        <f>H43+H44+H45+H46+H47</f>
        <v>1598.6000000000004</v>
      </c>
      <c r="I48" s="122">
        <f>I43+I44+I45+I46</f>
        <v>0</v>
      </c>
      <c r="J48" s="122">
        <f>J43+J44+J45+J46+J47</f>
        <v>1430</v>
      </c>
      <c r="K48" s="122">
        <f>K43+K44+K45+K46+K47</f>
        <v>32012</v>
      </c>
      <c r="L48" s="122">
        <f t="shared" ref="L48" si="10">L43+L44+L45+L46+L47</f>
        <v>93985</v>
      </c>
      <c r="M48" s="574"/>
      <c r="N48" s="575"/>
      <c r="O48" s="575"/>
      <c r="P48" s="576"/>
      <c r="Q48" s="123">
        <f t="shared" si="7"/>
        <v>60.980810234541579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  <c r="S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0.59223592278786663</v>
      </c>
      <c r="F52" s="99">
        <f>F55/(J33+J34)</f>
        <v>24.779384921384239</v>
      </c>
      <c r="G52" s="99">
        <v>0</v>
      </c>
      <c r="H52" s="99">
        <f>H55/J36</f>
        <v>37.23357664233577</v>
      </c>
      <c r="I52" s="99">
        <f>I55/J35</f>
        <v>60.680952380952384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15.474452554744525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1.1114150054654051</v>
      </c>
      <c r="F53" s="102">
        <f>F52*1.55</f>
        <v>38.40804662814557</v>
      </c>
      <c r="G53" s="102">
        <f>G52*1.55</f>
        <v>0</v>
      </c>
      <c r="H53" s="102">
        <f>H52</f>
        <v>37.23357664233577</v>
      </c>
      <c r="I53" s="102">
        <f>I52*(Q52/100)</f>
        <v>9.3900451859575949</v>
      </c>
      <c r="J53" s="102"/>
      <c r="K53" s="102"/>
      <c r="L53" s="102"/>
      <c r="M53" s="96"/>
      <c r="N53" s="306">
        <f>SUM(E53:I53)</f>
        <v>86.14308346190434</v>
      </c>
      <c r="O53" s="516" t="s">
        <v>298</v>
      </c>
      <c r="P53" s="516"/>
      <c r="Q53" s="104">
        <v>5478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0.907938170748123</v>
      </c>
      <c r="F54" s="102">
        <f>F53*M20/100</f>
        <v>31.376336855344501</v>
      </c>
      <c r="G54" s="102">
        <f>G53*M20/100</f>
        <v>0</v>
      </c>
      <c r="H54" s="102">
        <f>H53*M20/100</f>
        <v>30.416887751930435</v>
      </c>
      <c r="I54" s="102">
        <f>I53*M20/100</f>
        <v>7.6709243688953697</v>
      </c>
      <c r="J54" s="99">
        <f>J55/(J42+J48)</f>
        <v>36.579078014184397</v>
      </c>
      <c r="K54" s="99">
        <f>K55/(J48+J42)</f>
        <v>0.7262411347517731</v>
      </c>
      <c r="L54" s="99">
        <f>L55/(M42)</f>
        <v>2.9851364063969896</v>
      </c>
      <c r="M54" s="96">
        <f>M55/(J48+J42)</f>
        <v>1.3843971631205674</v>
      </c>
      <c r="N54" s="306">
        <f>SUM(E54:M54)</f>
        <v>112.04693986537217</v>
      </c>
      <c r="O54" s="516" t="s">
        <v>300</v>
      </c>
      <c r="P54" s="516"/>
      <c r="Q54" s="104">
        <f>Q53*Q52/100</f>
        <v>847.69051094890517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unit'!B30</f>
        <v>1658</v>
      </c>
      <c r="F55" s="118">
        <f>'Daily unit'!C30</f>
        <v>59052</v>
      </c>
      <c r="G55" s="118">
        <f>'Daily unit'!D30</f>
        <v>0</v>
      </c>
      <c r="H55" s="118">
        <f>'Daily unit'!E30</f>
        <v>51010</v>
      </c>
      <c r="I55" s="118">
        <f>'Daily unit'!F30</f>
        <v>12743</v>
      </c>
      <c r="J55" s="118">
        <f>'Daily unit'!G30</f>
        <v>103153</v>
      </c>
      <c r="K55" s="118">
        <f>'Daily unit'!H30</f>
        <v>2048</v>
      </c>
      <c r="L55" s="118">
        <f>'Daily unit'!I30</f>
        <v>7933</v>
      </c>
      <c r="M55" s="119">
        <f>'Daily unit'!J30</f>
        <v>3904</v>
      </c>
      <c r="N55" s="317">
        <f>SUM(E55:M55)</f>
        <v>241501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 thickBot="1">
      <c r="B57" s="628" t="s">
        <v>302</v>
      </c>
      <c r="C57" s="629"/>
      <c r="D57" s="629"/>
      <c r="E57" s="629"/>
      <c r="F57" s="629"/>
      <c r="G57" s="629"/>
      <c r="H57" s="629"/>
      <c r="I57" s="750" t="s">
        <v>303</v>
      </c>
      <c r="J57" s="750"/>
      <c r="K57" s="750"/>
      <c r="L57" s="750"/>
      <c r="M57" s="750"/>
      <c r="N57" s="750"/>
      <c r="O57" s="750"/>
      <c r="P57" s="750"/>
      <c r="Q57" s="751"/>
      <c r="R57" s="109"/>
    </row>
    <row r="58" spans="2:19" s="110" customFormat="1" ht="14.45" customHeight="1" thickBot="1">
      <c r="B58" s="214" t="s">
        <v>250</v>
      </c>
      <c r="C58" s="688" t="s">
        <v>304</v>
      </c>
      <c r="D58" s="688"/>
      <c r="E58" s="578"/>
      <c r="F58" s="150" t="s">
        <v>305</v>
      </c>
      <c r="G58" s="150" t="s">
        <v>27</v>
      </c>
      <c r="H58" s="183" t="s">
        <v>28</v>
      </c>
      <c r="I58" s="752"/>
      <c r="J58" s="752"/>
      <c r="K58" s="752"/>
      <c r="L58" s="752"/>
      <c r="M58" s="752"/>
      <c r="N58" s="752"/>
      <c r="O58" s="752"/>
      <c r="P58" s="752"/>
      <c r="Q58" s="753"/>
      <c r="R58" s="111"/>
    </row>
    <row r="59" spans="2:19" ht="14.45" customHeight="1">
      <c r="B59" s="468">
        <v>1</v>
      </c>
      <c r="C59" s="465" t="s">
        <v>306</v>
      </c>
      <c r="D59" s="756"/>
      <c r="E59" s="80">
        <v>42.5</v>
      </c>
      <c r="F59" s="53">
        <f>'Internal use cement'!F30</f>
        <v>0</v>
      </c>
      <c r="G59" s="53">
        <f>F59+'27'!G59</f>
        <v>0</v>
      </c>
      <c r="H59" s="77">
        <f>F59+'27'!H59</f>
        <v>10</v>
      </c>
      <c r="I59" s="752"/>
      <c r="J59" s="752"/>
      <c r="K59" s="752"/>
      <c r="L59" s="752"/>
      <c r="M59" s="752"/>
      <c r="N59" s="752"/>
      <c r="O59" s="752"/>
      <c r="P59" s="752"/>
      <c r="Q59" s="753"/>
      <c r="R59" s="109"/>
    </row>
    <row r="60" spans="2:19" ht="14.45" customHeight="1">
      <c r="B60" s="469"/>
      <c r="C60" s="466"/>
      <c r="D60" s="663"/>
      <c r="E60" s="80" t="s">
        <v>211</v>
      </c>
      <c r="F60" s="53">
        <f>'Internal use cement'!Q30</f>
        <v>0</v>
      </c>
      <c r="G60" s="53">
        <f>F60+'27'!G60</f>
        <v>0</v>
      </c>
      <c r="H60" s="77">
        <f>F60+'27'!H60</f>
        <v>2</v>
      </c>
      <c r="I60" s="752"/>
      <c r="J60" s="752"/>
      <c r="K60" s="752"/>
      <c r="L60" s="752"/>
      <c r="M60" s="752"/>
      <c r="N60" s="752"/>
      <c r="O60" s="752"/>
      <c r="P60" s="752"/>
      <c r="Q60" s="753"/>
      <c r="R60" s="109"/>
    </row>
    <row r="61" spans="2:19" ht="15" customHeight="1">
      <c r="B61" s="469"/>
      <c r="C61" s="466"/>
      <c r="D61" s="663"/>
      <c r="E61" s="80">
        <v>32.5</v>
      </c>
      <c r="F61" s="53">
        <f>'Internal use cement'!Y30</f>
        <v>0</v>
      </c>
      <c r="G61" s="53">
        <f>F61+'27'!G61</f>
        <v>0.1</v>
      </c>
      <c r="H61" s="77">
        <f>F61+'27'!H61</f>
        <v>0.1</v>
      </c>
      <c r="I61" s="752"/>
      <c r="J61" s="752"/>
      <c r="K61" s="752"/>
      <c r="L61" s="752"/>
      <c r="M61" s="752"/>
      <c r="N61" s="752"/>
      <c r="O61" s="752"/>
      <c r="P61" s="752"/>
      <c r="Q61" s="753"/>
      <c r="R61" s="109"/>
    </row>
    <row r="62" spans="2:19" ht="15" customHeight="1">
      <c r="B62" s="469"/>
      <c r="C62" s="466"/>
      <c r="D62" s="663"/>
      <c r="E62" s="80" t="s">
        <v>187</v>
      </c>
      <c r="F62" s="53">
        <f>'Internal use cement'!AJ30</f>
        <v>0</v>
      </c>
      <c r="G62" s="53">
        <f>F62+'27'!G62</f>
        <v>0.35</v>
      </c>
      <c r="H62" s="77">
        <f>F62+'27'!H62</f>
        <v>0.45</v>
      </c>
      <c r="I62" s="752"/>
      <c r="J62" s="752"/>
      <c r="K62" s="752"/>
      <c r="L62" s="752"/>
      <c r="M62" s="752"/>
      <c r="N62" s="752"/>
      <c r="O62" s="752"/>
      <c r="P62" s="752"/>
      <c r="Q62" s="753"/>
      <c r="R62" s="109"/>
    </row>
    <row r="63" spans="2:19" ht="15.75" thickBot="1">
      <c r="B63" s="470"/>
      <c r="C63" s="467"/>
      <c r="D63" s="665"/>
      <c r="E63" s="443" t="s">
        <v>307</v>
      </c>
      <c r="F63" s="444">
        <f>'Internal use cement'!AO30</f>
        <v>0</v>
      </c>
      <c r="G63" s="53">
        <f>F63+'27'!G63</f>
        <v>0</v>
      </c>
      <c r="H63" s="77">
        <f>F63+'27'!H63</f>
        <v>4</v>
      </c>
      <c r="I63" s="754"/>
      <c r="J63" s="754"/>
      <c r="K63" s="754"/>
      <c r="L63" s="754"/>
      <c r="M63" s="754"/>
      <c r="N63" s="754"/>
      <c r="O63" s="754"/>
      <c r="P63" s="754"/>
      <c r="Q63" s="755"/>
      <c r="R63" s="94"/>
      <c r="S63" s="94"/>
    </row>
    <row r="64" spans="2:19">
      <c r="R64" s="94"/>
      <c r="S64" s="94"/>
    </row>
    <row r="65" spans="2:19">
      <c r="R65" s="109"/>
      <c r="S65" s="109"/>
    </row>
    <row r="66" spans="2:19">
      <c r="R66" s="94"/>
      <c r="S66" s="94"/>
    </row>
    <row r="67" spans="2:19">
      <c r="R67" s="117"/>
      <c r="S67" s="117"/>
    </row>
    <row r="68" spans="2:19">
      <c r="R68" s="117"/>
      <c r="S68" s="117"/>
    </row>
    <row r="69" spans="2:19">
      <c r="R69" s="117"/>
      <c r="S69" s="117"/>
    </row>
    <row r="70" spans="2:19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6">
    <mergeCell ref="I33:I34"/>
    <mergeCell ref="M33:M34"/>
    <mergeCell ref="N33:N34"/>
    <mergeCell ref="O33:O34"/>
    <mergeCell ref="P33:P34"/>
    <mergeCell ref="B43:B48"/>
    <mergeCell ref="C43:C48"/>
    <mergeCell ref="M48:P48"/>
    <mergeCell ref="M43:P47"/>
    <mergeCell ref="I43:I47"/>
    <mergeCell ref="B57:H57"/>
    <mergeCell ref="C58:E58"/>
    <mergeCell ref="I57:Q63"/>
    <mergeCell ref="C59:D63"/>
    <mergeCell ref="B59:B63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B50:N50"/>
    <mergeCell ref="O50:Q50"/>
    <mergeCell ref="C32:D32"/>
    <mergeCell ref="C33:D33"/>
    <mergeCell ref="C35:D35"/>
    <mergeCell ref="C36:D36"/>
    <mergeCell ref="B37:B42"/>
    <mergeCell ref="C37:C42"/>
    <mergeCell ref="C34:D34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C27:D27"/>
    <mergeCell ref="M27:N27"/>
    <mergeCell ref="M20:M21"/>
    <mergeCell ref="O6:O7"/>
    <mergeCell ref="P6:P7"/>
    <mergeCell ref="Q6:Q7"/>
    <mergeCell ref="C19:Q19"/>
    <mergeCell ref="E6:E7"/>
    <mergeCell ref="F6:H6"/>
    <mergeCell ref="I6:K6"/>
    <mergeCell ref="L6:L7"/>
    <mergeCell ref="M6:M7"/>
    <mergeCell ref="C13:D13"/>
    <mergeCell ref="C14:D14"/>
    <mergeCell ref="B2:Q2"/>
    <mergeCell ref="B3:Q3"/>
    <mergeCell ref="B16:B18"/>
    <mergeCell ref="C16:C18"/>
    <mergeCell ref="C8:Q8"/>
    <mergeCell ref="C11:D11"/>
    <mergeCell ref="C12:D12"/>
    <mergeCell ref="C15:D15"/>
    <mergeCell ref="P15:Q15"/>
    <mergeCell ref="O9:O18"/>
    <mergeCell ref="C10:D10"/>
    <mergeCell ref="B4:O4"/>
    <mergeCell ref="B6:B7"/>
    <mergeCell ref="C6:C7"/>
    <mergeCell ref="D6:D7"/>
    <mergeCell ref="N6:N7"/>
  </mergeCells>
  <pageMargins left="0.45" right="0" top="0.75" bottom="0.75" header="0.3" footer="0.3"/>
  <pageSetup paperSize="9" scale="55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B2:T157"/>
  <sheetViews>
    <sheetView zoomScale="90" zoomScaleNormal="90" workbookViewId="0">
      <pane xSplit="4" ySplit="1" topLeftCell="E44" activePane="bottomRight" state="frozen"/>
      <selection pane="bottomRight" activeCell="T55" sqref="T55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5" width="9.140625" style="68"/>
    <col min="256" max="256" width="3.7109375" style="68" customWidth="1"/>
    <col min="257" max="257" width="4" style="68" bestFit="1" customWidth="1"/>
    <col min="258" max="258" width="14.5703125" style="68" customWidth="1"/>
    <col min="259" max="259" width="11.140625" style="68" customWidth="1"/>
    <col min="260" max="260" width="8.7109375" style="68" customWidth="1"/>
    <col min="261" max="261" width="9.7109375" style="68" bestFit="1" customWidth="1"/>
    <col min="262" max="262" width="10.85546875" style="68" customWidth="1"/>
    <col min="263" max="263" width="10.42578125" style="68" customWidth="1"/>
    <col min="264" max="264" width="9.7109375" style="68" bestFit="1" customWidth="1"/>
    <col min="265" max="267" width="9.28515625" style="68" bestFit="1" customWidth="1"/>
    <col min="268" max="268" width="10.7109375" style="68" bestFit="1" customWidth="1"/>
    <col min="269" max="269" width="11.28515625" style="68" customWidth="1"/>
    <col min="270" max="270" width="12.5703125" style="68" customWidth="1"/>
    <col min="271" max="271" width="13.5703125" style="68" customWidth="1"/>
    <col min="272" max="272" width="13" style="68" customWidth="1"/>
    <col min="273" max="511" width="9.140625" style="68"/>
    <col min="512" max="512" width="3.7109375" style="68" customWidth="1"/>
    <col min="513" max="513" width="4" style="68" bestFit="1" customWidth="1"/>
    <col min="514" max="514" width="14.5703125" style="68" customWidth="1"/>
    <col min="515" max="515" width="11.140625" style="68" customWidth="1"/>
    <col min="516" max="516" width="8.7109375" style="68" customWidth="1"/>
    <col min="517" max="517" width="9.7109375" style="68" bestFit="1" customWidth="1"/>
    <col min="518" max="518" width="10.85546875" style="68" customWidth="1"/>
    <col min="519" max="519" width="10.42578125" style="68" customWidth="1"/>
    <col min="520" max="520" width="9.7109375" style="68" bestFit="1" customWidth="1"/>
    <col min="521" max="523" width="9.28515625" style="68" bestFit="1" customWidth="1"/>
    <col min="524" max="524" width="10.7109375" style="68" bestFit="1" customWidth="1"/>
    <col min="525" max="525" width="11.28515625" style="68" customWidth="1"/>
    <col min="526" max="526" width="12.5703125" style="68" customWidth="1"/>
    <col min="527" max="527" width="13.5703125" style="68" customWidth="1"/>
    <col min="528" max="528" width="13" style="68" customWidth="1"/>
    <col min="529" max="767" width="9.140625" style="68"/>
    <col min="768" max="768" width="3.7109375" style="68" customWidth="1"/>
    <col min="769" max="769" width="4" style="68" bestFit="1" customWidth="1"/>
    <col min="770" max="770" width="14.5703125" style="68" customWidth="1"/>
    <col min="771" max="771" width="11.140625" style="68" customWidth="1"/>
    <col min="772" max="772" width="8.7109375" style="68" customWidth="1"/>
    <col min="773" max="773" width="9.7109375" style="68" bestFit="1" customWidth="1"/>
    <col min="774" max="774" width="10.85546875" style="68" customWidth="1"/>
    <col min="775" max="775" width="10.42578125" style="68" customWidth="1"/>
    <col min="776" max="776" width="9.7109375" style="68" bestFit="1" customWidth="1"/>
    <col min="777" max="779" width="9.28515625" style="68" bestFit="1" customWidth="1"/>
    <col min="780" max="780" width="10.7109375" style="68" bestFit="1" customWidth="1"/>
    <col min="781" max="781" width="11.28515625" style="68" customWidth="1"/>
    <col min="782" max="782" width="12.5703125" style="68" customWidth="1"/>
    <col min="783" max="783" width="13.5703125" style="68" customWidth="1"/>
    <col min="784" max="784" width="13" style="68" customWidth="1"/>
    <col min="785" max="1023" width="9.140625" style="68"/>
    <col min="1024" max="1024" width="3.7109375" style="68" customWidth="1"/>
    <col min="1025" max="1025" width="4" style="68" bestFit="1" customWidth="1"/>
    <col min="1026" max="1026" width="14.5703125" style="68" customWidth="1"/>
    <col min="1027" max="1027" width="11.140625" style="68" customWidth="1"/>
    <col min="1028" max="1028" width="8.7109375" style="68" customWidth="1"/>
    <col min="1029" max="1029" width="9.7109375" style="68" bestFit="1" customWidth="1"/>
    <col min="1030" max="1030" width="10.85546875" style="68" customWidth="1"/>
    <col min="1031" max="1031" width="10.42578125" style="68" customWidth="1"/>
    <col min="1032" max="1032" width="9.7109375" style="68" bestFit="1" customWidth="1"/>
    <col min="1033" max="1035" width="9.28515625" style="68" bestFit="1" customWidth="1"/>
    <col min="1036" max="1036" width="10.7109375" style="68" bestFit="1" customWidth="1"/>
    <col min="1037" max="1037" width="11.28515625" style="68" customWidth="1"/>
    <col min="1038" max="1038" width="12.5703125" style="68" customWidth="1"/>
    <col min="1039" max="1039" width="13.5703125" style="68" customWidth="1"/>
    <col min="1040" max="1040" width="13" style="68" customWidth="1"/>
    <col min="1041" max="1279" width="9.140625" style="68"/>
    <col min="1280" max="1280" width="3.7109375" style="68" customWidth="1"/>
    <col min="1281" max="1281" width="4" style="68" bestFit="1" customWidth="1"/>
    <col min="1282" max="1282" width="14.5703125" style="68" customWidth="1"/>
    <col min="1283" max="1283" width="11.140625" style="68" customWidth="1"/>
    <col min="1284" max="1284" width="8.7109375" style="68" customWidth="1"/>
    <col min="1285" max="1285" width="9.7109375" style="68" bestFit="1" customWidth="1"/>
    <col min="1286" max="1286" width="10.85546875" style="68" customWidth="1"/>
    <col min="1287" max="1287" width="10.42578125" style="68" customWidth="1"/>
    <col min="1288" max="1288" width="9.7109375" style="68" bestFit="1" customWidth="1"/>
    <col min="1289" max="1291" width="9.28515625" style="68" bestFit="1" customWidth="1"/>
    <col min="1292" max="1292" width="10.7109375" style="68" bestFit="1" customWidth="1"/>
    <col min="1293" max="1293" width="11.28515625" style="68" customWidth="1"/>
    <col min="1294" max="1294" width="12.5703125" style="68" customWidth="1"/>
    <col min="1295" max="1295" width="13.5703125" style="68" customWidth="1"/>
    <col min="1296" max="1296" width="13" style="68" customWidth="1"/>
    <col min="1297" max="1535" width="9.140625" style="68"/>
    <col min="1536" max="1536" width="3.7109375" style="68" customWidth="1"/>
    <col min="1537" max="1537" width="4" style="68" bestFit="1" customWidth="1"/>
    <col min="1538" max="1538" width="14.5703125" style="68" customWidth="1"/>
    <col min="1539" max="1539" width="11.140625" style="68" customWidth="1"/>
    <col min="1540" max="1540" width="8.7109375" style="68" customWidth="1"/>
    <col min="1541" max="1541" width="9.7109375" style="68" bestFit="1" customWidth="1"/>
    <col min="1542" max="1542" width="10.85546875" style="68" customWidth="1"/>
    <col min="1543" max="1543" width="10.42578125" style="68" customWidth="1"/>
    <col min="1544" max="1544" width="9.7109375" style="68" bestFit="1" customWidth="1"/>
    <col min="1545" max="1547" width="9.28515625" style="68" bestFit="1" customWidth="1"/>
    <col min="1548" max="1548" width="10.7109375" style="68" bestFit="1" customWidth="1"/>
    <col min="1549" max="1549" width="11.28515625" style="68" customWidth="1"/>
    <col min="1550" max="1550" width="12.5703125" style="68" customWidth="1"/>
    <col min="1551" max="1551" width="13.5703125" style="68" customWidth="1"/>
    <col min="1552" max="1552" width="13" style="68" customWidth="1"/>
    <col min="1553" max="1791" width="9.140625" style="68"/>
    <col min="1792" max="1792" width="3.7109375" style="68" customWidth="1"/>
    <col min="1793" max="1793" width="4" style="68" bestFit="1" customWidth="1"/>
    <col min="1794" max="1794" width="14.5703125" style="68" customWidth="1"/>
    <col min="1795" max="1795" width="11.140625" style="68" customWidth="1"/>
    <col min="1796" max="1796" width="8.7109375" style="68" customWidth="1"/>
    <col min="1797" max="1797" width="9.7109375" style="68" bestFit="1" customWidth="1"/>
    <col min="1798" max="1798" width="10.85546875" style="68" customWidth="1"/>
    <col min="1799" max="1799" width="10.42578125" style="68" customWidth="1"/>
    <col min="1800" max="1800" width="9.7109375" style="68" bestFit="1" customWidth="1"/>
    <col min="1801" max="1803" width="9.28515625" style="68" bestFit="1" customWidth="1"/>
    <col min="1804" max="1804" width="10.7109375" style="68" bestFit="1" customWidth="1"/>
    <col min="1805" max="1805" width="11.28515625" style="68" customWidth="1"/>
    <col min="1806" max="1806" width="12.5703125" style="68" customWidth="1"/>
    <col min="1807" max="1807" width="13.5703125" style="68" customWidth="1"/>
    <col min="1808" max="1808" width="13" style="68" customWidth="1"/>
    <col min="1809" max="2047" width="9.140625" style="68"/>
    <col min="2048" max="2048" width="3.7109375" style="68" customWidth="1"/>
    <col min="2049" max="2049" width="4" style="68" bestFit="1" customWidth="1"/>
    <col min="2050" max="2050" width="14.5703125" style="68" customWidth="1"/>
    <col min="2051" max="2051" width="11.140625" style="68" customWidth="1"/>
    <col min="2052" max="2052" width="8.7109375" style="68" customWidth="1"/>
    <col min="2053" max="2053" width="9.7109375" style="68" bestFit="1" customWidth="1"/>
    <col min="2054" max="2054" width="10.85546875" style="68" customWidth="1"/>
    <col min="2055" max="2055" width="10.42578125" style="68" customWidth="1"/>
    <col min="2056" max="2056" width="9.7109375" style="68" bestFit="1" customWidth="1"/>
    <col min="2057" max="2059" width="9.28515625" style="68" bestFit="1" customWidth="1"/>
    <col min="2060" max="2060" width="10.7109375" style="68" bestFit="1" customWidth="1"/>
    <col min="2061" max="2061" width="11.28515625" style="68" customWidth="1"/>
    <col min="2062" max="2062" width="12.5703125" style="68" customWidth="1"/>
    <col min="2063" max="2063" width="13.5703125" style="68" customWidth="1"/>
    <col min="2064" max="2064" width="13" style="68" customWidth="1"/>
    <col min="2065" max="2303" width="9.140625" style="68"/>
    <col min="2304" max="2304" width="3.7109375" style="68" customWidth="1"/>
    <col min="2305" max="2305" width="4" style="68" bestFit="1" customWidth="1"/>
    <col min="2306" max="2306" width="14.5703125" style="68" customWidth="1"/>
    <col min="2307" max="2307" width="11.140625" style="68" customWidth="1"/>
    <col min="2308" max="2308" width="8.7109375" style="68" customWidth="1"/>
    <col min="2309" max="2309" width="9.7109375" style="68" bestFit="1" customWidth="1"/>
    <col min="2310" max="2310" width="10.85546875" style="68" customWidth="1"/>
    <col min="2311" max="2311" width="10.42578125" style="68" customWidth="1"/>
    <col min="2312" max="2312" width="9.7109375" style="68" bestFit="1" customWidth="1"/>
    <col min="2313" max="2315" width="9.28515625" style="68" bestFit="1" customWidth="1"/>
    <col min="2316" max="2316" width="10.7109375" style="68" bestFit="1" customWidth="1"/>
    <col min="2317" max="2317" width="11.28515625" style="68" customWidth="1"/>
    <col min="2318" max="2318" width="12.5703125" style="68" customWidth="1"/>
    <col min="2319" max="2319" width="13.5703125" style="68" customWidth="1"/>
    <col min="2320" max="2320" width="13" style="68" customWidth="1"/>
    <col min="2321" max="2559" width="9.140625" style="68"/>
    <col min="2560" max="2560" width="3.7109375" style="68" customWidth="1"/>
    <col min="2561" max="2561" width="4" style="68" bestFit="1" customWidth="1"/>
    <col min="2562" max="2562" width="14.5703125" style="68" customWidth="1"/>
    <col min="2563" max="2563" width="11.140625" style="68" customWidth="1"/>
    <col min="2564" max="2564" width="8.7109375" style="68" customWidth="1"/>
    <col min="2565" max="2565" width="9.7109375" style="68" bestFit="1" customWidth="1"/>
    <col min="2566" max="2566" width="10.85546875" style="68" customWidth="1"/>
    <col min="2567" max="2567" width="10.42578125" style="68" customWidth="1"/>
    <col min="2568" max="2568" width="9.7109375" style="68" bestFit="1" customWidth="1"/>
    <col min="2569" max="2571" width="9.28515625" style="68" bestFit="1" customWidth="1"/>
    <col min="2572" max="2572" width="10.7109375" style="68" bestFit="1" customWidth="1"/>
    <col min="2573" max="2573" width="11.28515625" style="68" customWidth="1"/>
    <col min="2574" max="2574" width="12.5703125" style="68" customWidth="1"/>
    <col min="2575" max="2575" width="13.5703125" style="68" customWidth="1"/>
    <col min="2576" max="2576" width="13" style="68" customWidth="1"/>
    <col min="2577" max="2815" width="9.140625" style="68"/>
    <col min="2816" max="2816" width="3.7109375" style="68" customWidth="1"/>
    <col min="2817" max="2817" width="4" style="68" bestFit="1" customWidth="1"/>
    <col min="2818" max="2818" width="14.5703125" style="68" customWidth="1"/>
    <col min="2819" max="2819" width="11.140625" style="68" customWidth="1"/>
    <col min="2820" max="2820" width="8.7109375" style="68" customWidth="1"/>
    <col min="2821" max="2821" width="9.7109375" style="68" bestFit="1" customWidth="1"/>
    <col min="2822" max="2822" width="10.85546875" style="68" customWidth="1"/>
    <col min="2823" max="2823" width="10.42578125" style="68" customWidth="1"/>
    <col min="2824" max="2824" width="9.7109375" style="68" bestFit="1" customWidth="1"/>
    <col min="2825" max="2827" width="9.28515625" style="68" bestFit="1" customWidth="1"/>
    <col min="2828" max="2828" width="10.7109375" style="68" bestFit="1" customWidth="1"/>
    <col min="2829" max="2829" width="11.28515625" style="68" customWidth="1"/>
    <col min="2830" max="2830" width="12.5703125" style="68" customWidth="1"/>
    <col min="2831" max="2831" width="13.5703125" style="68" customWidth="1"/>
    <col min="2832" max="2832" width="13" style="68" customWidth="1"/>
    <col min="2833" max="3071" width="9.140625" style="68"/>
    <col min="3072" max="3072" width="3.7109375" style="68" customWidth="1"/>
    <col min="3073" max="3073" width="4" style="68" bestFit="1" customWidth="1"/>
    <col min="3074" max="3074" width="14.5703125" style="68" customWidth="1"/>
    <col min="3075" max="3075" width="11.140625" style="68" customWidth="1"/>
    <col min="3076" max="3076" width="8.7109375" style="68" customWidth="1"/>
    <col min="3077" max="3077" width="9.7109375" style="68" bestFit="1" customWidth="1"/>
    <col min="3078" max="3078" width="10.85546875" style="68" customWidth="1"/>
    <col min="3079" max="3079" width="10.42578125" style="68" customWidth="1"/>
    <col min="3080" max="3080" width="9.7109375" style="68" bestFit="1" customWidth="1"/>
    <col min="3081" max="3083" width="9.28515625" style="68" bestFit="1" customWidth="1"/>
    <col min="3084" max="3084" width="10.7109375" style="68" bestFit="1" customWidth="1"/>
    <col min="3085" max="3085" width="11.28515625" style="68" customWidth="1"/>
    <col min="3086" max="3086" width="12.5703125" style="68" customWidth="1"/>
    <col min="3087" max="3087" width="13.5703125" style="68" customWidth="1"/>
    <col min="3088" max="3088" width="13" style="68" customWidth="1"/>
    <col min="3089" max="3327" width="9.140625" style="68"/>
    <col min="3328" max="3328" width="3.7109375" style="68" customWidth="1"/>
    <col min="3329" max="3329" width="4" style="68" bestFit="1" customWidth="1"/>
    <col min="3330" max="3330" width="14.5703125" style="68" customWidth="1"/>
    <col min="3331" max="3331" width="11.140625" style="68" customWidth="1"/>
    <col min="3332" max="3332" width="8.7109375" style="68" customWidth="1"/>
    <col min="3333" max="3333" width="9.7109375" style="68" bestFit="1" customWidth="1"/>
    <col min="3334" max="3334" width="10.85546875" style="68" customWidth="1"/>
    <col min="3335" max="3335" width="10.42578125" style="68" customWidth="1"/>
    <col min="3336" max="3336" width="9.7109375" style="68" bestFit="1" customWidth="1"/>
    <col min="3337" max="3339" width="9.28515625" style="68" bestFit="1" customWidth="1"/>
    <col min="3340" max="3340" width="10.7109375" style="68" bestFit="1" customWidth="1"/>
    <col min="3341" max="3341" width="11.28515625" style="68" customWidth="1"/>
    <col min="3342" max="3342" width="12.5703125" style="68" customWidth="1"/>
    <col min="3343" max="3343" width="13.5703125" style="68" customWidth="1"/>
    <col min="3344" max="3344" width="13" style="68" customWidth="1"/>
    <col min="3345" max="3583" width="9.140625" style="68"/>
    <col min="3584" max="3584" width="3.7109375" style="68" customWidth="1"/>
    <col min="3585" max="3585" width="4" style="68" bestFit="1" customWidth="1"/>
    <col min="3586" max="3586" width="14.5703125" style="68" customWidth="1"/>
    <col min="3587" max="3587" width="11.140625" style="68" customWidth="1"/>
    <col min="3588" max="3588" width="8.7109375" style="68" customWidth="1"/>
    <col min="3589" max="3589" width="9.7109375" style="68" bestFit="1" customWidth="1"/>
    <col min="3590" max="3590" width="10.85546875" style="68" customWidth="1"/>
    <col min="3591" max="3591" width="10.42578125" style="68" customWidth="1"/>
    <col min="3592" max="3592" width="9.7109375" style="68" bestFit="1" customWidth="1"/>
    <col min="3593" max="3595" width="9.28515625" style="68" bestFit="1" customWidth="1"/>
    <col min="3596" max="3596" width="10.7109375" style="68" bestFit="1" customWidth="1"/>
    <col min="3597" max="3597" width="11.28515625" style="68" customWidth="1"/>
    <col min="3598" max="3598" width="12.5703125" style="68" customWidth="1"/>
    <col min="3599" max="3599" width="13.5703125" style="68" customWidth="1"/>
    <col min="3600" max="3600" width="13" style="68" customWidth="1"/>
    <col min="3601" max="3839" width="9.140625" style="68"/>
    <col min="3840" max="3840" width="3.7109375" style="68" customWidth="1"/>
    <col min="3841" max="3841" width="4" style="68" bestFit="1" customWidth="1"/>
    <col min="3842" max="3842" width="14.5703125" style="68" customWidth="1"/>
    <col min="3843" max="3843" width="11.140625" style="68" customWidth="1"/>
    <col min="3844" max="3844" width="8.7109375" style="68" customWidth="1"/>
    <col min="3845" max="3845" width="9.7109375" style="68" bestFit="1" customWidth="1"/>
    <col min="3846" max="3846" width="10.85546875" style="68" customWidth="1"/>
    <col min="3847" max="3847" width="10.42578125" style="68" customWidth="1"/>
    <col min="3848" max="3848" width="9.7109375" style="68" bestFit="1" customWidth="1"/>
    <col min="3849" max="3851" width="9.28515625" style="68" bestFit="1" customWidth="1"/>
    <col min="3852" max="3852" width="10.7109375" style="68" bestFit="1" customWidth="1"/>
    <col min="3853" max="3853" width="11.28515625" style="68" customWidth="1"/>
    <col min="3854" max="3854" width="12.5703125" style="68" customWidth="1"/>
    <col min="3855" max="3855" width="13.5703125" style="68" customWidth="1"/>
    <col min="3856" max="3856" width="13" style="68" customWidth="1"/>
    <col min="3857" max="4095" width="9.140625" style="68"/>
    <col min="4096" max="4096" width="3.7109375" style="68" customWidth="1"/>
    <col min="4097" max="4097" width="4" style="68" bestFit="1" customWidth="1"/>
    <col min="4098" max="4098" width="14.5703125" style="68" customWidth="1"/>
    <col min="4099" max="4099" width="11.140625" style="68" customWidth="1"/>
    <col min="4100" max="4100" width="8.7109375" style="68" customWidth="1"/>
    <col min="4101" max="4101" width="9.7109375" style="68" bestFit="1" customWidth="1"/>
    <col min="4102" max="4102" width="10.85546875" style="68" customWidth="1"/>
    <col min="4103" max="4103" width="10.42578125" style="68" customWidth="1"/>
    <col min="4104" max="4104" width="9.7109375" style="68" bestFit="1" customWidth="1"/>
    <col min="4105" max="4107" width="9.28515625" style="68" bestFit="1" customWidth="1"/>
    <col min="4108" max="4108" width="10.7109375" style="68" bestFit="1" customWidth="1"/>
    <col min="4109" max="4109" width="11.28515625" style="68" customWidth="1"/>
    <col min="4110" max="4110" width="12.5703125" style="68" customWidth="1"/>
    <col min="4111" max="4111" width="13.5703125" style="68" customWidth="1"/>
    <col min="4112" max="4112" width="13" style="68" customWidth="1"/>
    <col min="4113" max="4351" width="9.140625" style="68"/>
    <col min="4352" max="4352" width="3.7109375" style="68" customWidth="1"/>
    <col min="4353" max="4353" width="4" style="68" bestFit="1" customWidth="1"/>
    <col min="4354" max="4354" width="14.5703125" style="68" customWidth="1"/>
    <col min="4355" max="4355" width="11.140625" style="68" customWidth="1"/>
    <col min="4356" max="4356" width="8.7109375" style="68" customWidth="1"/>
    <col min="4357" max="4357" width="9.7109375" style="68" bestFit="1" customWidth="1"/>
    <col min="4358" max="4358" width="10.85546875" style="68" customWidth="1"/>
    <col min="4359" max="4359" width="10.42578125" style="68" customWidth="1"/>
    <col min="4360" max="4360" width="9.7109375" style="68" bestFit="1" customWidth="1"/>
    <col min="4361" max="4363" width="9.28515625" style="68" bestFit="1" customWidth="1"/>
    <col min="4364" max="4364" width="10.7109375" style="68" bestFit="1" customWidth="1"/>
    <col min="4365" max="4365" width="11.28515625" style="68" customWidth="1"/>
    <col min="4366" max="4366" width="12.5703125" style="68" customWidth="1"/>
    <col min="4367" max="4367" width="13.5703125" style="68" customWidth="1"/>
    <col min="4368" max="4368" width="13" style="68" customWidth="1"/>
    <col min="4369" max="4607" width="9.140625" style="68"/>
    <col min="4608" max="4608" width="3.7109375" style="68" customWidth="1"/>
    <col min="4609" max="4609" width="4" style="68" bestFit="1" customWidth="1"/>
    <col min="4610" max="4610" width="14.5703125" style="68" customWidth="1"/>
    <col min="4611" max="4611" width="11.140625" style="68" customWidth="1"/>
    <col min="4612" max="4612" width="8.7109375" style="68" customWidth="1"/>
    <col min="4613" max="4613" width="9.7109375" style="68" bestFit="1" customWidth="1"/>
    <col min="4614" max="4614" width="10.85546875" style="68" customWidth="1"/>
    <col min="4615" max="4615" width="10.42578125" style="68" customWidth="1"/>
    <col min="4616" max="4616" width="9.7109375" style="68" bestFit="1" customWidth="1"/>
    <col min="4617" max="4619" width="9.28515625" style="68" bestFit="1" customWidth="1"/>
    <col min="4620" max="4620" width="10.7109375" style="68" bestFit="1" customWidth="1"/>
    <col min="4621" max="4621" width="11.28515625" style="68" customWidth="1"/>
    <col min="4622" max="4622" width="12.5703125" style="68" customWidth="1"/>
    <col min="4623" max="4623" width="13.5703125" style="68" customWidth="1"/>
    <col min="4624" max="4624" width="13" style="68" customWidth="1"/>
    <col min="4625" max="4863" width="9.140625" style="68"/>
    <col min="4864" max="4864" width="3.7109375" style="68" customWidth="1"/>
    <col min="4865" max="4865" width="4" style="68" bestFit="1" customWidth="1"/>
    <col min="4866" max="4866" width="14.5703125" style="68" customWidth="1"/>
    <col min="4867" max="4867" width="11.140625" style="68" customWidth="1"/>
    <col min="4868" max="4868" width="8.7109375" style="68" customWidth="1"/>
    <col min="4869" max="4869" width="9.7109375" style="68" bestFit="1" customWidth="1"/>
    <col min="4870" max="4870" width="10.85546875" style="68" customWidth="1"/>
    <col min="4871" max="4871" width="10.42578125" style="68" customWidth="1"/>
    <col min="4872" max="4872" width="9.7109375" style="68" bestFit="1" customWidth="1"/>
    <col min="4873" max="4875" width="9.28515625" style="68" bestFit="1" customWidth="1"/>
    <col min="4876" max="4876" width="10.7109375" style="68" bestFit="1" customWidth="1"/>
    <col min="4877" max="4877" width="11.28515625" style="68" customWidth="1"/>
    <col min="4878" max="4878" width="12.5703125" style="68" customWidth="1"/>
    <col min="4879" max="4879" width="13.5703125" style="68" customWidth="1"/>
    <col min="4880" max="4880" width="13" style="68" customWidth="1"/>
    <col min="4881" max="5119" width="9.140625" style="68"/>
    <col min="5120" max="5120" width="3.7109375" style="68" customWidth="1"/>
    <col min="5121" max="5121" width="4" style="68" bestFit="1" customWidth="1"/>
    <col min="5122" max="5122" width="14.5703125" style="68" customWidth="1"/>
    <col min="5123" max="5123" width="11.140625" style="68" customWidth="1"/>
    <col min="5124" max="5124" width="8.7109375" style="68" customWidth="1"/>
    <col min="5125" max="5125" width="9.7109375" style="68" bestFit="1" customWidth="1"/>
    <col min="5126" max="5126" width="10.85546875" style="68" customWidth="1"/>
    <col min="5127" max="5127" width="10.42578125" style="68" customWidth="1"/>
    <col min="5128" max="5128" width="9.7109375" style="68" bestFit="1" customWidth="1"/>
    <col min="5129" max="5131" width="9.28515625" style="68" bestFit="1" customWidth="1"/>
    <col min="5132" max="5132" width="10.7109375" style="68" bestFit="1" customWidth="1"/>
    <col min="5133" max="5133" width="11.28515625" style="68" customWidth="1"/>
    <col min="5134" max="5134" width="12.5703125" style="68" customWidth="1"/>
    <col min="5135" max="5135" width="13.5703125" style="68" customWidth="1"/>
    <col min="5136" max="5136" width="13" style="68" customWidth="1"/>
    <col min="5137" max="5375" width="9.140625" style="68"/>
    <col min="5376" max="5376" width="3.7109375" style="68" customWidth="1"/>
    <col min="5377" max="5377" width="4" style="68" bestFit="1" customWidth="1"/>
    <col min="5378" max="5378" width="14.5703125" style="68" customWidth="1"/>
    <col min="5379" max="5379" width="11.140625" style="68" customWidth="1"/>
    <col min="5380" max="5380" width="8.7109375" style="68" customWidth="1"/>
    <col min="5381" max="5381" width="9.7109375" style="68" bestFit="1" customWidth="1"/>
    <col min="5382" max="5382" width="10.85546875" style="68" customWidth="1"/>
    <col min="5383" max="5383" width="10.42578125" style="68" customWidth="1"/>
    <col min="5384" max="5384" width="9.7109375" style="68" bestFit="1" customWidth="1"/>
    <col min="5385" max="5387" width="9.28515625" style="68" bestFit="1" customWidth="1"/>
    <col min="5388" max="5388" width="10.7109375" style="68" bestFit="1" customWidth="1"/>
    <col min="5389" max="5389" width="11.28515625" style="68" customWidth="1"/>
    <col min="5390" max="5390" width="12.5703125" style="68" customWidth="1"/>
    <col min="5391" max="5391" width="13.5703125" style="68" customWidth="1"/>
    <col min="5392" max="5392" width="13" style="68" customWidth="1"/>
    <col min="5393" max="5631" width="9.140625" style="68"/>
    <col min="5632" max="5632" width="3.7109375" style="68" customWidth="1"/>
    <col min="5633" max="5633" width="4" style="68" bestFit="1" customWidth="1"/>
    <col min="5634" max="5634" width="14.5703125" style="68" customWidth="1"/>
    <col min="5635" max="5635" width="11.140625" style="68" customWidth="1"/>
    <col min="5636" max="5636" width="8.7109375" style="68" customWidth="1"/>
    <col min="5637" max="5637" width="9.7109375" style="68" bestFit="1" customWidth="1"/>
    <col min="5638" max="5638" width="10.85546875" style="68" customWidth="1"/>
    <col min="5639" max="5639" width="10.42578125" style="68" customWidth="1"/>
    <col min="5640" max="5640" width="9.7109375" style="68" bestFit="1" customWidth="1"/>
    <col min="5641" max="5643" width="9.28515625" style="68" bestFit="1" customWidth="1"/>
    <col min="5644" max="5644" width="10.7109375" style="68" bestFit="1" customWidth="1"/>
    <col min="5645" max="5645" width="11.28515625" style="68" customWidth="1"/>
    <col min="5646" max="5646" width="12.5703125" style="68" customWidth="1"/>
    <col min="5647" max="5647" width="13.5703125" style="68" customWidth="1"/>
    <col min="5648" max="5648" width="13" style="68" customWidth="1"/>
    <col min="5649" max="5887" width="9.140625" style="68"/>
    <col min="5888" max="5888" width="3.7109375" style="68" customWidth="1"/>
    <col min="5889" max="5889" width="4" style="68" bestFit="1" customWidth="1"/>
    <col min="5890" max="5890" width="14.5703125" style="68" customWidth="1"/>
    <col min="5891" max="5891" width="11.140625" style="68" customWidth="1"/>
    <col min="5892" max="5892" width="8.7109375" style="68" customWidth="1"/>
    <col min="5893" max="5893" width="9.7109375" style="68" bestFit="1" customWidth="1"/>
    <col min="5894" max="5894" width="10.85546875" style="68" customWidth="1"/>
    <col min="5895" max="5895" width="10.42578125" style="68" customWidth="1"/>
    <col min="5896" max="5896" width="9.7109375" style="68" bestFit="1" customWidth="1"/>
    <col min="5897" max="5899" width="9.28515625" style="68" bestFit="1" customWidth="1"/>
    <col min="5900" max="5900" width="10.7109375" style="68" bestFit="1" customWidth="1"/>
    <col min="5901" max="5901" width="11.28515625" style="68" customWidth="1"/>
    <col min="5902" max="5902" width="12.5703125" style="68" customWidth="1"/>
    <col min="5903" max="5903" width="13.5703125" style="68" customWidth="1"/>
    <col min="5904" max="5904" width="13" style="68" customWidth="1"/>
    <col min="5905" max="6143" width="9.140625" style="68"/>
    <col min="6144" max="6144" width="3.7109375" style="68" customWidth="1"/>
    <col min="6145" max="6145" width="4" style="68" bestFit="1" customWidth="1"/>
    <col min="6146" max="6146" width="14.5703125" style="68" customWidth="1"/>
    <col min="6147" max="6147" width="11.140625" style="68" customWidth="1"/>
    <col min="6148" max="6148" width="8.7109375" style="68" customWidth="1"/>
    <col min="6149" max="6149" width="9.7109375" style="68" bestFit="1" customWidth="1"/>
    <col min="6150" max="6150" width="10.85546875" style="68" customWidth="1"/>
    <col min="6151" max="6151" width="10.42578125" style="68" customWidth="1"/>
    <col min="6152" max="6152" width="9.7109375" style="68" bestFit="1" customWidth="1"/>
    <col min="6153" max="6155" width="9.28515625" style="68" bestFit="1" customWidth="1"/>
    <col min="6156" max="6156" width="10.7109375" style="68" bestFit="1" customWidth="1"/>
    <col min="6157" max="6157" width="11.28515625" style="68" customWidth="1"/>
    <col min="6158" max="6158" width="12.5703125" style="68" customWidth="1"/>
    <col min="6159" max="6159" width="13.5703125" style="68" customWidth="1"/>
    <col min="6160" max="6160" width="13" style="68" customWidth="1"/>
    <col min="6161" max="6399" width="9.140625" style="68"/>
    <col min="6400" max="6400" width="3.7109375" style="68" customWidth="1"/>
    <col min="6401" max="6401" width="4" style="68" bestFit="1" customWidth="1"/>
    <col min="6402" max="6402" width="14.5703125" style="68" customWidth="1"/>
    <col min="6403" max="6403" width="11.140625" style="68" customWidth="1"/>
    <col min="6404" max="6404" width="8.7109375" style="68" customWidth="1"/>
    <col min="6405" max="6405" width="9.7109375" style="68" bestFit="1" customWidth="1"/>
    <col min="6406" max="6406" width="10.85546875" style="68" customWidth="1"/>
    <col min="6407" max="6407" width="10.42578125" style="68" customWidth="1"/>
    <col min="6408" max="6408" width="9.7109375" style="68" bestFit="1" customWidth="1"/>
    <col min="6409" max="6411" width="9.28515625" style="68" bestFit="1" customWidth="1"/>
    <col min="6412" max="6412" width="10.7109375" style="68" bestFit="1" customWidth="1"/>
    <col min="6413" max="6413" width="11.28515625" style="68" customWidth="1"/>
    <col min="6414" max="6414" width="12.5703125" style="68" customWidth="1"/>
    <col min="6415" max="6415" width="13.5703125" style="68" customWidth="1"/>
    <col min="6416" max="6416" width="13" style="68" customWidth="1"/>
    <col min="6417" max="6655" width="9.140625" style="68"/>
    <col min="6656" max="6656" width="3.7109375" style="68" customWidth="1"/>
    <col min="6657" max="6657" width="4" style="68" bestFit="1" customWidth="1"/>
    <col min="6658" max="6658" width="14.5703125" style="68" customWidth="1"/>
    <col min="6659" max="6659" width="11.140625" style="68" customWidth="1"/>
    <col min="6660" max="6660" width="8.7109375" style="68" customWidth="1"/>
    <col min="6661" max="6661" width="9.7109375" style="68" bestFit="1" customWidth="1"/>
    <col min="6662" max="6662" width="10.85546875" style="68" customWidth="1"/>
    <col min="6663" max="6663" width="10.42578125" style="68" customWidth="1"/>
    <col min="6664" max="6664" width="9.7109375" style="68" bestFit="1" customWidth="1"/>
    <col min="6665" max="6667" width="9.28515625" style="68" bestFit="1" customWidth="1"/>
    <col min="6668" max="6668" width="10.7109375" style="68" bestFit="1" customWidth="1"/>
    <col min="6669" max="6669" width="11.28515625" style="68" customWidth="1"/>
    <col min="6670" max="6670" width="12.5703125" style="68" customWidth="1"/>
    <col min="6671" max="6671" width="13.5703125" style="68" customWidth="1"/>
    <col min="6672" max="6672" width="13" style="68" customWidth="1"/>
    <col min="6673" max="6911" width="9.140625" style="68"/>
    <col min="6912" max="6912" width="3.7109375" style="68" customWidth="1"/>
    <col min="6913" max="6913" width="4" style="68" bestFit="1" customWidth="1"/>
    <col min="6914" max="6914" width="14.5703125" style="68" customWidth="1"/>
    <col min="6915" max="6915" width="11.140625" style="68" customWidth="1"/>
    <col min="6916" max="6916" width="8.7109375" style="68" customWidth="1"/>
    <col min="6917" max="6917" width="9.7109375" style="68" bestFit="1" customWidth="1"/>
    <col min="6918" max="6918" width="10.85546875" style="68" customWidth="1"/>
    <col min="6919" max="6919" width="10.42578125" style="68" customWidth="1"/>
    <col min="6920" max="6920" width="9.7109375" style="68" bestFit="1" customWidth="1"/>
    <col min="6921" max="6923" width="9.28515625" style="68" bestFit="1" customWidth="1"/>
    <col min="6924" max="6924" width="10.7109375" style="68" bestFit="1" customWidth="1"/>
    <col min="6925" max="6925" width="11.28515625" style="68" customWidth="1"/>
    <col min="6926" max="6926" width="12.5703125" style="68" customWidth="1"/>
    <col min="6927" max="6927" width="13.5703125" style="68" customWidth="1"/>
    <col min="6928" max="6928" width="13" style="68" customWidth="1"/>
    <col min="6929" max="7167" width="9.140625" style="68"/>
    <col min="7168" max="7168" width="3.7109375" style="68" customWidth="1"/>
    <col min="7169" max="7169" width="4" style="68" bestFit="1" customWidth="1"/>
    <col min="7170" max="7170" width="14.5703125" style="68" customWidth="1"/>
    <col min="7171" max="7171" width="11.140625" style="68" customWidth="1"/>
    <col min="7172" max="7172" width="8.7109375" style="68" customWidth="1"/>
    <col min="7173" max="7173" width="9.7109375" style="68" bestFit="1" customWidth="1"/>
    <col min="7174" max="7174" width="10.85546875" style="68" customWidth="1"/>
    <col min="7175" max="7175" width="10.42578125" style="68" customWidth="1"/>
    <col min="7176" max="7176" width="9.7109375" style="68" bestFit="1" customWidth="1"/>
    <col min="7177" max="7179" width="9.28515625" style="68" bestFit="1" customWidth="1"/>
    <col min="7180" max="7180" width="10.7109375" style="68" bestFit="1" customWidth="1"/>
    <col min="7181" max="7181" width="11.28515625" style="68" customWidth="1"/>
    <col min="7182" max="7182" width="12.5703125" style="68" customWidth="1"/>
    <col min="7183" max="7183" width="13.5703125" style="68" customWidth="1"/>
    <col min="7184" max="7184" width="13" style="68" customWidth="1"/>
    <col min="7185" max="7423" width="9.140625" style="68"/>
    <col min="7424" max="7424" width="3.7109375" style="68" customWidth="1"/>
    <col min="7425" max="7425" width="4" style="68" bestFit="1" customWidth="1"/>
    <col min="7426" max="7426" width="14.5703125" style="68" customWidth="1"/>
    <col min="7427" max="7427" width="11.140625" style="68" customWidth="1"/>
    <col min="7428" max="7428" width="8.7109375" style="68" customWidth="1"/>
    <col min="7429" max="7429" width="9.7109375" style="68" bestFit="1" customWidth="1"/>
    <col min="7430" max="7430" width="10.85546875" style="68" customWidth="1"/>
    <col min="7431" max="7431" width="10.42578125" style="68" customWidth="1"/>
    <col min="7432" max="7432" width="9.7109375" style="68" bestFit="1" customWidth="1"/>
    <col min="7433" max="7435" width="9.28515625" style="68" bestFit="1" customWidth="1"/>
    <col min="7436" max="7436" width="10.7109375" style="68" bestFit="1" customWidth="1"/>
    <col min="7437" max="7437" width="11.28515625" style="68" customWidth="1"/>
    <col min="7438" max="7438" width="12.5703125" style="68" customWidth="1"/>
    <col min="7439" max="7439" width="13.5703125" style="68" customWidth="1"/>
    <col min="7440" max="7440" width="13" style="68" customWidth="1"/>
    <col min="7441" max="7679" width="9.140625" style="68"/>
    <col min="7680" max="7680" width="3.7109375" style="68" customWidth="1"/>
    <col min="7681" max="7681" width="4" style="68" bestFit="1" customWidth="1"/>
    <col min="7682" max="7682" width="14.5703125" style="68" customWidth="1"/>
    <col min="7683" max="7683" width="11.140625" style="68" customWidth="1"/>
    <col min="7684" max="7684" width="8.7109375" style="68" customWidth="1"/>
    <col min="7685" max="7685" width="9.7109375" style="68" bestFit="1" customWidth="1"/>
    <col min="7686" max="7686" width="10.85546875" style="68" customWidth="1"/>
    <col min="7687" max="7687" width="10.42578125" style="68" customWidth="1"/>
    <col min="7688" max="7688" width="9.7109375" style="68" bestFit="1" customWidth="1"/>
    <col min="7689" max="7691" width="9.28515625" style="68" bestFit="1" customWidth="1"/>
    <col min="7692" max="7692" width="10.7109375" style="68" bestFit="1" customWidth="1"/>
    <col min="7693" max="7693" width="11.28515625" style="68" customWidth="1"/>
    <col min="7694" max="7694" width="12.5703125" style="68" customWidth="1"/>
    <col min="7695" max="7695" width="13.5703125" style="68" customWidth="1"/>
    <col min="7696" max="7696" width="13" style="68" customWidth="1"/>
    <col min="7697" max="7935" width="9.140625" style="68"/>
    <col min="7936" max="7936" width="3.7109375" style="68" customWidth="1"/>
    <col min="7937" max="7937" width="4" style="68" bestFit="1" customWidth="1"/>
    <col min="7938" max="7938" width="14.5703125" style="68" customWidth="1"/>
    <col min="7939" max="7939" width="11.140625" style="68" customWidth="1"/>
    <col min="7940" max="7940" width="8.7109375" style="68" customWidth="1"/>
    <col min="7941" max="7941" width="9.7109375" style="68" bestFit="1" customWidth="1"/>
    <col min="7942" max="7942" width="10.85546875" style="68" customWidth="1"/>
    <col min="7943" max="7943" width="10.42578125" style="68" customWidth="1"/>
    <col min="7944" max="7944" width="9.7109375" style="68" bestFit="1" customWidth="1"/>
    <col min="7945" max="7947" width="9.28515625" style="68" bestFit="1" customWidth="1"/>
    <col min="7948" max="7948" width="10.7109375" style="68" bestFit="1" customWidth="1"/>
    <col min="7949" max="7949" width="11.28515625" style="68" customWidth="1"/>
    <col min="7950" max="7950" width="12.5703125" style="68" customWidth="1"/>
    <col min="7951" max="7951" width="13.5703125" style="68" customWidth="1"/>
    <col min="7952" max="7952" width="13" style="68" customWidth="1"/>
    <col min="7953" max="8191" width="9.140625" style="68"/>
    <col min="8192" max="8192" width="3.7109375" style="68" customWidth="1"/>
    <col min="8193" max="8193" width="4" style="68" bestFit="1" customWidth="1"/>
    <col min="8194" max="8194" width="14.5703125" style="68" customWidth="1"/>
    <col min="8195" max="8195" width="11.140625" style="68" customWidth="1"/>
    <col min="8196" max="8196" width="8.7109375" style="68" customWidth="1"/>
    <col min="8197" max="8197" width="9.7109375" style="68" bestFit="1" customWidth="1"/>
    <col min="8198" max="8198" width="10.85546875" style="68" customWidth="1"/>
    <col min="8199" max="8199" width="10.42578125" style="68" customWidth="1"/>
    <col min="8200" max="8200" width="9.7109375" style="68" bestFit="1" customWidth="1"/>
    <col min="8201" max="8203" width="9.28515625" style="68" bestFit="1" customWidth="1"/>
    <col min="8204" max="8204" width="10.7109375" style="68" bestFit="1" customWidth="1"/>
    <col min="8205" max="8205" width="11.28515625" style="68" customWidth="1"/>
    <col min="8206" max="8206" width="12.5703125" style="68" customWidth="1"/>
    <col min="8207" max="8207" width="13.5703125" style="68" customWidth="1"/>
    <col min="8208" max="8208" width="13" style="68" customWidth="1"/>
    <col min="8209" max="8447" width="9.140625" style="68"/>
    <col min="8448" max="8448" width="3.7109375" style="68" customWidth="1"/>
    <col min="8449" max="8449" width="4" style="68" bestFit="1" customWidth="1"/>
    <col min="8450" max="8450" width="14.5703125" style="68" customWidth="1"/>
    <col min="8451" max="8451" width="11.140625" style="68" customWidth="1"/>
    <col min="8452" max="8452" width="8.7109375" style="68" customWidth="1"/>
    <col min="8453" max="8453" width="9.7109375" style="68" bestFit="1" customWidth="1"/>
    <col min="8454" max="8454" width="10.85546875" style="68" customWidth="1"/>
    <col min="8455" max="8455" width="10.42578125" style="68" customWidth="1"/>
    <col min="8456" max="8456" width="9.7109375" style="68" bestFit="1" customWidth="1"/>
    <col min="8457" max="8459" width="9.28515625" style="68" bestFit="1" customWidth="1"/>
    <col min="8460" max="8460" width="10.7109375" style="68" bestFit="1" customWidth="1"/>
    <col min="8461" max="8461" width="11.28515625" style="68" customWidth="1"/>
    <col min="8462" max="8462" width="12.5703125" style="68" customWidth="1"/>
    <col min="8463" max="8463" width="13.5703125" style="68" customWidth="1"/>
    <col min="8464" max="8464" width="13" style="68" customWidth="1"/>
    <col min="8465" max="8703" width="9.140625" style="68"/>
    <col min="8704" max="8704" width="3.7109375" style="68" customWidth="1"/>
    <col min="8705" max="8705" width="4" style="68" bestFit="1" customWidth="1"/>
    <col min="8706" max="8706" width="14.5703125" style="68" customWidth="1"/>
    <col min="8707" max="8707" width="11.140625" style="68" customWidth="1"/>
    <col min="8708" max="8708" width="8.7109375" style="68" customWidth="1"/>
    <col min="8709" max="8709" width="9.7109375" style="68" bestFit="1" customWidth="1"/>
    <col min="8710" max="8710" width="10.85546875" style="68" customWidth="1"/>
    <col min="8711" max="8711" width="10.42578125" style="68" customWidth="1"/>
    <col min="8712" max="8712" width="9.7109375" style="68" bestFit="1" customWidth="1"/>
    <col min="8713" max="8715" width="9.28515625" style="68" bestFit="1" customWidth="1"/>
    <col min="8716" max="8716" width="10.7109375" style="68" bestFit="1" customWidth="1"/>
    <col min="8717" max="8717" width="11.28515625" style="68" customWidth="1"/>
    <col min="8718" max="8718" width="12.5703125" style="68" customWidth="1"/>
    <col min="8719" max="8719" width="13.5703125" style="68" customWidth="1"/>
    <col min="8720" max="8720" width="13" style="68" customWidth="1"/>
    <col min="8721" max="8959" width="9.140625" style="68"/>
    <col min="8960" max="8960" width="3.7109375" style="68" customWidth="1"/>
    <col min="8961" max="8961" width="4" style="68" bestFit="1" customWidth="1"/>
    <col min="8962" max="8962" width="14.5703125" style="68" customWidth="1"/>
    <col min="8963" max="8963" width="11.140625" style="68" customWidth="1"/>
    <col min="8964" max="8964" width="8.7109375" style="68" customWidth="1"/>
    <col min="8965" max="8965" width="9.7109375" style="68" bestFit="1" customWidth="1"/>
    <col min="8966" max="8966" width="10.85546875" style="68" customWidth="1"/>
    <col min="8967" max="8967" width="10.42578125" style="68" customWidth="1"/>
    <col min="8968" max="8968" width="9.7109375" style="68" bestFit="1" customWidth="1"/>
    <col min="8969" max="8971" width="9.28515625" style="68" bestFit="1" customWidth="1"/>
    <col min="8972" max="8972" width="10.7109375" style="68" bestFit="1" customWidth="1"/>
    <col min="8973" max="8973" width="11.28515625" style="68" customWidth="1"/>
    <col min="8974" max="8974" width="12.5703125" style="68" customWidth="1"/>
    <col min="8975" max="8975" width="13.5703125" style="68" customWidth="1"/>
    <col min="8976" max="8976" width="13" style="68" customWidth="1"/>
    <col min="8977" max="9215" width="9.140625" style="68"/>
    <col min="9216" max="9216" width="3.7109375" style="68" customWidth="1"/>
    <col min="9217" max="9217" width="4" style="68" bestFit="1" customWidth="1"/>
    <col min="9218" max="9218" width="14.5703125" style="68" customWidth="1"/>
    <col min="9219" max="9219" width="11.140625" style="68" customWidth="1"/>
    <col min="9220" max="9220" width="8.7109375" style="68" customWidth="1"/>
    <col min="9221" max="9221" width="9.7109375" style="68" bestFit="1" customWidth="1"/>
    <col min="9222" max="9222" width="10.85546875" style="68" customWidth="1"/>
    <col min="9223" max="9223" width="10.42578125" style="68" customWidth="1"/>
    <col min="9224" max="9224" width="9.7109375" style="68" bestFit="1" customWidth="1"/>
    <col min="9225" max="9227" width="9.28515625" style="68" bestFit="1" customWidth="1"/>
    <col min="9228" max="9228" width="10.7109375" style="68" bestFit="1" customWidth="1"/>
    <col min="9229" max="9229" width="11.28515625" style="68" customWidth="1"/>
    <col min="9230" max="9230" width="12.5703125" style="68" customWidth="1"/>
    <col min="9231" max="9231" width="13.5703125" style="68" customWidth="1"/>
    <col min="9232" max="9232" width="13" style="68" customWidth="1"/>
    <col min="9233" max="9471" width="9.140625" style="68"/>
    <col min="9472" max="9472" width="3.7109375" style="68" customWidth="1"/>
    <col min="9473" max="9473" width="4" style="68" bestFit="1" customWidth="1"/>
    <col min="9474" max="9474" width="14.5703125" style="68" customWidth="1"/>
    <col min="9475" max="9475" width="11.140625" style="68" customWidth="1"/>
    <col min="9476" max="9476" width="8.7109375" style="68" customWidth="1"/>
    <col min="9477" max="9477" width="9.7109375" style="68" bestFit="1" customWidth="1"/>
    <col min="9478" max="9478" width="10.85546875" style="68" customWidth="1"/>
    <col min="9479" max="9479" width="10.42578125" style="68" customWidth="1"/>
    <col min="9480" max="9480" width="9.7109375" style="68" bestFit="1" customWidth="1"/>
    <col min="9481" max="9483" width="9.28515625" style="68" bestFit="1" customWidth="1"/>
    <col min="9484" max="9484" width="10.7109375" style="68" bestFit="1" customWidth="1"/>
    <col min="9485" max="9485" width="11.28515625" style="68" customWidth="1"/>
    <col min="9486" max="9486" width="12.5703125" style="68" customWidth="1"/>
    <col min="9487" max="9487" width="13.5703125" style="68" customWidth="1"/>
    <col min="9488" max="9488" width="13" style="68" customWidth="1"/>
    <col min="9489" max="9727" width="9.140625" style="68"/>
    <col min="9728" max="9728" width="3.7109375" style="68" customWidth="1"/>
    <col min="9729" max="9729" width="4" style="68" bestFit="1" customWidth="1"/>
    <col min="9730" max="9730" width="14.5703125" style="68" customWidth="1"/>
    <col min="9731" max="9731" width="11.140625" style="68" customWidth="1"/>
    <col min="9732" max="9732" width="8.7109375" style="68" customWidth="1"/>
    <col min="9733" max="9733" width="9.7109375" style="68" bestFit="1" customWidth="1"/>
    <col min="9734" max="9734" width="10.85546875" style="68" customWidth="1"/>
    <col min="9735" max="9735" width="10.42578125" style="68" customWidth="1"/>
    <col min="9736" max="9736" width="9.7109375" style="68" bestFit="1" customWidth="1"/>
    <col min="9737" max="9739" width="9.28515625" style="68" bestFit="1" customWidth="1"/>
    <col min="9740" max="9740" width="10.7109375" style="68" bestFit="1" customWidth="1"/>
    <col min="9741" max="9741" width="11.28515625" style="68" customWidth="1"/>
    <col min="9742" max="9742" width="12.5703125" style="68" customWidth="1"/>
    <col min="9743" max="9743" width="13.5703125" style="68" customWidth="1"/>
    <col min="9744" max="9744" width="13" style="68" customWidth="1"/>
    <col min="9745" max="9983" width="9.140625" style="68"/>
    <col min="9984" max="9984" width="3.7109375" style="68" customWidth="1"/>
    <col min="9985" max="9985" width="4" style="68" bestFit="1" customWidth="1"/>
    <col min="9986" max="9986" width="14.5703125" style="68" customWidth="1"/>
    <col min="9987" max="9987" width="11.140625" style="68" customWidth="1"/>
    <col min="9988" max="9988" width="8.7109375" style="68" customWidth="1"/>
    <col min="9989" max="9989" width="9.7109375" style="68" bestFit="1" customWidth="1"/>
    <col min="9990" max="9990" width="10.85546875" style="68" customWidth="1"/>
    <col min="9991" max="9991" width="10.42578125" style="68" customWidth="1"/>
    <col min="9992" max="9992" width="9.7109375" style="68" bestFit="1" customWidth="1"/>
    <col min="9993" max="9995" width="9.28515625" style="68" bestFit="1" customWidth="1"/>
    <col min="9996" max="9996" width="10.7109375" style="68" bestFit="1" customWidth="1"/>
    <col min="9997" max="9997" width="11.28515625" style="68" customWidth="1"/>
    <col min="9998" max="9998" width="12.5703125" style="68" customWidth="1"/>
    <col min="9999" max="9999" width="13.5703125" style="68" customWidth="1"/>
    <col min="10000" max="10000" width="13" style="68" customWidth="1"/>
    <col min="10001" max="10239" width="9.140625" style="68"/>
    <col min="10240" max="10240" width="3.7109375" style="68" customWidth="1"/>
    <col min="10241" max="10241" width="4" style="68" bestFit="1" customWidth="1"/>
    <col min="10242" max="10242" width="14.5703125" style="68" customWidth="1"/>
    <col min="10243" max="10243" width="11.140625" style="68" customWidth="1"/>
    <col min="10244" max="10244" width="8.7109375" style="68" customWidth="1"/>
    <col min="10245" max="10245" width="9.7109375" style="68" bestFit="1" customWidth="1"/>
    <col min="10246" max="10246" width="10.85546875" style="68" customWidth="1"/>
    <col min="10247" max="10247" width="10.42578125" style="68" customWidth="1"/>
    <col min="10248" max="10248" width="9.7109375" style="68" bestFit="1" customWidth="1"/>
    <col min="10249" max="10251" width="9.28515625" style="68" bestFit="1" customWidth="1"/>
    <col min="10252" max="10252" width="10.7109375" style="68" bestFit="1" customWidth="1"/>
    <col min="10253" max="10253" width="11.28515625" style="68" customWidth="1"/>
    <col min="10254" max="10254" width="12.5703125" style="68" customWidth="1"/>
    <col min="10255" max="10255" width="13.5703125" style="68" customWidth="1"/>
    <col min="10256" max="10256" width="13" style="68" customWidth="1"/>
    <col min="10257" max="10495" width="9.140625" style="68"/>
    <col min="10496" max="10496" width="3.7109375" style="68" customWidth="1"/>
    <col min="10497" max="10497" width="4" style="68" bestFit="1" customWidth="1"/>
    <col min="10498" max="10498" width="14.5703125" style="68" customWidth="1"/>
    <col min="10499" max="10499" width="11.140625" style="68" customWidth="1"/>
    <col min="10500" max="10500" width="8.7109375" style="68" customWidth="1"/>
    <col min="10501" max="10501" width="9.7109375" style="68" bestFit="1" customWidth="1"/>
    <col min="10502" max="10502" width="10.85546875" style="68" customWidth="1"/>
    <col min="10503" max="10503" width="10.42578125" style="68" customWidth="1"/>
    <col min="10504" max="10504" width="9.7109375" style="68" bestFit="1" customWidth="1"/>
    <col min="10505" max="10507" width="9.28515625" style="68" bestFit="1" customWidth="1"/>
    <col min="10508" max="10508" width="10.7109375" style="68" bestFit="1" customWidth="1"/>
    <col min="10509" max="10509" width="11.28515625" style="68" customWidth="1"/>
    <col min="10510" max="10510" width="12.5703125" style="68" customWidth="1"/>
    <col min="10511" max="10511" width="13.5703125" style="68" customWidth="1"/>
    <col min="10512" max="10512" width="13" style="68" customWidth="1"/>
    <col min="10513" max="10751" width="9.140625" style="68"/>
    <col min="10752" max="10752" width="3.7109375" style="68" customWidth="1"/>
    <col min="10753" max="10753" width="4" style="68" bestFit="1" customWidth="1"/>
    <col min="10754" max="10754" width="14.5703125" style="68" customWidth="1"/>
    <col min="10755" max="10755" width="11.140625" style="68" customWidth="1"/>
    <col min="10756" max="10756" width="8.7109375" style="68" customWidth="1"/>
    <col min="10757" max="10757" width="9.7109375" style="68" bestFit="1" customWidth="1"/>
    <col min="10758" max="10758" width="10.85546875" style="68" customWidth="1"/>
    <col min="10759" max="10759" width="10.42578125" style="68" customWidth="1"/>
    <col min="10760" max="10760" width="9.7109375" style="68" bestFit="1" customWidth="1"/>
    <col min="10761" max="10763" width="9.28515625" style="68" bestFit="1" customWidth="1"/>
    <col min="10764" max="10764" width="10.7109375" style="68" bestFit="1" customWidth="1"/>
    <col min="10765" max="10765" width="11.28515625" style="68" customWidth="1"/>
    <col min="10766" max="10766" width="12.5703125" style="68" customWidth="1"/>
    <col min="10767" max="10767" width="13.5703125" style="68" customWidth="1"/>
    <col min="10768" max="10768" width="13" style="68" customWidth="1"/>
    <col min="10769" max="11007" width="9.140625" style="68"/>
    <col min="11008" max="11008" width="3.7109375" style="68" customWidth="1"/>
    <col min="11009" max="11009" width="4" style="68" bestFit="1" customWidth="1"/>
    <col min="11010" max="11010" width="14.5703125" style="68" customWidth="1"/>
    <col min="11011" max="11011" width="11.140625" style="68" customWidth="1"/>
    <col min="11012" max="11012" width="8.7109375" style="68" customWidth="1"/>
    <col min="11013" max="11013" width="9.7109375" style="68" bestFit="1" customWidth="1"/>
    <col min="11014" max="11014" width="10.85546875" style="68" customWidth="1"/>
    <col min="11015" max="11015" width="10.42578125" style="68" customWidth="1"/>
    <col min="11016" max="11016" width="9.7109375" style="68" bestFit="1" customWidth="1"/>
    <col min="11017" max="11019" width="9.28515625" style="68" bestFit="1" customWidth="1"/>
    <col min="11020" max="11020" width="10.7109375" style="68" bestFit="1" customWidth="1"/>
    <col min="11021" max="11021" width="11.28515625" style="68" customWidth="1"/>
    <col min="11022" max="11022" width="12.5703125" style="68" customWidth="1"/>
    <col min="11023" max="11023" width="13.5703125" style="68" customWidth="1"/>
    <col min="11024" max="11024" width="13" style="68" customWidth="1"/>
    <col min="11025" max="11263" width="9.140625" style="68"/>
    <col min="11264" max="11264" width="3.7109375" style="68" customWidth="1"/>
    <col min="11265" max="11265" width="4" style="68" bestFit="1" customWidth="1"/>
    <col min="11266" max="11266" width="14.5703125" style="68" customWidth="1"/>
    <col min="11267" max="11267" width="11.140625" style="68" customWidth="1"/>
    <col min="11268" max="11268" width="8.7109375" style="68" customWidth="1"/>
    <col min="11269" max="11269" width="9.7109375" style="68" bestFit="1" customWidth="1"/>
    <col min="11270" max="11270" width="10.85546875" style="68" customWidth="1"/>
    <col min="11271" max="11271" width="10.42578125" style="68" customWidth="1"/>
    <col min="11272" max="11272" width="9.7109375" style="68" bestFit="1" customWidth="1"/>
    <col min="11273" max="11275" width="9.28515625" style="68" bestFit="1" customWidth="1"/>
    <col min="11276" max="11276" width="10.7109375" style="68" bestFit="1" customWidth="1"/>
    <col min="11277" max="11277" width="11.28515625" style="68" customWidth="1"/>
    <col min="11278" max="11278" width="12.5703125" style="68" customWidth="1"/>
    <col min="11279" max="11279" width="13.5703125" style="68" customWidth="1"/>
    <col min="11280" max="11280" width="13" style="68" customWidth="1"/>
    <col min="11281" max="11519" width="9.140625" style="68"/>
    <col min="11520" max="11520" width="3.7109375" style="68" customWidth="1"/>
    <col min="11521" max="11521" width="4" style="68" bestFit="1" customWidth="1"/>
    <col min="11522" max="11522" width="14.5703125" style="68" customWidth="1"/>
    <col min="11523" max="11523" width="11.140625" style="68" customWidth="1"/>
    <col min="11524" max="11524" width="8.7109375" style="68" customWidth="1"/>
    <col min="11525" max="11525" width="9.7109375" style="68" bestFit="1" customWidth="1"/>
    <col min="11526" max="11526" width="10.85546875" style="68" customWidth="1"/>
    <col min="11527" max="11527" width="10.42578125" style="68" customWidth="1"/>
    <col min="11528" max="11528" width="9.7109375" style="68" bestFit="1" customWidth="1"/>
    <col min="11529" max="11531" width="9.28515625" style="68" bestFit="1" customWidth="1"/>
    <col min="11532" max="11532" width="10.7109375" style="68" bestFit="1" customWidth="1"/>
    <col min="11533" max="11533" width="11.28515625" style="68" customWidth="1"/>
    <col min="11534" max="11534" width="12.5703125" style="68" customWidth="1"/>
    <col min="11535" max="11535" width="13.5703125" style="68" customWidth="1"/>
    <col min="11536" max="11536" width="13" style="68" customWidth="1"/>
    <col min="11537" max="11775" width="9.140625" style="68"/>
    <col min="11776" max="11776" width="3.7109375" style="68" customWidth="1"/>
    <col min="11777" max="11777" width="4" style="68" bestFit="1" customWidth="1"/>
    <col min="11778" max="11778" width="14.5703125" style="68" customWidth="1"/>
    <col min="11779" max="11779" width="11.140625" style="68" customWidth="1"/>
    <col min="11780" max="11780" width="8.7109375" style="68" customWidth="1"/>
    <col min="11781" max="11781" width="9.7109375" style="68" bestFit="1" customWidth="1"/>
    <col min="11782" max="11782" width="10.85546875" style="68" customWidth="1"/>
    <col min="11783" max="11783" width="10.42578125" style="68" customWidth="1"/>
    <col min="11784" max="11784" width="9.7109375" style="68" bestFit="1" customWidth="1"/>
    <col min="11785" max="11787" width="9.28515625" style="68" bestFit="1" customWidth="1"/>
    <col min="11788" max="11788" width="10.7109375" style="68" bestFit="1" customWidth="1"/>
    <col min="11789" max="11789" width="11.28515625" style="68" customWidth="1"/>
    <col min="11790" max="11790" width="12.5703125" style="68" customWidth="1"/>
    <col min="11791" max="11791" width="13.5703125" style="68" customWidth="1"/>
    <col min="11792" max="11792" width="13" style="68" customWidth="1"/>
    <col min="11793" max="12031" width="9.140625" style="68"/>
    <col min="12032" max="12032" width="3.7109375" style="68" customWidth="1"/>
    <col min="12033" max="12033" width="4" style="68" bestFit="1" customWidth="1"/>
    <col min="12034" max="12034" width="14.5703125" style="68" customWidth="1"/>
    <col min="12035" max="12035" width="11.140625" style="68" customWidth="1"/>
    <col min="12036" max="12036" width="8.7109375" style="68" customWidth="1"/>
    <col min="12037" max="12037" width="9.7109375" style="68" bestFit="1" customWidth="1"/>
    <col min="12038" max="12038" width="10.85546875" style="68" customWidth="1"/>
    <col min="12039" max="12039" width="10.42578125" style="68" customWidth="1"/>
    <col min="12040" max="12040" width="9.7109375" style="68" bestFit="1" customWidth="1"/>
    <col min="12041" max="12043" width="9.28515625" style="68" bestFit="1" customWidth="1"/>
    <col min="12044" max="12044" width="10.7109375" style="68" bestFit="1" customWidth="1"/>
    <col min="12045" max="12045" width="11.28515625" style="68" customWidth="1"/>
    <col min="12046" max="12046" width="12.5703125" style="68" customWidth="1"/>
    <col min="12047" max="12047" width="13.5703125" style="68" customWidth="1"/>
    <col min="12048" max="12048" width="13" style="68" customWidth="1"/>
    <col min="12049" max="12287" width="9.140625" style="68"/>
    <col min="12288" max="12288" width="3.7109375" style="68" customWidth="1"/>
    <col min="12289" max="12289" width="4" style="68" bestFit="1" customWidth="1"/>
    <col min="12290" max="12290" width="14.5703125" style="68" customWidth="1"/>
    <col min="12291" max="12291" width="11.140625" style="68" customWidth="1"/>
    <col min="12292" max="12292" width="8.7109375" style="68" customWidth="1"/>
    <col min="12293" max="12293" width="9.7109375" style="68" bestFit="1" customWidth="1"/>
    <col min="12294" max="12294" width="10.85546875" style="68" customWidth="1"/>
    <col min="12295" max="12295" width="10.42578125" style="68" customWidth="1"/>
    <col min="12296" max="12296" width="9.7109375" style="68" bestFit="1" customWidth="1"/>
    <col min="12297" max="12299" width="9.28515625" style="68" bestFit="1" customWidth="1"/>
    <col min="12300" max="12300" width="10.7109375" style="68" bestFit="1" customWidth="1"/>
    <col min="12301" max="12301" width="11.28515625" style="68" customWidth="1"/>
    <col min="12302" max="12302" width="12.5703125" style="68" customWidth="1"/>
    <col min="12303" max="12303" width="13.5703125" style="68" customWidth="1"/>
    <col min="12304" max="12304" width="13" style="68" customWidth="1"/>
    <col min="12305" max="12543" width="9.140625" style="68"/>
    <col min="12544" max="12544" width="3.7109375" style="68" customWidth="1"/>
    <col min="12545" max="12545" width="4" style="68" bestFit="1" customWidth="1"/>
    <col min="12546" max="12546" width="14.5703125" style="68" customWidth="1"/>
    <col min="12547" max="12547" width="11.140625" style="68" customWidth="1"/>
    <col min="12548" max="12548" width="8.7109375" style="68" customWidth="1"/>
    <col min="12549" max="12549" width="9.7109375" style="68" bestFit="1" customWidth="1"/>
    <col min="12550" max="12550" width="10.85546875" style="68" customWidth="1"/>
    <col min="12551" max="12551" width="10.42578125" style="68" customWidth="1"/>
    <col min="12552" max="12552" width="9.7109375" style="68" bestFit="1" customWidth="1"/>
    <col min="12553" max="12555" width="9.28515625" style="68" bestFit="1" customWidth="1"/>
    <col min="12556" max="12556" width="10.7109375" style="68" bestFit="1" customWidth="1"/>
    <col min="12557" max="12557" width="11.28515625" style="68" customWidth="1"/>
    <col min="12558" max="12558" width="12.5703125" style="68" customWidth="1"/>
    <col min="12559" max="12559" width="13.5703125" style="68" customWidth="1"/>
    <col min="12560" max="12560" width="13" style="68" customWidth="1"/>
    <col min="12561" max="12799" width="9.140625" style="68"/>
    <col min="12800" max="12800" width="3.7109375" style="68" customWidth="1"/>
    <col min="12801" max="12801" width="4" style="68" bestFit="1" customWidth="1"/>
    <col min="12802" max="12802" width="14.5703125" style="68" customWidth="1"/>
    <col min="12803" max="12803" width="11.140625" style="68" customWidth="1"/>
    <col min="12804" max="12804" width="8.7109375" style="68" customWidth="1"/>
    <col min="12805" max="12805" width="9.7109375" style="68" bestFit="1" customWidth="1"/>
    <col min="12806" max="12806" width="10.85546875" style="68" customWidth="1"/>
    <col min="12807" max="12807" width="10.42578125" style="68" customWidth="1"/>
    <col min="12808" max="12808" width="9.7109375" style="68" bestFit="1" customWidth="1"/>
    <col min="12809" max="12811" width="9.28515625" style="68" bestFit="1" customWidth="1"/>
    <col min="12812" max="12812" width="10.7109375" style="68" bestFit="1" customWidth="1"/>
    <col min="12813" max="12813" width="11.28515625" style="68" customWidth="1"/>
    <col min="12814" max="12814" width="12.5703125" style="68" customWidth="1"/>
    <col min="12815" max="12815" width="13.5703125" style="68" customWidth="1"/>
    <col min="12816" max="12816" width="13" style="68" customWidth="1"/>
    <col min="12817" max="13055" width="9.140625" style="68"/>
    <col min="13056" max="13056" width="3.7109375" style="68" customWidth="1"/>
    <col min="13057" max="13057" width="4" style="68" bestFit="1" customWidth="1"/>
    <col min="13058" max="13058" width="14.5703125" style="68" customWidth="1"/>
    <col min="13059" max="13059" width="11.140625" style="68" customWidth="1"/>
    <col min="13060" max="13060" width="8.7109375" style="68" customWidth="1"/>
    <col min="13061" max="13061" width="9.7109375" style="68" bestFit="1" customWidth="1"/>
    <col min="13062" max="13062" width="10.85546875" style="68" customWidth="1"/>
    <col min="13063" max="13063" width="10.42578125" style="68" customWidth="1"/>
    <col min="13064" max="13064" width="9.7109375" style="68" bestFit="1" customWidth="1"/>
    <col min="13065" max="13067" width="9.28515625" style="68" bestFit="1" customWidth="1"/>
    <col min="13068" max="13068" width="10.7109375" style="68" bestFit="1" customWidth="1"/>
    <col min="13069" max="13069" width="11.28515625" style="68" customWidth="1"/>
    <col min="13070" max="13070" width="12.5703125" style="68" customWidth="1"/>
    <col min="13071" max="13071" width="13.5703125" style="68" customWidth="1"/>
    <col min="13072" max="13072" width="13" style="68" customWidth="1"/>
    <col min="13073" max="13311" width="9.140625" style="68"/>
    <col min="13312" max="13312" width="3.7109375" style="68" customWidth="1"/>
    <col min="13313" max="13313" width="4" style="68" bestFit="1" customWidth="1"/>
    <col min="13314" max="13314" width="14.5703125" style="68" customWidth="1"/>
    <col min="13315" max="13315" width="11.140625" style="68" customWidth="1"/>
    <col min="13316" max="13316" width="8.7109375" style="68" customWidth="1"/>
    <col min="13317" max="13317" width="9.7109375" style="68" bestFit="1" customWidth="1"/>
    <col min="13318" max="13318" width="10.85546875" style="68" customWidth="1"/>
    <col min="13319" max="13319" width="10.42578125" style="68" customWidth="1"/>
    <col min="13320" max="13320" width="9.7109375" style="68" bestFit="1" customWidth="1"/>
    <col min="13321" max="13323" width="9.28515625" style="68" bestFit="1" customWidth="1"/>
    <col min="13324" max="13324" width="10.7109375" style="68" bestFit="1" customWidth="1"/>
    <col min="13325" max="13325" width="11.28515625" style="68" customWidth="1"/>
    <col min="13326" max="13326" width="12.5703125" style="68" customWidth="1"/>
    <col min="13327" max="13327" width="13.5703125" style="68" customWidth="1"/>
    <col min="13328" max="13328" width="13" style="68" customWidth="1"/>
    <col min="13329" max="13567" width="9.140625" style="68"/>
    <col min="13568" max="13568" width="3.7109375" style="68" customWidth="1"/>
    <col min="13569" max="13569" width="4" style="68" bestFit="1" customWidth="1"/>
    <col min="13570" max="13570" width="14.5703125" style="68" customWidth="1"/>
    <col min="13571" max="13571" width="11.140625" style="68" customWidth="1"/>
    <col min="13572" max="13572" width="8.7109375" style="68" customWidth="1"/>
    <col min="13573" max="13573" width="9.7109375" style="68" bestFit="1" customWidth="1"/>
    <col min="13574" max="13574" width="10.85546875" style="68" customWidth="1"/>
    <col min="13575" max="13575" width="10.42578125" style="68" customWidth="1"/>
    <col min="13576" max="13576" width="9.7109375" style="68" bestFit="1" customWidth="1"/>
    <col min="13577" max="13579" width="9.28515625" style="68" bestFit="1" customWidth="1"/>
    <col min="13580" max="13580" width="10.7109375" style="68" bestFit="1" customWidth="1"/>
    <col min="13581" max="13581" width="11.28515625" style="68" customWidth="1"/>
    <col min="13582" max="13582" width="12.5703125" style="68" customWidth="1"/>
    <col min="13583" max="13583" width="13.5703125" style="68" customWidth="1"/>
    <col min="13584" max="13584" width="13" style="68" customWidth="1"/>
    <col min="13585" max="13823" width="9.140625" style="68"/>
    <col min="13824" max="13824" width="3.7109375" style="68" customWidth="1"/>
    <col min="13825" max="13825" width="4" style="68" bestFit="1" customWidth="1"/>
    <col min="13826" max="13826" width="14.5703125" style="68" customWidth="1"/>
    <col min="13827" max="13827" width="11.140625" style="68" customWidth="1"/>
    <col min="13828" max="13828" width="8.7109375" style="68" customWidth="1"/>
    <col min="13829" max="13829" width="9.7109375" style="68" bestFit="1" customWidth="1"/>
    <col min="13830" max="13830" width="10.85546875" style="68" customWidth="1"/>
    <col min="13831" max="13831" width="10.42578125" style="68" customWidth="1"/>
    <col min="13832" max="13832" width="9.7109375" style="68" bestFit="1" customWidth="1"/>
    <col min="13833" max="13835" width="9.28515625" style="68" bestFit="1" customWidth="1"/>
    <col min="13836" max="13836" width="10.7109375" style="68" bestFit="1" customWidth="1"/>
    <col min="13837" max="13837" width="11.28515625" style="68" customWidth="1"/>
    <col min="13838" max="13838" width="12.5703125" style="68" customWidth="1"/>
    <col min="13839" max="13839" width="13.5703125" style="68" customWidth="1"/>
    <col min="13840" max="13840" width="13" style="68" customWidth="1"/>
    <col min="13841" max="14079" width="9.140625" style="68"/>
    <col min="14080" max="14080" width="3.7109375" style="68" customWidth="1"/>
    <col min="14081" max="14081" width="4" style="68" bestFit="1" customWidth="1"/>
    <col min="14082" max="14082" width="14.5703125" style="68" customWidth="1"/>
    <col min="14083" max="14083" width="11.140625" style="68" customWidth="1"/>
    <col min="14084" max="14084" width="8.7109375" style="68" customWidth="1"/>
    <col min="14085" max="14085" width="9.7109375" style="68" bestFit="1" customWidth="1"/>
    <col min="14086" max="14086" width="10.85546875" style="68" customWidth="1"/>
    <col min="14087" max="14087" width="10.42578125" style="68" customWidth="1"/>
    <col min="14088" max="14088" width="9.7109375" style="68" bestFit="1" customWidth="1"/>
    <col min="14089" max="14091" width="9.28515625" style="68" bestFit="1" customWidth="1"/>
    <col min="14092" max="14092" width="10.7109375" style="68" bestFit="1" customWidth="1"/>
    <col min="14093" max="14093" width="11.28515625" style="68" customWidth="1"/>
    <col min="14094" max="14094" width="12.5703125" style="68" customWidth="1"/>
    <col min="14095" max="14095" width="13.5703125" style="68" customWidth="1"/>
    <col min="14096" max="14096" width="13" style="68" customWidth="1"/>
    <col min="14097" max="14335" width="9.140625" style="68"/>
    <col min="14336" max="14336" width="3.7109375" style="68" customWidth="1"/>
    <col min="14337" max="14337" width="4" style="68" bestFit="1" customWidth="1"/>
    <col min="14338" max="14338" width="14.5703125" style="68" customWidth="1"/>
    <col min="14339" max="14339" width="11.140625" style="68" customWidth="1"/>
    <col min="14340" max="14340" width="8.7109375" style="68" customWidth="1"/>
    <col min="14341" max="14341" width="9.7109375" style="68" bestFit="1" customWidth="1"/>
    <col min="14342" max="14342" width="10.85546875" style="68" customWidth="1"/>
    <col min="14343" max="14343" width="10.42578125" style="68" customWidth="1"/>
    <col min="14344" max="14344" width="9.7109375" style="68" bestFit="1" customWidth="1"/>
    <col min="14345" max="14347" width="9.28515625" style="68" bestFit="1" customWidth="1"/>
    <col min="14348" max="14348" width="10.7109375" style="68" bestFit="1" customWidth="1"/>
    <col min="14349" max="14349" width="11.28515625" style="68" customWidth="1"/>
    <col min="14350" max="14350" width="12.5703125" style="68" customWidth="1"/>
    <col min="14351" max="14351" width="13.5703125" style="68" customWidth="1"/>
    <col min="14352" max="14352" width="13" style="68" customWidth="1"/>
    <col min="14353" max="14591" width="9.140625" style="68"/>
    <col min="14592" max="14592" width="3.7109375" style="68" customWidth="1"/>
    <col min="14593" max="14593" width="4" style="68" bestFit="1" customWidth="1"/>
    <col min="14594" max="14594" width="14.5703125" style="68" customWidth="1"/>
    <col min="14595" max="14595" width="11.140625" style="68" customWidth="1"/>
    <col min="14596" max="14596" width="8.7109375" style="68" customWidth="1"/>
    <col min="14597" max="14597" width="9.7109375" style="68" bestFit="1" customWidth="1"/>
    <col min="14598" max="14598" width="10.85546875" style="68" customWidth="1"/>
    <col min="14599" max="14599" width="10.42578125" style="68" customWidth="1"/>
    <col min="14600" max="14600" width="9.7109375" style="68" bestFit="1" customWidth="1"/>
    <col min="14601" max="14603" width="9.28515625" style="68" bestFit="1" customWidth="1"/>
    <col min="14604" max="14604" width="10.7109375" style="68" bestFit="1" customWidth="1"/>
    <col min="14605" max="14605" width="11.28515625" style="68" customWidth="1"/>
    <col min="14606" max="14606" width="12.5703125" style="68" customWidth="1"/>
    <col min="14607" max="14607" width="13.5703125" style="68" customWidth="1"/>
    <col min="14608" max="14608" width="13" style="68" customWidth="1"/>
    <col min="14609" max="14847" width="9.140625" style="68"/>
    <col min="14848" max="14848" width="3.7109375" style="68" customWidth="1"/>
    <col min="14849" max="14849" width="4" style="68" bestFit="1" customWidth="1"/>
    <col min="14850" max="14850" width="14.5703125" style="68" customWidth="1"/>
    <col min="14851" max="14851" width="11.140625" style="68" customWidth="1"/>
    <col min="14852" max="14852" width="8.7109375" style="68" customWidth="1"/>
    <col min="14853" max="14853" width="9.7109375" style="68" bestFit="1" customWidth="1"/>
    <col min="14854" max="14854" width="10.85546875" style="68" customWidth="1"/>
    <col min="14855" max="14855" width="10.42578125" style="68" customWidth="1"/>
    <col min="14856" max="14856" width="9.7109375" style="68" bestFit="1" customWidth="1"/>
    <col min="14857" max="14859" width="9.28515625" style="68" bestFit="1" customWidth="1"/>
    <col min="14860" max="14860" width="10.7109375" style="68" bestFit="1" customWidth="1"/>
    <col min="14861" max="14861" width="11.28515625" style="68" customWidth="1"/>
    <col min="14862" max="14862" width="12.5703125" style="68" customWidth="1"/>
    <col min="14863" max="14863" width="13.5703125" style="68" customWidth="1"/>
    <col min="14864" max="14864" width="13" style="68" customWidth="1"/>
    <col min="14865" max="15103" width="9.140625" style="68"/>
    <col min="15104" max="15104" width="3.7109375" style="68" customWidth="1"/>
    <col min="15105" max="15105" width="4" style="68" bestFit="1" customWidth="1"/>
    <col min="15106" max="15106" width="14.5703125" style="68" customWidth="1"/>
    <col min="15107" max="15107" width="11.140625" style="68" customWidth="1"/>
    <col min="15108" max="15108" width="8.7109375" style="68" customWidth="1"/>
    <col min="15109" max="15109" width="9.7109375" style="68" bestFit="1" customWidth="1"/>
    <col min="15110" max="15110" width="10.85546875" style="68" customWidth="1"/>
    <col min="15111" max="15111" width="10.42578125" style="68" customWidth="1"/>
    <col min="15112" max="15112" width="9.7109375" style="68" bestFit="1" customWidth="1"/>
    <col min="15113" max="15115" width="9.28515625" style="68" bestFit="1" customWidth="1"/>
    <col min="15116" max="15116" width="10.7109375" style="68" bestFit="1" customWidth="1"/>
    <col min="15117" max="15117" width="11.28515625" style="68" customWidth="1"/>
    <col min="15118" max="15118" width="12.5703125" style="68" customWidth="1"/>
    <col min="15119" max="15119" width="13.5703125" style="68" customWidth="1"/>
    <col min="15120" max="15120" width="13" style="68" customWidth="1"/>
    <col min="15121" max="15359" width="9.140625" style="68"/>
    <col min="15360" max="15360" width="3.7109375" style="68" customWidth="1"/>
    <col min="15361" max="15361" width="4" style="68" bestFit="1" customWidth="1"/>
    <col min="15362" max="15362" width="14.5703125" style="68" customWidth="1"/>
    <col min="15363" max="15363" width="11.140625" style="68" customWidth="1"/>
    <col min="15364" max="15364" width="8.7109375" style="68" customWidth="1"/>
    <col min="15365" max="15365" width="9.7109375" style="68" bestFit="1" customWidth="1"/>
    <col min="15366" max="15366" width="10.85546875" style="68" customWidth="1"/>
    <col min="15367" max="15367" width="10.42578125" style="68" customWidth="1"/>
    <col min="15368" max="15368" width="9.7109375" style="68" bestFit="1" customWidth="1"/>
    <col min="15369" max="15371" width="9.28515625" style="68" bestFit="1" customWidth="1"/>
    <col min="15372" max="15372" width="10.7109375" style="68" bestFit="1" customWidth="1"/>
    <col min="15373" max="15373" width="11.28515625" style="68" customWidth="1"/>
    <col min="15374" max="15374" width="12.5703125" style="68" customWidth="1"/>
    <col min="15375" max="15375" width="13.5703125" style="68" customWidth="1"/>
    <col min="15376" max="15376" width="13" style="68" customWidth="1"/>
    <col min="15377" max="15615" width="9.140625" style="68"/>
    <col min="15616" max="15616" width="3.7109375" style="68" customWidth="1"/>
    <col min="15617" max="15617" width="4" style="68" bestFit="1" customWidth="1"/>
    <col min="15618" max="15618" width="14.5703125" style="68" customWidth="1"/>
    <col min="15619" max="15619" width="11.140625" style="68" customWidth="1"/>
    <col min="15620" max="15620" width="8.7109375" style="68" customWidth="1"/>
    <col min="15621" max="15621" width="9.7109375" style="68" bestFit="1" customWidth="1"/>
    <col min="15622" max="15622" width="10.85546875" style="68" customWidth="1"/>
    <col min="15623" max="15623" width="10.42578125" style="68" customWidth="1"/>
    <col min="15624" max="15624" width="9.7109375" style="68" bestFit="1" customWidth="1"/>
    <col min="15625" max="15627" width="9.28515625" style="68" bestFit="1" customWidth="1"/>
    <col min="15628" max="15628" width="10.7109375" style="68" bestFit="1" customWidth="1"/>
    <col min="15629" max="15629" width="11.28515625" style="68" customWidth="1"/>
    <col min="15630" max="15630" width="12.5703125" style="68" customWidth="1"/>
    <col min="15631" max="15631" width="13.5703125" style="68" customWidth="1"/>
    <col min="15632" max="15632" width="13" style="68" customWidth="1"/>
    <col min="15633" max="15871" width="9.140625" style="68"/>
    <col min="15872" max="15872" width="3.7109375" style="68" customWidth="1"/>
    <col min="15873" max="15873" width="4" style="68" bestFit="1" customWidth="1"/>
    <col min="15874" max="15874" width="14.5703125" style="68" customWidth="1"/>
    <col min="15875" max="15875" width="11.140625" style="68" customWidth="1"/>
    <col min="15876" max="15876" width="8.7109375" style="68" customWidth="1"/>
    <col min="15877" max="15877" width="9.7109375" style="68" bestFit="1" customWidth="1"/>
    <col min="15878" max="15878" width="10.85546875" style="68" customWidth="1"/>
    <col min="15879" max="15879" width="10.42578125" style="68" customWidth="1"/>
    <col min="15880" max="15880" width="9.7109375" style="68" bestFit="1" customWidth="1"/>
    <col min="15881" max="15883" width="9.28515625" style="68" bestFit="1" customWidth="1"/>
    <col min="15884" max="15884" width="10.7109375" style="68" bestFit="1" customWidth="1"/>
    <col min="15885" max="15885" width="11.28515625" style="68" customWidth="1"/>
    <col min="15886" max="15886" width="12.5703125" style="68" customWidth="1"/>
    <col min="15887" max="15887" width="13.5703125" style="68" customWidth="1"/>
    <col min="15888" max="15888" width="13" style="68" customWidth="1"/>
    <col min="15889" max="16127" width="9.140625" style="68"/>
    <col min="16128" max="16128" width="3.7109375" style="68" customWidth="1"/>
    <col min="16129" max="16129" width="4" style="68" bestFit="1" customWidth="1"/>
    <col min="16130" max="16130" width="14.5703125" style="68" customWidth="1"/>
    <col min="16131" max="16131" width="11.140625" style="68" customWidth="1"/>
    <col min="16132" max="16132" width="8.7109375" style="68" customWidth="1"/>
    <col min="16133" max="16133" width="9.7109375" style="68" bestFit="1" customWidth="1"/>
    <col min="16134" max="16134" width="10.85546875" style="68" customWidth="1"/>
    <col min="16135" max="16135" width="10.42578125" style="68" customWidth="1"/>
    <col min="16136" max="16136" width="9.7109375" style="68" bestFit="1" customWidth="1"/>
    <col min="16137" max="16139" width="9.28515625" style="68" bestFit="1" customWidth="1"/>
    <col min="16140" max="16140" width="10.7109375" style="68" bestFit="1" customWidth="1"/>
    <col min="16141" max="16141" width="11.28515625" style="68" customWidth="1"/>
    <col min="16142" max="16142" width="12.5703125" style="68" customWidth="1"/>
    <col min="16143" max="16143" width="13.5703125" style="68" customWidth="1"/>
    <col min="16144" max="16144" width="13" style="68" customWidth="1"/>
    <col min="16145" max="16384" width="9.140625" style="68"/>
  </cols>
  <sheetData>
    <row r="2" spans="2:20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0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</row>
    <row r="4" spans="2:20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348</v>
      </c>
      <c r="R4" s="67"/>
    </row>
    <row r="5" spans="2:20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20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20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20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T8" s="68" t="s">
        <v>262</v>
      </c>
    </row>
    <row r="9" spans="2:20">
      <c r="B9" s="89">
        <v>1</v>
      </c>
      <c r="C9" s="474" t="s">
        <v>263</v>
      </c>
      <c r="D9" s="475"/>
      <c r="E9" s="74">
        <f>'28'!L9</f>
        <v>23845.993048984186</v>
      </c>
      <c r="F9" s="74">
        <f>Production2!D31</f>
        <v>3619.96</v>
      </c>
      <c r="G9" s="74">
        <f>F9+'28'!G9</f>
        <v>83264.080000000016</v>
      </c>
      <c r="H9" s="74">
        <f>F9+'28'!H9</f>
        <v>240131.36000000004</v>
      </c>
      <c r="I9" s="74">
        <f>Production2!E31</f>
        <v>2626</v>
      </c>
      <c r="J9" s="74">
        <f>I9+'28'!J9</f>
        <v>65421</v>
      </c>
      <c r="K9" s="74">
        <f>I9+'28'!K9</f>
        <v>205452</v>
      </c>
      <c r="L9" s="74">
        <f>E9+F9-I9-I23</f>
        <v>24475.486382408188</v>
      </c>
      <c r="M9" s="75">
        <f>I9</f>
        <v>2626</v>
      </c>
      <c r="N9" s="75">
        <f>(I9/I15)*100</f>
        <v>95.73459715639811</v>
      </c>
      <c r="O9" s="515"/>
      <c r="P9" s="285">
        <v>10</v>
      </c>
      <c r="Q9" s="261">
        <f>'Raw mill moisture content'!L35</f>
        <v>9.9999999999999908E-2</v>
      </c>
    </row>
    <row r="10" spans="2:20" ht="13.9" customHeight="1">
      <c r="B10" s="79">
        <v>2</v>
      </c>
      <c r="C10" s="516" t="s">
        <v>75</v>
      </c>
      <c r="D10" s="516"/>
      <c r="E10" s="77">
        <f>'Mines (2)'!L31</f>
        <v>3879.2799999999997</v>
      </c>
      <c r="F10" s="77">
        <f>'Mines (2)'!M31</f>
        <v>0</v>
      </c>
      <c r="G10" s="74">
        <f>F10+'28'!G10</f>
        <v>2130.84</v>
      </c>
      <c r="H10" s="74">
        <f>F10+'28'!H10</f>
        <v>7400.2400000000007</v>
      </c>
      <c r="I10" s="77">
        <f>'Mines (2)'!N31</f>
        <v>14</v>
      </c>
      <c r="J10" s="74">
        <f>I10+'28'!J10</f>
        <v>1177</v>
      </c>
      <c r="K10" s="74">
        <f>I10+'28'!K10</f>
        <v>3659</v>
      </c>
      <c r="L10" s="77">
        <f t="shared" ref="L10:L12" si="0">E10+F10-I10</f>
        <v>3865.2799999999997</v>
      </c>
      <c r="M10" s="75">
        <f t="shared" ref="M10:M14" si="1">I10</f>
        <v>14</v>
      </c>
      <c r="N10" s="75">
        <f>(I10/I15)*100</f>
        <v>0.51039008384979945</v>
      </c>
      <c r="O10" s="515"/>
      <c r="P10" s="53">
        <v>10</v>
      </c>
      <c r="Q10" s="262">
        <f>'Raw mill moisture content'!M35</f>
        <v>9.9999999999999964E-2</v>
      </c>
    </row>
    <row r="11" spans="2:20">
      <c r="B11" s="79">
        <v>3</v>
      </c>
      <c r="C11" s="516" t="s">
        <v>77</v>
      </c>
      <c r="D11" s="516"/>
      <c r="E11" s="77">
        <f>Clinker!C31</f>
        <v>1142.2400000000002</v>
      </c>
      <c r="F11" s="77">
        <f>Clinker!D31</f>
        <v>62.6</v>
      </c>
      <c r="G11" s="74">
        <f>F11+'28'!G11</f>
        <v>190.92</v>
      </c>
      <c r="H11" s="74">
        <f>F11+'28'!H11</f>
        <v>608.20000000000005</v>
      </c>
      <c r="I11" s="77">
        <f>Clinker!E31</f>
        <v>77</v>
      </c>
      <c r="J11" s="74">
        <f>I11+'28'!J11</f>
        <v>1711</v>
      </c>
      <c r="K11" s="74">
        <f>I11+'28'!K11</f>
        <v>4846</v>
      </c>
      <c r="L11" s="77">
        <f t="shared" si="0"/>
        <v>1127.8400000000001</v>
      </c>
      <c r="M11" s="75">
        <f t="shared" si="1"/>
        <v>77</v>
      </c>
      <c r="N11" s="75">
        <f>(I11/I15)*100</f>
        <v>2.8071454611738971</v>
      </c>
      <c r="O11" s="515"/>
      <c r="P11" s="53">
        <v>7</v>
      </c>
      <c r="Q11" s="262">
        <f>'Raw mill moisture content'!N35</f>
        <v>6.9999999999999854E-2</v>
      </c>
    </row>
    <row r="12" spans="2:20" ht="13.9" customHeight="1">
      <c r="B12" s="79">
        <v>4</v>
      </c>
      <c r="C12" s="516" t="s">
        <v>264</v>
      </c>
      <c r="D12" s="516"/>
      <c r="E12" s="77">
        <f>'Mines (2)'!Q31</f>
        <v>3.999999999996362E-2</v>
      </c>
      <c r="F12" s="77">
        <f>'Mines (2)'!R31</f>
        <v>0</v>
      </c>
      <c r="G12" s="74">
        <f>F12+'28'!G12</f>
        <v>0</v>
      </c>
      <c r="H12" s="74">
        <f>F12+'28'!H12</f>
        <v>137.76</v>
      </c>
      <c r="I12" s="77">
        <f>'Mines (2)'!S31</f>
        <v>0</v>
      </c>
      <c r="J12" s="74">
        <f>I12+'28'!J12</f>
        <v>0</v>
      </c>
      <c r="K12" s="74">
        <f>I12+'28'!K12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</row>
    <row r="13" spans="2:20" ht="13.9" customHeight="1">
      <c r="B13" s="199">
        <v>5</v>
      </c>
      <c r="C13" s="501" t="s">
        <v>8</v>
      </c>
      <c r="D13" s="502"/>
      <c r="E13" s="77">
        <f>'Mines (2)'!AH31</f>
        <v>266.44</v>
      </c>
      <c r="F13" s="77">
        <f>'Mines (2)'!AI31</f>
        <v>31.06</v>
      </c>
      <c r="G13" s="74">
        <f>F13+'28'!G13</f>
        <v>152.13999999999999</v>
      </c>
      <c r="H13" s="74">
        <f>F13+'28'!H13</f>
        <v>152.13999999999999</v>
      </c>
      <c r="I13" s="77">
        <f>'Mines (2)'!AJ31</f>
        <v>26</v>
      </c>
      <c r="J13" s="74">
        <f>I13+'28'!J13</f>
        <v>179</v>
      </c>
      <c r="K13" s="74">
        <f>I13+'28'!K13</f>
        <v>179</v>
      </c>
      <c r="L13" s="77">
        <f>E13+F13-I13</f>
        <v>271.5</v>
      </c>
      <c r="M13" s="75">
        <f t="shared" si="1"/>
        <v>26</v>
      </c>
      <c r="N13" s="75">
        <f>(I13/I15)*100</f>
        <v>0.94786729857819907</v>
      </c>
      <c r="O13" s="515"/>
      <c r="P13" s="95">
        <v>7</v>
      </c>
      <c r="Q13" s="262">
        <v>7.0000000000000007E-2</v>
      </c>
    </row>
    <row r="14" spans="2:20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F14+'28'!G14</f>
        <v>0</v>
      </c>
      <c r="H14" s="74">
        <f>F14+'28'!H14</f>
        <v>0</v>
      </c>
      <c r="I14" s="77">
        <v>0</v>
      </c>
      <c r="J14" s="74">
        <f>I14+'28'!J14</f>
        <v>0</v>
      </c>
      <c r="K14" s="74">
        <f>I14+'28'!K14</f>
        <v>0</v>
      </c>
      <c r="L14" s="77">
        <f t="shared" ref="L14" si="2">E14+F14-I14</f>
        <v>0</v>
      </c>
      <c r="M14" s="75">
        <f t="shared" si="1"/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0" ht="13.9" customHeight="1">
      <c r="B15" s="79" t="s">
        <v>262</v>
      </c>
      <c r="C15" s="521" t="s">
        <v>265</v>
      </c>
      <c r="D15" s="521"/>
      <c r="E15" s="127">
        <f>SUM(E9:E14)</f>
        <v>29133.993048984186</v>
      </c>
      <c r="F15" s="127">
        <f t="shared" ref="F15:N15" si="3">SUM(F9:F14)</f>
        <v>3713.62</v>
      </c>
      <c r="G15" s="127">
        <f t="shared" si="3"/>
        <v>85737.98000000001</v>
      </c>
      <c r="H15" s="127">
        <f t="shared" si="3"/>
        <v>248429.70000000007</v>
      </c>
      <c r="I15" s="127">
        <f t="shared" si="3"/>
        <v>2743</v>
      </c>
      <c r="J15" s="127">
        <f t="shared" si="3"/>
        <v>68488</v>
      </c>
      <c r="K15" s="127">
        <f t="shared" si="3"/>
        <v>214874</v>
      </c>
      <c r="L15" s="127">
        <f t="shared" si="3"/>
        <v>29740.146382408187</v>
      </c>
      <c r="M15" s="127">
        <f t="shared" si="3"/>
        <v>2743</v>
      </c>
      <c r="N15" s="127">
        <f t="shared" si="3"/>
        <v>100.00000000000001</v>
      </c>
      <c r="O15" s="515"/>
      <c r="P15" s="522"/>
      <c r="Q15" s="523"/>
    </row>
    <row r="16" spans="2:20">
      <c r="B16" s="512">
        <v>6</v>
      </c>
      <c r="C16" s="517" t="s">
        <v>266</v>
      </c>
      <c r="D16" s="80" t="s">
        <v>63</v>
      </c>
      <c r="E16" s="77">
        <f>Clinker!EB31</f>
        <v>2916.0469999999905</v>
      </c>
      <c r="F16" s="77">
        <f>Clinker!EC31</f>
        <v>559.94000000000005</v>
      </c>
      <c r="G16" s="77">
        <f>F16+'28'!G16</f>
        <v>5537.4600000000009</v>
      </c>
      <c r="H16" s="77">
        <f>F16+'28'!H16</f>
        <v>6342.7000000000007</v>
      </c>
      <c r="I16" s="77">
        <f>Clinker!ED31</f>
        <v>246</v>
      </c>
      <c r="J16" s="77">
        <f>I16+'28'!J16</f>
        <v>6925.5499999999984</v>
      </c>
      <c r="K16" s="77">
        <f>I16+'28'!K16</f>
        <v>21642.859999999997</v>
      </c>
      <c r="L16" s="77">
        <f>E16+F16-I16-Clinker!N31-Clinker!Z31-Clinker!AS31-Clinker!AX31-Clinker!BC31-Clinker!BW31-Clinker!BH31-Clinker!BM31-Clinker!BR31-Clinker!CV31-Clinker!DP31-Clinker!DF31</f>
        <v>3229.9869999999905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</row>
    <row r="17" spans="2:19">
      <c r="B17" s="512"/>
      <c r="C17" s="517"/>
      <c r="D17" s="80" t="s">
        <v>62</v>
      </c>
      <c r="E17" s="77">
        <f>Clinker!EF31</f>
        <v>3716.3699999999935</v>
      </c>
      <c r="F17" s="77">
        <f>Clinker!EG31</f>
        <v>89.65</v>
      </c>
      <c r="G17" s="77">
        <f>F17+'28'!G17</f>
        <v>3763.3000000000006</v>
      </c>
      <c r="H17" s="77">
        <f>F17+'28'!H17</f>
        <v>5904.2499999999991</v>
      </c>
      <c r="I17" s="77">
        <f>Clinker!EH31</f>
        <v>150</v>
      </c>
      <c r="J17" s="77">
        <f>I17+'28'!J17</f>
        <v>4166</v>
      </c>
      <c r="K17" s="77">
        <f>I17+'28'!K17</f>
        <v>12338</v>
      </c>
      <c r="L17" s="77">
        <f>E17+F17-Clinker!AE31-Clinker!AJ31-Clinker!CL31-Clinker!CQ31-Clinker!CG31</f>
        <v>3656.0199999999936</v>
      </c>
      <c r="M17" s="81"/>
      <c r="N17" s="81"/>
      <c r="O17" s="515"/>
      <c r="P17" s="82"/>
      <c r="Q17" s="82"/>
      <c r="R17" s="83"/>
    </row>
    <row r="18" spans="2:19">
      <c r="B18" s="512"/>
      <c r="C18" s="476"/>
      <c r="D18" s="124" t="s">
        <v>162</v>
      </c>
      <c r="E18" s="125">
        <f>E16+E17</f>
        <v>6632.416999999984</v>
      </c>
      <c r="F18" s="125">
        <f>F16+F17</f>
        <v>649.59</v>
      </c>
      <c r="G18" s="125">
        <f t="shared" ref="G18:L18" si="4">G16+G17</f>
        <v>9300.760000000002</v>
      </c>
      <c r="H18" s="125">
        <f t="shared" si="4"/>
        <v>12246.95</v>
      </c>
      <c r="I18" s="125">
        <f t="shared" si="4"/>
        <v>396</v>
      </c>
      <c r="J18" s="125">
        <f>J16+J17</f>
        <v>11091.55</v>
      </c>
      <c r="K18" s="125">
        <f t="shared" si="4"/>
        <v>33980.86</v>
      </c>
      <c r="L18" s="125">
        <f t="shared" si="4"/>
        <v>6886.0069999999841</v>
      </c>
      <c r="M18" s="126"/>
      <c r="N18" s="126"/>
      <c r="O18" s="515"/>
      <c r="P18" s="84"/>
      <c r="Q18" s="131"/>
      <c r="R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190"/>
    </row>
    <row r="20" spans="2:19">
      <c r="B20" s="512">
        <v>7</v>
      </c>
      <c r="C20" s="477" t="s">
        <v>268</v>
      </c>
      <c r="D20" s="85" t="s">
        <v>269</v>
      </c>
      <c r="E20" s="74">
        <f>Clinker!EJ31</f>
        <v>11919.641560923474</v>
      </c>
      <c r="F20" s="74">
        <f>Clinker!EK31</f>
        <v>1490</v>
      </c>
      <c r="G20" s="74">
        <f>F20+'28'!G20</f>
        <v>39948</v>
      </c>
      <c r="H20" s="74">
        <f>F20+'28'!H20</f>
        <v>125474</v>
      </c>
      <c r="I20" s="74">
        <f>Clinker!EL31</f>
        <v>2058.4120000796011</v>
      </c>
      <c r="J20" s="74">
        <f>I20+'28'!J20</f>
        <v>54542.579524917812</v>
      </c>
      <c r="K20" s="74">
        <f>I20+'28'!K20</f>
        <v>117404.31053878284</v>
      </c>
      <c r="L20" s="74">
        <f>E20+F20-I20-I22</f>
        <v>11351.229560843873</v>
      </c>
      <c r="M20" s="75">
        <f>((I20+I21)/(J42+J48))*100</f>
        <v>81.943152869410881</v>
      </c>
      <c r="N20" s="525"/>
      <c r="O20" s="527"/>
      <c r="P20" s="535"/>
      <c r="Q20" s="536"/>
      <c r="R20" s="237"/>
      <c r="S20" s="176"/>
    </row>
    <row r="21" spans="2:19" ht="45">
      <c r="B21" s="512"/>
      <c r="C21" s="477"/>
      <c r="D21" s="85" t="s">
        <v>70</v>
      </c>
      <c r="E21" s="74">
        <f>Clinker!EO31</f>
        <v>89.258008000135931</v>
      </c>
      <c r="F21" s="74">
        <f>Clinker!EP31</f>
        <v>0</v>
      </c>
      <c r="G21" s="74">
        <f>F21+'28'!G21</f>
        <v>0</v>
      </c>
      <c r="H21" s="74">
        <f>F21+'28'!H21</f>
        <v>13390.660000000003</v>
      </c>
      <c r="I21" s="74">
        <f>Clinker!EQ31</f>
        <v>0</v>
      </c>
      <c r="J21" s="74">
        <f>I21+'28'!J21</f>
        <v>5216.8510000000006</v>
      </c>
      <c r="K21" s="74">
        <f>I21+'28'!K21</f>
        <v>22150.950999999997</v>
      </c>
      <c r="L21" s="74">
        <f>E21+F21-I21</f>
        <v>89.258008000135931</v>
      </c>
      <c r="M21" s="75"/>
      <c r="N21" s="525"/>
      <c r="O21" s="527"/>
      <c r="P21" s="535"/>
      <c r="Q21" s="536"/>
      <c r="R21" s="190"/>
    </row>
    <row r="22" spans="2:19" ht="30">
      <c r="B22" s="512"/>
      <c r="C22" s="524"/>
      <c r="D22" s="86" t="s">
        <v>270</v>
      </c>
      <c r="E22" s="77"/>
      <c r="F22" s="77">
        <v>0</v>
      </c>
      <c r="G22" s="74">
        <f>F22+'28'!G22</f>
        <v>0</v>
      </c>
      <c r="H22" s="74">
        <f>F22+'28'!H22</f>
        <v>0</v>
      </c>
      <c r="I22" s="77">
        <f>Clinker!EN31</f>
        <v>0</v>
      </c>
      <c r="J22" s="74">
        <f>I22+'28'!J22</f>
        <v>0</v>
      </c>
      <c r="K22" s="74">
        <f>I22+'28'!K22</f>
        <v>0</v>
      </c>
      <c r="L22" s="74"/>
      <c r="M22" s="78"/>
      <c r="N22" s="526"/>
      <c r="O22" s="527"/>
      <c r="P22" s="570"/>
      <c r="Q22" s="571"/>
      <c r="R22" s="20"/>
    </row>
    <row r="23" spans="2:19">
      <c r="B23" s="89">
        <v>8</v>
      </c>
      <c r="C23" s="73" t="s">
        <v>263</v>
      </c>
      <c r="D23" s="88"/>
      <c r="E23" s="77"/>
      <c r="F23" s="77"/>
      <c r="G23" s="75"/>
      <c r="H23" s="74"/>
      <c r="I23" s="77">
        <f>Cement!S31</f>
        <v>364.4666665759986</v>
      </c>
      <c r="J23" s="74">
        <f>I23+'28'!J23</f>
        <v>12835.39387992298</v>
      </c>
      <c r="K23" s="74">
        <f>I23+'28'!K23</f>
        <v>33308.745314775661</v>
      </c>
      <c r="L23" s="74"/>
      <c r="M23" s="78">
        <f>(I23/(J42+J48))*100</f>
        <v>14.509023350955358</v>
      </c>
      <c r="N23" s="78"/>
      <c r="O23" s="527"/>
      <c r="P23" s="87">
        <v>10</v>
      </c>
      <c r="Q23" s="572"/>
      <c r="R23" s="20"/>
    </row>
    <row r="24" spans="2:19">
      <c r="B24" s="89">
        <v>9</v>
      </c>
      <c r="C24" s="517" t="s">
        <v>271</v>
      </c>
      <c r="D24" s="517"/>
      <c r="E24" s="77">
        <f>Cement!C31</f>
        <v>3164.9014750505844</v>
      </c>
      <c r="F24" s="77">
        <f>Cement!D31</f>
        <v>214.1</v>
      </c>
      <c r="G24" s="74">
        <f>F24+'28'!G24</f>
        <v>2997.7599999999998</v>
      </c>
      <c r="H24" s="74">
        <f>F24+'28'!H24</f>
        <v>5124.38</v>
      </c>
      <c r="I24" s="77">
        <f>Cement!F31</f>
        <v>132.17684210736846</v>
      </c>
      <c r="J24" s="74">
        <f>I24+'28'!J24</f>
        <v>3959.2659043814233</v>
      </c>
      <c r="K24" s="74">
        <f>I24+'28'!K24</f>
        <v>9322.9354262065681</v>
      </c>
      <c r="L24" s="74">
        <f t="shared" ref="L24:L26" si="5">E24+F24-I24</f>
        <v>3246.8246329432159</v>
      </c>
      <c r="M24" s="78">
        <f>(I24/(J42+J48))*100</f>
        <v>5.2618169628729481</v>
      </c>
      <c r="N24" s="78"/>
      <c r="O24" s="527"/>
      <c r="P24" s="87">
        <v>5</v>
      </c>
      <c r="Q24" s="573"/>
      <c r="R24" s="20"/>
    </row>
    <row r="25" spans="2:19">
      <c r="B25" s="512">
        <v>10</v>
      </c>
      <c r="C25" s="476" t="s">
        <v>272</v>
      </c>
      <c r="D25" s="76" t="s">
        <v>82</v>
      </c>
      <c r="E25" s="77">
        <f>Cement!H31</f>
        <v>0.23999999999796273</v>
      </c>
      <c r="F25" s="77">
        <f>Cement!I31</f>
        <v>0</v>
      </c>
      <c r="G25" s="74">
        <f>F25+'28'!G25</f>
        <v>0</v>
      </c>
      <c r="H25" s="74">
        <f>F25+'28'!H25</f>
        <v>0</v>
      </c>
      <c r="I25" s="77">
        <f>Cement!J31</f>
        <v>0</v>
      </c>
      <c r="J25" s="74">
        <f>I25+'28'!J25</f>
        <v>0</v>
      </c>
      <c r="K25" s="74">
        <f>I25+'28'!K25</f>
        <v>0</v>
      </c>
      <c r="L25" s="74">
        <f t="shared" si="5"/>
        <v>0.23999999999796273</v>
      </c>
      <c r="M25" s="532"/>
      <c r="N25" s="532"/>
      <c r="O25" s="527"/>
      <c r="P25" s="533"/>
      <c r="Q25" s="534"/>
      <c r="R25" s="83"/>
    </row>
    <row r="26" spans="2:19">
      <c r="B26" s="512"/>
      <c r="C26" s="524"/>
      <c r="D26" s="76" t="s">
        <v>273</v>
      </c>
      <c r="E26" s="77">
        <f>Cement!L31</f>
        <v>0</v>
      </c>
      <c r="F26" s="77">
        <f>Cement!M31</f>
        <v>0</v>
      </c>
      <c r="G26" s="74">
        <f>F26+'28'!G26</f>
        <v>0</v>
      </c>
      <c r="H26" s="74">
        <f>F26+'28'!H26</f>
        <v>0</v>
      </c>
      <c r="I26" s="77">
        <f>Cement!N31</f>
        <v>0</v>
      </c>
      <c r="J26" s="74">
        <f>I26+'28'!J26</f>
        <v>0</v>
      </c>
      <c r="K26" s="74">
        <f>I26+'28'!K26</f>
        <v>0</v>
      </c>
      <c r="L26" s="74">
        <f t="shared" si="5"/>
        <v>0</v>
      </c>
      <c r="M26" s="532"/>
      <c r="N26" s="532"/>
      <c r="O26" s="527"/>
      <c r="P26" s="535"/>
      <c r="Q26" s="536"/>
      <c r="R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15174.041043974192</v>
      </c>
      <c r="F27" s="122">
        <f t="shared" ref="F27:L27" si="6">F20+F21+F23+F24+F25+F26</f>
        <v>1704.1</v>
      </c>
      <c r="G27" s="122">
        <f t="shared" si="6"/>
        <v>42945.760000000002</v>
      </c>
      <c r="H27" s="122">
        <f t="shared" si="6"/>
        <v>143989.04</v>
      </c>
      <c r="I27" s="122">
        <f>I20+I21+I23+I24+I25+I26</f>
        <v>2555.0555087629682</v>
      </c>
      <c r="J27" s="122">
        <f t="shared" si="6"/>
        <v>76554.090309222214</v>
      </c>
      <c r="K27" s="122">
        <f t="shared" si="6"/>
        <v>182186.94227976503</v>
      </c>
      <c r="L27" s="122">
        <f t="shared" si="6"/>
        <v>14687.552201787221</v>
      </c>
      <c r="M27" s="540"/>
      <c r="N27" s="540"/>
      <c r="O27" s="528"/>
      <c r="P27" s="537"/>
      <c r="Q27" s="538"/>
      <c r="R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Production2!C31</f>
        <v>18.5</v>
      </c>
      <c r="G32" s="75">
        <f>F32+'28'!G32</f>
        <v>530.48</v>
      </c>
      <c r="H32" s="75">
        <f>F32+'28'!H32</f>
        <v>1499.6100000000001</v>
      </c>
      <c r="I32" s="74">
        <f>'Mines (2)'!C31+'Mines (2)'!H31+'Mines (2)'!V31+'Mines (2)'!Z31+'Mines (2)'!AD31</f>
        <v>23845.99304898419</v>
      </c>
      <c r="J32" s="74">
        <f>Production2!D31</f>
        <v>3619.96</v>
      </c>
      <c r="K32" s="74">
        <f>J32+'28'!K32</f>
        <v>83264.080000000016</v>
      </c>
      <c r="L32" s="74">
        <f>J32+'28'!L32</f>
        <v>240131.36000000004</v>
      </c>
      <c r="M32" s="74">
        <f>I9+I23</f>
        <v>2990.4666665759987</v>
      </c>
      <c r="N32" s="74">
        <f>M32+'28'!N32</f>
        <v>78256.39387992298</v>
      </c>
      <c r="O32" s="74">
        <f>M32+'28'!O32</f>
        <v>238760.74531477562</v>
      </c>
      <c r="P32" s="74">
        <f>I32+J32-M32</f>
        <v>24475.486382408191</v>
      </c>
      <c r="Q32" s="93">
        <f>J32/F32</f>
        <v>195.67351351351351</v>
      </c>
      <c r="R32" s="94"/>
      <c r="S32" s="176"/>
    </row>
    <row r="33" spans="2:19">
      <c r="B33" s="79">
        <v>2</v>
      </c>
      <c r="C33" s="501" t="s">
        <v>322</v>
      </c>
      <c r="D33" s="502"/>
      <c r="E33" s="95">
        <v>120</v>
      </c>
      <c r="F33" s="78">
        <f>Production2!G31</f>
        <v>19.87</v>
      </c>
      <c r="G33" s="75">
        <f>F33+'28'!G33</f>
        <v>508.76000000000005</v>
      </c>
      <c r="H33" s="75">
        <f>F33+'28'!H33</f>
        <v>1578.2999999999993</v>
      </c>
      <c r="I33" s="541">
        <f>Production2!H31</f>
        <v>881.85001683751807</v>
      </c>
      <c r="J33" s="77">
        <f>Production2!N31</f>
        <v>2320</v>
      </c>
      <c r="K33" s="75">
        <f>J33+'28'!K33</f>
        <v>58412.959999999999</v>
      </c>
      <c r="L33" s="74">
        <f>J33+'28'!L33</f>
        <v>184698.55</v>
      </c>
      <c r="M33" s="541">
        <f>Production2!K31</f>
        <v>2309.5</v>
      </c>
      <c r="N33" s="541">
        <f>M33+'28'!N33</f>
        <v>61919.400000000009</v>
      </c>
      <c r="O33" s="541">
        <f>M33+'28'!O33</f>
        <v>194484.69999999998</v>
      </c>
      <c r="P33" s="541">
        <f>I33+J34+J33-M33</f>
        <v>1044.140016837518</v>
      </c>
      <c r="Q33" s="96">
        <f t="shared" ref="Q33:Q47" si="7">J33/F33</f>
        <v>116.75893306492199</v>
      </c>
      <c r="R33" s="94"/>
    </row>
    <row r="34" spans="2:19">
      <c r="B34" s="91">
        <v>3</v>
      </c>
      <c r="C34" s="501" t="s">
        <v>283</v>
      </c>
      <c r="D34" s="502"/>
      <c r="E34" s="95">
        <v>20</v>
      </c>
      <c r="F34" s="78">
        <f>Production2!P31</f>
        <v>19.07</v>
      </c>
      <c r="G34" s="75">
        <f>F34+'28'!G34</f>
        <v>371.97999999999996</v>
      </c>
      <c r="H34" s="75">
        <f>F34+'28'!H34</f>
        <v>987.65000000000009</v>
      </c>
      <c r="I34" s="473"/>
      <c r="J34" s="78">
        <f>Production2!Q31</f>
        <v>151.79</v>
      </c>
      <c r="K34" s="75">
        <f>J34+'28'!K34</f>
        <v>3282.94</v>
      </c>
      <c r="L34" s="74">
        <f>J34+'28'!L34</f>
        <v>8836.5600000000031</v>
      </c>
      <c r="M34" s="473"/>
      <c r="N34" s="473"/>
      <c r="O34" s="473"/>
      <c r="P34" s="473"/>
      <c r="Q34" s="96">
        <f>J34/F34</f>
        <v>7.9596224436287359</v>
      </c>
      <c r="R34" s="94"/>
    </row>
    <row r="35" spans="2:19">
      <c r="B35" s="79">
        <v>4</v>
      </c>
      <c r="C35" s="501" t="s">
        <v>157</v>
      </c>
      <c r="D35" s="502"/>
      <c r="E35" s="95">
        <v>10</v>
      </c>
      <c r="F35" s="78">
        <f>Production2!S31</f>
        <v>15.98</v>
      </c>
      <c r="G35" s="75">
        <f>F35+'28'!G35</f>
        <v>462.84</v>
      </c>
      <c r="H35" s="75">
        <f>F35+'28'!H35</f>
        <v>1416.17</v>
      </c>
      <c r="I35" s="77">
        <f>Production2!T31</f>
        <v>46.709999999999809</v>
      </c>
      <c r="J35" s="78">
        <f>Production2!U31</f>
        <v>221.4</v>
      </c>
      <c r="K35" s="74">
        <f>J35+'28'!K35</f>
        <v>6233.0000000000009</v>
      </c>
      <c r="L35" s="74">
        <f>J35+'28'!L35</f>
        <v>19478.599999999995</v>
      </c>
      <c r="M35" s="77">
        <f>Production2!V31</f>
        <v>226</v>
      </c>
      <c r="N35" s="74">
        <f>M35+'28'!N35</f>
        <v>6233</v>
      </c>
      <c r="O35" s="74">
        <f>M35+'28'!O35</f>
        <v>19452</v>
      </c>
      <c r="P35" s="74">
        <f t="shared" ref="P35:P36" si="8">I35+J35-M35</f>
        <v>42.109999999999786</v>
      </c>
      <c r="Q35" s="96">
        <f t="shared" si="7"/>
        <v>13.854818523153943</v>
      </c>
      <c r="R35" s="94"/>
    </row>
    <row r="36" spans="2:19">
      <c r="B36" s="91">
        <v>5</v>
      </c>
      <c r="C36" s="501" t="s">
        <v>63</v>
      </c>
      <c r="D36" s="502"/>
      <c r="E36" s="95">
        <v>50</v>
      </c>
      <c r="F36" s="78">
        <f>Production2!Y31</f>
        <v>22</v>
      </c>
      <c r="G36" s="75">
        <f>F36+'28'!G36</f>
        <v>647.30999999999995</v>
      </c>
      <c r="H36" s="75">
        <f>F36+'28'!H36</f>
        <v>1962.12</v>
      </c>
      <c r="I36" s="77">
        <f>Clinker!EJ31</f>
        <v>11919.641560923474</v>
      </c>
      <c r="J36" s="77">
        <f>Clinker!EK31</f>
        <v>1490</v>
      </c>
      <c r="K36" s="74">
        <f>J36+'28'!K36</f>
        <v>39948</v>
      </c>
      <c r="L36" s="74">
        <f>J36+'28'!L36</f>
        <v>125474</v>
      </c>
      <c r="M36" s="77">
        <f>Clinker!EL31</f>
        <v>2058.4120000796011</v>
      </c>
      <c r="N36" s="74">
        <f>M36+'28'!N36</f>
        <v>54542.579524917812</v>
      </c>
      <c r="O36" s="74">
        <f>M36+'28'!O36</f>
        <v>117404.31053878284</v>
      </c>
      <c r="P36" s="74">
        <f t="shared" si="8"/>
        <v>11351.229560843873</v>
      </c>
      <c r="Q36" s="96">
        <f t="shared" si="7"/>
        <v>67.727272727272734</v>
      </c>
      <c r="R36" s="94"/>
    </row>
    <row r="37" spans="2:19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Production2!AE31</f>
        <v>1</v>
      </c>
      <c r="G37" s="75">
        <f>F37+'28'!G37</f>
        <v>28.2</v>
      </c>
      <c r="H37" s="75">
        <f>F37+'28'!H37</f>
        <v>67.900000000000006</v>
      </c>
      <c r="I37" s="77">
        <f>Production2!BJ31</f>
        <v>130.19999999999993</v>
      </c>
      <c r="J37" s="77">
        <f>Production2!AF31</f>
        <v>70</v>
      </c>
      <c r="K37" s="74">
        <f>J37+'28'!K37</f>
        <v>1932</v>
      </c>
      <c r="L37" s="74">
        <f>J37+'28'!L37</f>
        <v>4566</v>
      </c>
      <c r="M37" s="77">
        <f>Production2!BL31</f>
        <v>152</v>
      </c>
      <c r="N37" s="74">
        <f>M37+'28'!N37</f>
        <v>3960</v>
      </c>
      <c r="O37" s="74">
        <f>M37+'28'!O37</f>
        <v>8998</v>
      </c>
      <c r="P37" s="74">
        <f>I37+J37+J43-M37-F61</f>
        <v>48.049999999999933</v>
      </c>
      <c r="Q37" s="96">
        <f t="shared" si="7"/>
        <v>70</v>
      </c>
      <c r="R37" s="94"/>
    </row>
    <row r="38" spans="2:19">
      <c r="B38" s="564"/>
      <c r="C38" s="477"/>
      <c r="D38" s="80" t="s">
        <v>286</v>
      </c>
      <c r="E38" s="97">
        <v>78</v>
      </c>
      <c r="F38" s="78">
        <f>Production2!AB31</f>
        <v>16.3</v>
      </c>
      <c r="G38" s="75">
        <f>F38+'28'!G38</f>
        <v>538.63</v>
      </c>
      <c r="H38" s="75">
        <f>F38+'28'!H38</f>
        <v>1037.0999999999999</v>
      </c>
      <c r="I38" s="77">
        <f>Production2!BF31</f>
        <v>398.77799999997751</v>
      </c>
      <c r="J38" s="77">
        <f>Production2!AC31</f>
        <v>1066</v>
      </c>
      <c r="K38" s="74">
        <f>J38+'28'!K38</f>
        <v>35287</v>
      </c>
      <c r="L38" s="74">
        <f>J38+'28'!L38</f>
        <v>66617</v>
      </c>
      <c r="M38" s="77">
        <f>Production2!BH31</f>
        <v>2140</v>
      </c>
      <c r="N38" s="74">
        <f>M38+'28'!N38</f>
        <v>64085.950000000004</v>
      </c>
      <c r="O38" s="74">
        <f>M38+'28'!O38</f>
        <v>144828.77999999997</v>
      </c>
      <c r="P38" s="74">
        <f>I38+J38+J44-M38-F59</f>
        <v>142.77799999997751</v>
      </c>
      <c r="Q38" s="96">
        <f t="shared" si="7"/>
        <v>65.398773006134959</v>
      </c>
      <c r="R38" s="94"/>
    </row>
    <row r="39" spans="2:19">
      <c r="B39" s="564"/>
      <c r="C39" s="477"/>
      <c r="D39" s="80" t="s">
        <v>287</v>
      </c>
      <c r="E39" s="97">
        <v>78</v>
      </c>
      <c r="F39" s="78">
        <f>Production2!AH31</f>
        <v>0</v>
      </c>
      <c r="G39" s="75">
        <f>F39+'28'!G39</f>
        <v>0</v>
      </c>
      <c r="H39" s="75">
        <f>F39+'28'!H39</f>
        <v>0</v>
      </c>
      <c r="I39" s="77">
        <f>Production2!BN31</f>
        <v>9.0000000000849845E-2</v>
      </c>
      <c r="J39" s="77">
        <f>Production2!AI31</f>
        <v>0</v>
      </c>
      <c r="K39" s="74">
        <f>J39+'28'!K39</f>
        <v>0</v>
      </c>
      <c r="L39" s="74">
        <f>J39+'28'!L39</f>
        <v>0</v>
      </c>
      <c r="M39" s="77">
        <f>Production2!BP31</f>
        <v>0</v>
      </c>
      <c r="N39" s="74">
        <f>M39+'28'!N39</f>
        <v>0</v>
      </c>
      <c r="O39" s="74">
        <f>M39+'28'!O39</f>
        <v>-0.15</v>
      </c>
      <c r="P39" s="74">
        <f>I39+J39+J45-M39-F60</f>
        <v>9.0000000000849845E-2</v>
      </c>
      <c r="Q39" s="96" t="e">
        <f t="shared" si="7"/>
        <v>#DIV/0!</v>
      </c>
      <c r="R39" s="94"/>
    </row>
    <row r="40" spans="2:19">
      <c r="B40" s="564"/>
      <c r="C40" s="477"/>
      <c r="D40" s="194" t="s">
        <v>187</v>
      </c>
      <c r="E40" s="97">
        <v>65</v>
      </c>
      <c r="F40" s="84">
        <f>Production2!AK31</f>
        <v>0</v>
      </c>
      <c r="G40" s="75">
        <f>F40+'28'!G40</f>
        <v>3</v>
      </c>
      <c r="H40" s="75">
        <f>F40+'28'!H40</f>
        <v>8</v>
      </c>
      <c r="I40" s="195">
        <f>Production2!BR31</f>
        <v>33.350000000000023</v>
      </c>
      <c r="J40" s="195">
        <v>0</v>
      </c>
      <c r="K40" s="74">
        <f>J40+'28'!K40</f>
        <v>185</v>
      </c>
      <c r="L40" s="74">
        <f>J40+'28'!L40</f>
        <v>485</v>
      </c>
      <c r="M40" s="77">
        <f>Production2!BT31</f>
        <v>150</v>
      </c>
      <c r="N40" s="74">
        <f>M40+'28'!N40</f>
        <v>2051</v>
      </c>
      <c r="O40" s="74">
        <f>M40+'28'!O40</f>
        <v>5083.5</v>
      </c>
      <c r="P40" s="74">
        <f>I40+J40+J46-M40-F61</f>
        <v>57.200000000000024</v>
      </c>
      <c r="Q40" s="96" t="e">
        <f t="shared" si="7"/>
        <v>#DIV/0!</v>
      </c>
      <c r="R40" s="94"/>
    </row>
    <row r="41" spans="2:19">
      <c r="B41" s="564"/>
      <c r="C41" s="477"/>
      <c r="D41" s="80" t="s">
        <v>288</v>
      </c>
      <c r="E41" s="97"/>
      <c r="F41" s="84">
        <f>Production2!AN31</f>
        <v>3</v>
      </c>
      <c r="G41" s="75">
        <f>F41+'28'!G41</f>
        <v>65.5</v>
      </c>
      <c r="H41" s="75">
        <f>F41+'28'!H41</f>
        <v>191.67</v>
      </c>
      <c r="I41" s="195">
        <f>Production2!BV31</f>
        <v>129.91000000000008</v>
      </c>
      <c r="J41" s="195">
        <f>Production2!AO31</f>
        <v>204</v>
      </c>
      <c r="K41" s="74">
        <f>J41+'28'!K41</f>
        <v>4484</v>
      </c>
      <c r="L41" s="74">
        <f>J41+'28'!L41</f>
        <v>12662</v>
      </c>
      <c r="M41" s="77">
        <f>Production2!BX31</f>
        <v>436.72</v>
      </c>
      <c r="N41" s="74">
        <f>M41+'28'!N41</f>
        <v>8339.2099999999991</v>
      </c>
      <c r="O41" s="74">
        <f>M41+'28'!O41</f>
        <v>22334.520000000004</v>
      </c>
      <c r="P41" s="74">
        <f>I41+J47+J41-M41-F63</f>
        <v>77.040000000000049</v>
      </c>
      <c r="Q41" s="96">
        <f t="shared" si="7"/>
        <v>68</v>
      </c>
      <c r="R41" s="94"/>
      <c r="S41" s="94"/>
    </row>
    <row r="42" spans="2:19" ht="15.75" thickBot="1">
      <c r="B42" s="565"/>
      <c r="C42" s="478"/>
      <c r="D42" s="120" t="s">
        <v>162</v>
      </c>
      <c r="E42" s="121">
        <v>70</v>
      </c>
      <c r="F42" s="132">
        <f>F37+F38+F39+F40+F41</f>
        <v>20.3</v>
      </c>
      <c r="G42" s="132">
        <f t="shared" ref="G42:H42" si="9">G37+G38+G39+G40+G41</f>
        <v>635.33000000000004</v>
      </c>
      <c r="H42" s="132">
        <f t="shared" si="9"/>
        <v>1304.67</v>
      </c>
      <c r="I42" s="122">
        <f>I37+I38+I39+I40+I41</f>
        <v>692.32799999997837</v>
      </c>
      <c r="J42" s="122">
        <f t="shared" ref="J42:P42" si="10">J37+J38+J39+J40+J41</f>
        <v>1340</v>
      </c>
      <c r="K42" s="122">
        <f t="shared" si="10"/>
        <v>41888</v>
      </c>
      <c r="L42" s="122">
        <f t="shared" si="10"/>
        <v>84330</v>
      </c>
      <c r="M42" s="122">
        <f t="shared" si="10"/>
        <v>2878.7200000000003</v>
      </c>
      <c r="N42" s="122">
        <f t="shared" si="10"/>
        <v>78436.160000000003</v>
      </c>
      <c r="O42" s="122">
        <f t="shared" si="10"/>
        <v>181244.64999999997</v>
      </c>
      <c r="P42" s="122">
        <f t="shared" si="10"/>
        <v>325.15799999997836</v>
      </c>
      <c r="Q42" s="123">
        <f>J42/F42</f>
        <v>66.009852216748769</v>
      </c>
      <c r="R42" s="94"/>
    </row>
    <row r="43" spans="2:19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Production2!AT31</f>
        <v>0</v>
      </c>
      <c r="G43" s="75">
        <f>F43+'28'!G43</f>
        <v>24.5</v>
      </c>
      <c r="H43" s="75">
        <f>F43+'28'!H43</f>
        <v>69.929999999999993</v>
      </c>
      <c r="I43" s="471"/>
      <c r="J43" s="77">
        <f>Production2!AU31</f>
        <v>0</v>
      </c>
      <c r="K43" s="74">
        <f>J43+'28'!K43</f>
        <v>1498</v>
      </c>
      <c r="L43" s="74">
        <f>J43+'28'!L43</f>
        <v>4248</v>
      </c>
      <c r="M43" s="542"/>
      <c r="N43" s="543"/>
      <c r="O43" s="543"/>
      <c r="P43" s="544"/>
      <c r="Q43" s="96" t="e">
        <f t="shared" si="7"/>
        <v>#DIV/0!</v>
      </c>
      <c r="R43" s="94"/>
    </row>
    <row r="44" spans="2:19">
      <c r="B44" s="564"/>
      <c r="C44" s="477"/>
      <c r="D44" s="80" t="s">
        <v>286</v>
      </c>
      <c r="E44" s="97">
        <v>70</v>
      </c>
      <c r="F44" s="78">
        <f>Production2!AQ31</f>
        <v>13.36</v>
      </c>
      <c r="G44" s="75">
        <f>F44+'28'!G44</f>
        <v>463.1</v>
      </c>
      <c r="H44" s="75">
        <f>F44+'28'!H44</f>
        <v>1313.51</v>
      </c>
      <c r="I44" s="472"/>
      <c r="J44" s="77">
        <f>Production2!AR31</f>
        <v>818</v>
      </c>
      <c r="K44" s="74">
        <f>J44+'28'!K44</f>
        <v>27125</v>
      </c>
      <c r="L44" s="74">
        <f>J44+'28'!L44</f>
        <v>77086</v>
      </c>
      <c r="M44" s="545"/>
      <c r="N44" s="546"/>
      <c r="O44" s="546"/>
      <c r="P44" s="547"/>
      <c r="Q44" s="96">
        <f t="shared" si="7"/>
        <v>61.227544910179645</v>
      </c>
      <c r="R44" s="94"/>
    </row>
    <row r="45" spans="2:19">
      <c r="B45" s="564"/>
      <c r="C45" s="477"/>
      <c r="D45" s="80" t="s">
        <v>287</v>
      </c>
      <c r="E45" s="97">
        <v>70</v>
      </c>
      <c r="F45" s="78">
        <f>Production2!AW31</f>
        <v>0</v>
      </c>
      <c r="G45" s="75">
        <f>F45+'28'!G45</f>
        <v>0</v>
      </c>
      <c r="H45" s="75">
        <f>F45+'28'!H45</f>
        <v>0</v>
      </c>
      <c r="I45" s="472"/>
      <c r="J45" s="77">
        <f>Production2!AX31</f>
        <v>0</v>
      </c>
      <c r="K45" s="74">
        <f>J45+'28'!K45</f>
        <v>0</v>
      </c>
      <c r="L45" s="74">
        <f>J45+'28'!L45</f>
        <v>0</v>
      </c>
      <c r="M45" s="545"/>
      <c r="N45" s="546"/>
      <c r="O45" s="546"/>
      <c r="P45" s="547"/>
      <c r="Q45" s="96" t="e">
        <f t="shared" si="7"/>
        <v>#DIV/0!</v>
      </c>
      <c r="R45" s="94"/>
    </row>
    <row r="46" spans="2:19">
      <c r="B46" s="564"/>
      <c r="C46" s="477"/>
      <c r="D46" s="194" t="s">
        <v>187</v>
      </c>
      <c r="E46" s="97">
        <v>60</v>
      </c>
      <c r="F46" s="84">
        <f>Production2!AZ31</f>
        <v>3</v>
      </c>
      <c r="G46" s="75">
        <f>F46+'28'!G46</f>
        <v>31.77</v>
      </c>
      <c r="H46" s="75">
        <f>F46+'28'!H46</f>
        <v>79.649999999999991</v>
      </c>
      <c r="I46" s="472"/>
      <c r="J46" s="195">
        <f>Production2!BA31</f>
        <v>174</v>
      </c>
      <c r="K46" s="74">
        <f>J46+'28'!K46</f>
        <v>1796</v>
      </c>
      <c r="L46" s="74">
        <f>J46+'28'!L46</f>
        <v>4443</v>
      </c>
      <c r="M46" s="545"/>
      <c r="N46" s="546"/>
      <c r="O46" s="546"/>
      <c r="P46" s="547"/>
      <c r="Q46" s="96">
        <f t="shared" si="7"/>
        <v>58</v>
      </c>
      <c r="R46" s="94"/>
    </row>
    <row r="47" spans="2:19">
      <c r="B47" s="564"/>
      <c r="C47" s="477"/>
      <c r="D47" s="80" t="s">
        <v>288</v>
      </c>
      <c r="E47" s="97">
        <v>70</v>
      </c>
      <c r="F47" s="84">
        <f>Production2!BC31</f>
        <v>3</v>
      </c>
      <c r="G47" s="75">
        <f>F47+'28'!G47</f>
        <v>46.2</v>
      </c>
      <c r="H47" s="75">
        <f>F47+'28'!H47</f>
        <v>154.87</v>
      </c>
      <c r="I47" s="473"/>
      <c r="J47" s="195">
        <f>Production2!BD31</f>
        <v>180</v>
      </c>
      <c r="K47" s="74">
        <f>J47+'28'!K47</f>
        <v>2765</v>
      </c>
      <c r="L47" s="74">
        <f>J47+'28'!L47</f>
        <v>9380</v>
      </c>
      <c r="M47" s="548"/>
      <c r="N47" s="549"/>
      <c r="O47" s="549"/>
      <c r="P47" s="550"/>
      <c r="Q47" s="96">
        <f t="shared" si="7"/>
        <v>60</v>
      </c>
      <c r="R47" s="94"/>
      <c r="S47" s="94"/>
    </row>
    <row r="48" spans="2:19" ht="15.75" thickBot="1">
      <c r="B48" s="565"/>
      <c r="C48" s="478"/>
      <c r="D48" s="120" t="s">
        <v>162</v>
      </c>
      <c r="E48" s="121">
        <v>70</v>
      </c>
      <c r="F48" s="132">
        <f>F43+F44+F45+F46+F47</f>
        <v>19.36</v>
      </c>
      <c r="G48" s="132">
        <f>G43+G44+G45+G46+G47</f>
        <v>565.57000000000005</v>
      </c>
      <c r="H48" s="132">
        <f t="shared" ref="H48" si="11">H43+H44+H45+H46+H47</f>
        <v>1617.96</v>
      </c>
      <c r="I48" s="122">
        <f t="shared" ref="I48" si="12">I43+I44+I45+I46</f>
        <v>0</v>
      </c>
      <c r="J48" s="122">
        <f>J43+J44+J45+J46+J47</f>
        <v>1172</v>
      </c>
      <c r="K48" s="122">
        <f t="shared" ref="K48:L48" si="13">K43+K44+K45+K46+K47</f>
        <v>33184</v>
      </c>
      <c r="L48" s="122">
        <f t="shared" si="13"/>
        <v>95157</v>
      </c>
      <c r="M48" s="574"/>
      <c r="N48" s="575"/>
      <c r="O48" s="575"/>
      <c r="P48" s="576"/>
      <c r="Q48" s="440">
        <f>J48/F48</f>
        <v>60.537190082644628</v>
      </c>
      <c r="R48" s="94"/>
    </row>
    <row r="49" spans="2:18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</row>
    <row r="50" spans="2:18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</row>
    <row r="51" spans="2:18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8" ht="14.45" customHeight="1">
      <c r="B52" s="91">
        <v>1</v>
      </c>
      <c r="C52" s="586" t="s">
        <v>295</v>
      </c>
      <c r="D52" s="586"/>
      <c r="E52" s="99">
        <f>E55/J32</f>
        <v>0.47514337174996407</v>
      </c>
      <c r="F52" s="99">
        <f>(F55/(J33+J34))</f>
        <v>28.232576392007413</v>
      </c>
      <c r="G52" s="99">
        <f>G55/J34</f>
        <v>0</v>
      </c>
      <c r="H52" s="99">
        <f>H55/J36</f>
        <v>38.023489932885909</v>
      </c>
      <c r="I52" s="99">
        <f>I55/J35</f>
        <v>55.605239385727188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15.167785234899329</v>
      </c>
    </row>
    <row r="53" spans="2:18" ht="14.45" customHeight="1">
      <c r="B53" s="79">
        <v>2</v>
      </c>
      <c r="C53" s="516" t="s">
        <v>297</v>
      </c>
      <c r="D53" s="516"/>
      <c r="E53" s="102">
        <f>E52*(I9/J36)</f>
        <v>0.83740033168819172</v>
      </c>
      <c r="F53" s="102">
        <f>F52*1.55</f>
        <v>43.760493407611492</v>
      </c>
      <c r="G53" s="102">
        <f>G52*1.55</f>
        <v>0</v>
      </c>
      <c r="H53" s="102">
        <f>H52</f>
        <v>38.023489932885909</v>
      </c>
      <c r="I53" s="102">
        <f>I52*(Q52/100)</f>
        <v>8.434083289378755</v>
      </c>
      <c r="J53" s="102"/>
      <c r="K53" s="102"/>
      <c r="L53" s="102"/>
      <c r="M53" s="96"/>
      <c r="N53" s="306">
        <f>SUM(E53:I53)</f>
        <v>91.055466961564349</v>
      </c>
      <c r="O53" s="516" t="s">
        <v>298</v>
      </c>
      <c r="P53" s="516"/>
      <c r="Q53" s="104">
        <v>5542</v>
      </c>
    </row>
    <row r="54" spans="2:18" ht="14.45" customHeight="1">
      <c r="B54" s="79">
        <v>3</v>
      </c>
      <c r="C54" s="588" t="s">
        <v>299</v>
      </c>
      <c r="D54" s="588"/>
      <c r="E54" s="102">
        <f>E53*M20/100</f>
        <v>0.68619223392420881</v>
      </c>
      <c r="F54" s="102">
        <f>F53*M20/100</f>
        <v>35.858728009407557</v>
      </c>
      <c r="G54" s="102">
        <f>G53*M20/100</f>
        <v>0</v>
      </c>
      <c r="H54" s="102">
        <f>H53*M20/100</f>
        <v>31.157646481989755</v>
      </c>
      <c r="I54" s="102">
        <f>I53*M20/100</f>
        <v>6.9111537629490707</v>
      </c>
      <c r="J54" s="99">
        <f>J55/(J42+J48)</f>
        <v>40.447054140127392</v>
      </c>
      <c r="K54" s="99">
        <f>K55/(J48+J42)</f>
        <v>0.83001592356687903</v>
      </c>
      <c r="L54" s="99">
        <f>L55/(M42)</f>
        <v>2.7470542463317029</v>
      </c>
      <c r="M54" s="96">
        <f>M55/(J48+J42)</f>
        <v>1.7691082802547771</v>
      </c>
      <c r="N54" s="306">
        <f>SUM(E54:M54)</f>
        <v>120.40695307855134</v>
      </c>
      <c r="O54" s="516" t="s">
        <v>300</v>
      </c>
      <c r="P54" s="516"/>
      <c r="Q54" s="104">
        <f>Q53*Q52/100</f>
        <v>840.59865771812076</v>
      </c>
    </row>
    <row r="55" spans="2:18" ht="15" customHeight="1" thickBot="1">
      <c r="B55" s="90" t="s">
        <v>262</v>
      </c>
      <c r="C55" s="589" t="s">
        <v>301</v>
      </c>
      <c r="D55" s="589"/>
      <c r="E55" s="118">
        <f>'Daily unit'!B31</f>
        <v>1720</v>
      </c>
      <c r="F55" s="118">
        <f>'Daily unit'!C31</f>
        <v>69785</v>
      </c>
      <c r="G55" s="118">
        <f>'Daily unit'!D31</f>
        <v>0</v>
      </c>
      <c r="H55" s="118">
        <f>'Daily unit'!E31</f>
        <v>56655</v>
      </c>
      <c r="I55" s="118">
        <f>'Daily unit'!F31</f>
        <v>12311</v>
      </c>
      <c r="J55" s="118">
        <f>'Daily unit'!G31</f>
        <v>101603</v>
      </c>
      <c r="K55" s="118">
        <f>'Daily unit'!H31</f>
        <v>2085</v>
      </c>
      <c r="L55" s="118">
        <f>'Daily unit'!I31</f>
        <v>7908</v>
      </c>
      <c r="M55" s="119">
        <f>'Daily unit'!J31</f>
        <v>4444</v>
      </c>
      <c r="N55" s="317">
        <f>SUM(E55:M55)</f>
        <v>256511</v>
      </c>
      <c r="O55" s="106"/>
      <c r="P55" s="107"/>
      <c r="Q55" s="108"/>
    </row>
    <row r="56" spans="2:18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8" ht="14.45" customHeight="1">
      <c r="B57" s="577" t="s">
        <v>302</v>
      </c>
      <c r="C57" s="578"/>
      <c r="D57" s="578"/>
      <c r="E57" s="578"/>
      <c r="F57" s="578"/>
      <c r="G57" s="578"/>
      <c r="H57" s="578"/>
      <c r="I57" s="551" t="s">
        <v>349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8" s="110" customFormat="1" ht="14.45" customHeight="1">
      <c r="B58" s="208" t="s">
        <v>250</v>
      </c>
      <c r="C58" s="580" t="s">
        <v>304</v>
      </c>
      <c r="D58" s="580"/>
      <c r="E58" s="580"/>
      <c r="F58" s="187" t="s">
        <v>305</v>
      </c>
      <c r="G58" s="187" t="s">
        <v>27</v>
      </c>
      <c r="H58" s="187" t="s">
        <v>28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8" ht="14.45" customHeight="1">
      <c r="B59" s="700">
        <v>1</v>
      </c>
      <c r="C59" s="626" t="s">
        <v>306</v>
      </c>
      <c r="D59" s="661"/>
      <c r="E59" s="80">
        <v>42.5</v>
      </c>
      <c r="F59" s="53">
        <f>'Internal use cement'!F31</f>
        <v>0</v>
      </c>
      <c r="G59" s="53">
        <f>F59+'28'!G59</f>
        <v>0</v>
      </c>
      <c r="H59" s="77">
        <f>F59+'28'!H59</f>
        <v>10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8" ht="14.45" customHeight="1">
      <c r="B60" s="469"/>
      <c r="C60" s="466"/>
      <c r="D60" s="663"/>
      <c r="E60" s="80" t="s">
        <v>211</v>
      </c>
      <c r="F60" s="53">
        <f>'Internal use cement'!Q31</f>
        <v>0</v>
      </c>
      <c r="G60" s="53">
        <f>F60+'28'!G60</f>
        <v>0</v>
      </c>
      <c r="H60" s="77">
        <f>F60+'28'!H60</f>
        <v>2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8" ht="15" customHeight="1">
      <c r="B61" s="469"/>
      <c r="C61" s="466"/>
      <c r="D61" s="663"/>
      <c r="E61" s="80">
        <v>32.5</v>
      </c>
      <c r="F61" s="53">
        <f>'Internal use cement'!Y31</f>
        <v>0.15</v>
      </c>
      <c r="G61" s="53">
        <f>F61+'28'!G61</f>
        <v>0.25</v>
      </c>
      <c r="H61" s="77">
        <f>F61+'28'!H61</f>
        <v>0.25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8" ht="15" customHeight="1">
      <c r="B62" s="469"/>
      <c r="C62" s="466"/>
      <c r="D62" s="663"/>
      <c r="E62" s="80" t="s">
        <v>187</v>
      </c>
      <c r="F62" s="53">
        <f>'Internal use cement'!AJ31</f>
        <v>0</v>
      </c>
      <c r="G62" s="53">
        <f>F62+'28'!G62</f>
        <v>0.35</v>
      </c>
      <c r="H62" s="77">
        <f>F62+'28'!H62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8" ht="15.75" thickBot="1">
      <c r="B63" s="470"/>
      <c r="C63" s="467"/>
      <c r="D63" s="665"/>
      <c r="E63" s="443" t="s">
        <v>307</v>
      </c>
      <c r="F63" s="444">
        <f>'Internal use cement'!AO31</f>
        <v>0.15</v>
      </c>
      <c r="G63" s="53">
        <f>F63+'28'!G63</f>
        <v>0.15</v>
      </c>
      <c r="H63" s="77">
        <f>F63+'28'!H63</f>
        <v>4.1500000000000004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115"/>
    </row>
    <row r="64" spans="2:18">
      <c r="R64" s="116"/>
    </row>
    <row r="65" spans="2:18">
      <c r="R65" s="94"/>
    </row>
    <row r="66" spans="2:18">
      <c r="R66" s="94"/>
    </row>
    <row r="67" spans="2:18">
      <c r="R67" s="94"/>
    </row>
    <row r="68" spans="2:18">
      <c r="R68" s="109"/>
    </row>
    <row r="69" spans="2:18">
      <c r="R69" s="94"/>
    </row>
    <row r="70" spans="2:18">
      <c r="R70" s="117"/>
    </row>
    <row r="71" spans="2:18">
      <c r="R71" s="117"/>
    </row>
    <row r="72" spans="2:18">
      <c r="R72" s="117"/>
    </row>
    <row r="73" spans="2:18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  <row r="156" spans="2:18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</row>
    <row r="157" spans="2:18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</row>
  </sheetData>
  <mergeCells count="86">
    <mergeCell ref="M43:P47"/>
    <mergeCell ref="P33:P34"/>
    <mergeCell ref="B50:N50"/>
    <mergeCell ref="O50:Q50"/>
    <mergeCell ref="C34:D34"/>
    <mergeCell ref="I33:I34"/>
    <mergeCell ref="M33:M34"/>
    <mergeCell ref="N33:N34"/>
    <mergeCell ref="O33:O34"/>
    <mergeCell ref="B43:B48"/>
    <mergeCell ref="C43:C48"/>
    <mergeCell ref="C36:D36"/>
    <mergeCell ref="M48:P48"/>
    <mergeCell ref="C37:C42"/>
    <mergeCell ref="I43:I47"/>
    <mergeCell ref="B2:Q2"/>
    <mergeCell ref="B3:Q3"/>
    <mergeCell ref="B37:B42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C32:D32"/>
    <mergeCell ref="C33:D33"/>
    <mergeCell ref="C35:D35"/>
    <mergeCell ref="P25:Q27"/>
    <mergeCell ref="C27:D27"/>
    <mergeCell ref="M27:N27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C15:D15"/>
    <mergeCell ref="P6:P7"/>
    <mergeCell ref="Q6:Q7"/>
    <mergeCell ref="C8:Q8"/>
    <mergeCell ref="C11:D11"/>
    <mergeCell ref="C12:D12"/>
    <mergeCell ref="P15:Q15"/>
    <mergeCell ref="C9:D9"/>
    <mergeCell ref="O9:O18"/>
    <mergeCell ref="C10:D10"/>
    <mergeCell ref="C13:D13"/>
    <mergeCell ref="C14:D14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I57:Q63"/>
    <mergeCell ref="C59:D63"/>
    <mergeCell ref="B59:B63"/>
    <mergeCell ref="B16:B18"/>
    <mergeCell ref="C16:C18"/>
    <mergeCell ref="C19:Q19"/>
    <mergeCell ref="B20:B22"/>
    <mergeCell ref="C20:C22"/>
    <mergeCell ref="N20:N22"/>
    <mergeCell ref="O20:O27"/>
    <mergeCell ref="P20:Q22"/>
    <mergeCell ref="Q23:Q24"/>
    <mergeCell ref="C24:D24"/>
    <mergeCell ref="B25:B26"/>
    <mergeCell ref="C25:C26"/>
    <mergeCell ref="M25:N26"/>
  </mergeCells>
  <pageMargins left="0.25" right="0.25" top="0.75" bottom="0.75" header="0.3" footer="0.3"/>
  <pageSetup paperSize="9" scale="55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B2:T156"/>
  <sheetViews>
    <sheetView tabSelected="1" zoomScale="90" zoomScaleNormal="90" workbookViewId="0">
      <pane xSplit="4" ySplit="1" topLeftCell="E2" activePane="bottomRight" state="frozen"/>
      <selection pane="bottomRight" activeCell="O9" sqref="O9:O18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1" width="9.28515625" style="68" bestFit="1" customWidth="1"/>
    <col min="12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9" width="9.140625" style="68"/>
    <col min="20" max="20" width="10.42578125" style="68" bestFit="1" customWidth="1"/>
    <col min="21" max="239" width="9.140625" style="68"/>
    <col min="240" max="240" width="3.7109375" style="68" customWidth="1"/>
    <col min="241" max="241" width="4" style="68" bestFit="1" customWidth="1"/>
    <col min="242" max="242" width="14.5703125" style="68" customWidth="1"/>
    <col min="243" max="243" width="11.140625" style="68" customWidth="1"/>
    <col min="244" max="244" width="8.7109375" style="68" customWidth="1"/>
    <col min="245" max="245" width="9.7109375" style="68" bestFit="1" customWidth="1"/>
    <col min="246" max="246" width="10.85546875" style="68" customWidth="1"/>
    <col min="247" max="247" width="10.42578125" style="68" customWidth="1"/>
    <col min="248" max="248" width="9.7109375" style="68" bestFit="1" customWidth="1"/>
    <col min="249" max="251" width="9.28515625" style="68" bestFit="1" customWidth="1"/>
    <col min="252" max="252" width="10.7109375" style="68" bestFit="1" customWidth="1"/>
    <col min="253" max="253" width="11.28515625" style="68" customWidth="1"/>
    <col min="254" max="254" width="12.5703125" style="68" customWidth="1"/>
    <col min="255" max="255" width="13.5703125" style="68" customWidth="1"/>
    <col min="256" max="256" width="13" style="68" customWidth="1"/>
    <col min="257" max="495" width="9.140625" style="68"/>
    <col min="496" max="496" width="3.7109375" style="68" customWidth="1"/>
    <col min="497" max="497" width="4" style="68" bestFit="1" customWidth="1"/>
    <col min="498" max="498" width="14.5703125" style="68" customWidth="1"/>
    <col min="499" max="499" width="11.140625" style="68" customWidth="1"/>
    <col min="500" max="500" width="8.7109375" style="68" customWidth="1"/>
    <col min="501" max="501" width="9.7109375" style="68" bestFit="1" customWidth="1"/>
    <col min="502" max="502" width="10.85546875" style="68" customWidth="1"/>
    <col min="503" max="503" width="10.42578125" style="68" customWidth="1"/>
    <col min="504" max="504" width="9.7109375" style="68" bestFit="1" customWidth="1"/>
    <col min="505" max="507" width="9.28515625" style="68" bestFit="1" customWidth="1"/>
    <col min="508" max="508" width="10.7109375" style="68" bestFit="1" customWidth="1"/>
    <col min="509" max="509" width="11.28515625" style="68" customWidth="1"/>
    <col min="510" max="510" width="12.5703125" style="68" customWidth="1"/>
    <col min="511" max="511" width="13.5703125" style="68" customWidth="1"/>
    <col min="512" max="512" width="13" style="68" customWidth="1"/>
    <col min="513" max="751" width="9.140625" style="68"/>
    <col min="752" max="752" width="3.7109375" style="68" customWidth="1"/>
    <col min="753" max="753" width="4" style="68" bestFit="1" customWidth="1"/>
    <col min="754" max="754" width="14.5703125" style="68" customWidth="1"/>
    <col min="755" max="755" width="11.140625" style="68" customWidth="1"/>
    <col min="756" max="756" width="8.7109375" style="68" customWidth="1"/>
    <col min="757" max="757" width="9.7109375" style="68" bestFit="1" customWidth="1"/>
    <col min="758" max="758" width="10.85546875" style="68" customWidth="1"/>
    <col min="759" max="759" width="10.42578125" style="68" customWidth="1"/>
    <col min="760" max="760" width="9.7109375" style="68" bestFit="1" customWidth="1"/>
    <col min="761" max="763" width="9.28515625" style="68" bestFit="1" customWidth="1"/>
    <col min="764" max="764" width="10.7109375" style="68" bestFit="1" customWidth="1"/>
    <col min="765" max="765" width="11.28515625" style="68" customWidth="1"/>
    <col min="766" max="766" width="12.5703125" style="68" customWidth="1"/>
    <col min="767" max="767" width="13.5703125" style="68" customWidth="1"/>
    <col min="768" max="768" width="13" style="68" customWidth="1"/>
    <col min="769" max="1007" width="9.140625" style="68"/>
    <col min="1008" max="1008" width="3.7109375" style="68" customWidth="1"/>
    <col min="1009" max="1009" width="4" style="68" bestFit="1" customWidth="1"/>
    <col min="1010" max="1010" width="14.5703125" style="68" customWidth="1"/>
    <col min="1011" max="1011" width="11.140625" style="68" customWidth="1"/>
    <col min="1012" max="1012" width="8.7109375" style="68" customWidth="1"/>
    <col min="1013" max="1013" width="9.7109375" style="68" bestFit="1" customWidth="1"/>
    <col min="1014" max="1014" width="10.85546875" style="68" customWidth="1"/>
    <col min="1015" max="1015" width="10.42578125" style="68" customWidth="1"/>
    <col min="1016" max="1016" width="9.7109375" style="68" bestFit="1" customWidth="1"/>
    <col min="1017" max="1019" width="9.28515625" style="68" bestFit="1" customWidth="1"/>
    <col min="1020" max="1020" width="10.7109375" style="68" bestFit="1" customWidth="1"/>
    <col min="1021" max="1021" width="11.28515625" style="68" customWidth="1"/>
    <col min="1022" max="1022" width="12.5703125" style="68" customWidth="1"/>
    <col min="1023" max="1023" width="13.5703125" style="68" customWidth="1"/>
    <col min="1024" max="1024" width="13" style="68" customWidth="1"/>
    <col min="1025" max="1263" width="9.140625" style="68"/>
    <col min="1264" max="1264" width="3.7109375" style="68" customWidth="1"/>
    <col min="1265" max="1265" width="4" style="68" bestFit="1" customWidth="1"/>
    <col min="1266" max="1266" width="14.5703125" style="68" customWidth="1"/>
    <col min="1267" max="1267" width="11.140625" style="68" customWidth="1"/>
    <col min="1268" max="1268" width="8.7109375" style="68" customWidth="1"/>
    <col min="1269" max="1269" width="9.7109375" style="68" bestFit="1" customWidth="1"/>
    <col min="1270" max="1270" width="10.85546875" style="68" customWidth="1"/>
    <col min="1271" max="1271" width="10.42578125" style="68" customWidth="1"/>
    <col min="1272" max="1272" width="9.7109375" style="68" bestFit="1" customWidth="1"/>
    <col min="1273" max="1275" width="9.28515625" style="68" bestFit="1" customWidth="1"/>
    <col min="1276" max="1276" width="10.7109375" style="68" bestFit="1" customWidth="1"/>
    <col min="1277" max="1277" width="11.28515625" style="68" customWidth="1"/>
    <col min="1278" max="1278" width="12.5703125" style="68" customWidth="1"/>
    <col min="1279" max="1279" width="13.5703125" style="68" customWidth="1"/>
    <col min="1280" max="1280" width="13" style="68" customWidth="1"/>
    <col min="1281" max="1519" width="9.140625" style="68"/>
    <col min="1520" max="1520" width="3.7109375" style="68" customWidth="1"/>
    <col min="1521" max="1521" width="4" style="68" bestFit="1" customWidth="1"/>
    <col min="1522" max="1522" width="14.5703125" style="68" customWidth="1"/>
    <col min="1523" max="1523" width="11.140625" style="68" customWidth="1"/>
    <col min="1524" max="1524" width="8.7109375" style="68" customWidth="1"/>
    <col min="1525" max="1525" width="9.7109375" style="68" bestFit="1" customWidth="1"/>
    <col min="1526" max="1526" width="10.85546875" style="68" customWidth="1"/>
    <col min="1527" max="1527" width="10.42578125" style="68" customWidth="1"/>
    <col min="1528" max="1528" width="9.7109375" style="68" bestFit="1" customWidth="1"/>
    <col min="1529" max="1531" width="9.28515625" style="68" bestFit="1" customWidth="1"/>
    <col min="1532" max="1532" width="10.7109375" style="68" bestFit="1" customWidth="1"/>
    <col min="1533" max="1533" width="11.28515625" style="68" customWidth="1"/>
    <col min="1534" max="1534" width="12.5703125" style="68" customWidth="1"/>
    <col min="1535" max="1535" width="13.5703125" style="68" customWidth="1"/>
    <col min="1536" max="1536" width="13" style="68" customWidth="1"/>
    <col min="1537" max="1775" width="9.140625" style="68"/>
    <col min="1776" max="1776" width="3.7109375" style="68" customWidth="1"/>
    <col min="1777" max="1777" width="4" style="68" bestFit="1" customWidth="1"/>
    <col min="1778" max="1778" width="14.5703125" style="68" customWidth="1"/>
    <col min="1779" max="1779" width="11.140625" style="68" customWidth="1"/>
    <col min="1780" max="1780" width="8.7109375" style="68" customWidth="1"/>
    <col min="1781" max="1781" width="9.7109375" style="68" bestFit="1" customWidth="1"/>
    <col min="1782" max="1782" width="10.85546875" style="68" customWidth="1"/>
    <col min="1783" max="1783" width="10.42578125" style="68" customWidth="1"/>
    <col min="1784" max="1784" width="9.7109375" style="68" bestFit="1" customWidth="1"/>
    <col min="1785" max="1787" width="9.28515625" style="68" bestFit="1" customWidth="1"/>
    <col min="1788" max="1788" width="10.7109375" style="68" bestFit="1" customWidth="1"/>
    <col min="1789" max="1789" width="11.28515625" style="68" customWidth="1"/>
    <col min="1790" max="1790" width="12.5703125" style="68" customWidth="1"/>
    <col min="1791" max="1791" width="13.5703125" style="68" customWidth="1"/>
    <col min="1792" max="1792" width="13" style="68" customWidth="1"/>
    <col min="1793" max="2031" width="9.140625" style="68"/>
    <col min="2032" max="2032" width="3.7109375" style="68" customWidth="1"/>
    <col min="2033" max="2033" width="4" style="68" bestFit="1" customWidth="1"/>
    <col min="2034" max="2034" width="14.5703125" style="68" customWidth="1"/>
    <col min="2035" max="2035" width="11.140625" style="68" customWidth="1"/>
    <col min="2036" max="2036" width="8.7109375" style="68" customWidth="1"/>
    <col min="2037" max="2037" width="9.7109375" style="68" bestFit="1" customWidth="1"/>
    <col min="2038" max="2038" width="10.85546875" style="68" customWidth="1"/>
    <col min="2039" max="2039" width="10.42578125" style="68" customWidth="1"/>
    <col min="2040" max="2040" width="9.7109375" style="68" bestFit="1" customWidth="1"/>
    <col min="2041" max="2043" width="9.28515625" style="68" bestFit="1" customWidth="1"/>
    <col min="2044" max="2044" width="10.7109375" style="68" bestFit="1" customWidth="1"/>
    <col min="2045" max="2045" width="11.28515625" style="68" customWidth="1"/>
    <col min="2046" max="2046" width="12.5703125" style="68" customWidth="1"/>
    <col min="2047" max="2047" width="13.5703125" style="68" customWidth="1"/>
    <col min="2048" max="2048" width="13" style="68" customWidth="1"/>
    <col min="2049" max="2287" width="9.140625" style="68"/>
    <col min="2288" max="2288" width="3.7109375" style="68" customWidth="1"/>
    <col min="2289" max="2289" width="4" style="68" bestFit="1" customWidth="1"/>
    <col min="2290" max="2290" width="14.5703125" style="68" customWidth="1"/>
    <col min="2291" max="2291" width="11.140625" style="68" customWidth="1"/>
    <col min="2292" max="2292" width="8.7109375" style="68" customWidth="1"/>
    <col min="2293" max="2293" width="9.7109375" style="68" bestFit="1" customWidth="1"/>
    <col min="2294" max="2294" width="10.85546875" style="68" customWidth="1"/>
    <col min="2295" max="2295" width="10.42578125" style="68" customWidth="1"/>
    <col min="2296" max="2296" width="9.7109375" style="68" bestFit="1" customWidth="1"/>
    <col min="2297" max="2299" width="9.28515625" style="68" bestFit="1" customWidth="1"/>
    <col min="2300" max="2300" width="10.7109375" style="68" bestFit="1" customWidth="1"/>
    <col min="2301" max="2301" width="11.28515625" style="68" customWidth="1"/>
    <col min="2302" max="2302" width="12.5703125" style="68" customWidth="1"/>
    <col min="2303" max="2303" width="13.5703125" style="68" customWidth="1"/>
    <col min="2304" max="2304" width="13" style="68" customWidth="1"/>
    <col min="2305" max="2543" width="9.140625" style="68"/>
    <col min="2544" max="2544" width="3.7109375" style="68" customWidth="1"/>
    <col min="2545" max="2545" width="4" style="68" bestFit="1" customWidth="1"/>
    <col min="2546" max="2546" width="14.5703125" style="68" customWidth="1"/>
    <col min="2547" max="2547" width="11.140625" style="68" customWidth="1"/>
    <col min="2548" max="2548" width="8.7109375" style="68" customWidth="1"/>
    <col min="2549" max="2549" width="9.7109375" style="68" bestFit="1" customWidth="1"/>
    <col min="2550" max="2550" width="10.85546875" style="68" customWidth="1"/>
    <col min="2551" max="2551" width="10.42578125" style="68" customWidth="1"/>
    <col min="2552" max="2552" width="9.7109375" style="68" bestFit="1" customWidth="1"/>
    <col min="2553" max="2555" width="9.28515625" style="68" bestFit="1" customWidth="1"/>
    <col min="2556" max="2556" width="10.7109375" style="68" bestFit="1" customWidth="1"/>
    <col min="2557" max="2557" width="11.28515625" style="68" customWidth="1"/>
    <col min="2558" max="2558" width="12.5703125" style="68" customWidth="1"/>
    <col min="2559" max="2559" width="13.5703125" style="68" customWidth="1"/>
    <col min="2560" max="2560" width="13" style="68" customWidth="1"/>
    <col min="2561" max="2799" width="9.140625" style="68"/>
    <col min="2800" max="2800" width="3.7109375" style="68" customWidth="1"/>
    <col min="2801" max="2801" width="4" style="68" bestFit="1" customWidth="1"/>
    <col min="2802" max="2802" width="14.5703125" style="68" customWidth="1"/>
    <col min="2803" max="2803" width="11.140625" style="68" customWidth="1"/>
    <col min="2804" max="2804" width="8.7109375" style="68" customWidth="1"/>
    <col min="2805" max="2805" width="9.7109375" style="68" bestFit="1" customWidth="1"/>
    <col min="2806" max="2806" width="10.85546875" style="68" customWidth="1"/>
    <col min="2807" max="2807" width="10.42578125" style="68" customWidth="1"/>
    <col min="2808" max="2808" width="9.7109375" style="68" bestFit="1" customWidth="1"/>
    <col min="2809" max="2811" width="9.28515625" style="68" bestFit="1" customWidth="1"/>
    <col min="2812" max="2812" width="10.7109375" style="68" bestFit="1" customWidth="1"/>
    <col min="2813" max="2813" width="11.28515625" style="68" customWidth="1"/>
    <col min="2814" max="2814" width="12.5703125" style="68" customWidth="1"/>
    <col min="2815" max="2815" width="13.5703125" style="68" customWidth="1"/>
    <col min="2816" max="2816" width="13" style="68" customWidth="1"/>
    <col min="2817" max="3055" width="9.140625" style="68"/>
    <col min="3056" max="3056" width="3.7109375" style="68" customWidth="1"/>
    <col min="3057" max="3057" width="4" style="68" bestFit="1" customWidth="1"/>
    <col min="3058" max="3058" width="14.5703125" style="68" customWidth="1"/>
    <col min="3059" max="3059" width="11.140625" style="68" customWidth="1"/>
    <col min="3060" max="3060" width="8.7109375" style="68" customWidth="1"/>
    <col min="3061" max="3061" width="9.7109375" style="68" bestFit="1" customWidth="1"/>
    <col min="3062" max="3062" width="10.85546875" style="68" customWidth="1"/>
    <col min="3063" max="3063" width="10.42578125" style="68" customWidth="1"/>
    <col min="3064" max="3064" width="9.7109375" style="68" bestFit="1" customWidth="1"/>
    <col min="3065" max="3067" width="9.28515625" style="68" bestFit="1" customWidth="1"/>
    <col min="3068" max="3068" width="10.7109375" style="68" bestFit="1" customWidth="1"/>
    <col min="3069" max="3069" width="11.28515625" style="68" customWidth="1"/>
    <col min="3070" max="3070" width="12.5703125" style="68" customWidth="1"/>
    <col min="3071" max="3071" width="13.5703125" style="68" customWidth="1"/>
    <col min="3072" max="3072" width="13" style="68" customWidth="1"/>
    <col min="3073" max="3311" width="9.140625" style="68"/>
    <col min="3312" max="3312" width="3.7109375" style="68" customWidth="1"/>
    <col min="3313" max="3313" width="4" style="68" bestFit="1" customWidth="1"/>
    <col min="3314" max="3314" width="14.5703125" style="68" customWidth="1"/>
    <col min="3315" max="3315" width="11.140625" style="68" customWidth="1"/>
    <col min="3316" max="3316" width="8.7109375" style="68" customWidth="1"/>
    <col min="3317" max="3317" width="9.7109375" style="68" bestFit="1" customWidth="1"/>
    <col min="3318" max="3318" width="10.85546875" style="68" customWidth="1"/>
    <col min="3319" max="3319" width="10.42578125" style="68" customWidth="1"/>
    <col min="3320" max="3320" width="9.7109375" style="68" bestFit="1" customWidth="1"/>
    <col min="3321" max="3323" width="9.28515625" style="68" bestFit="1" customWidth="1"/>
    <col min="3324" max="3324" width="10.7109375" style="68" bestFit="1" customWidth="1"/>
    <col min="3325" max="3325" width="11.28515625" style="68" customWidth="1"/>
    <col min="3326" max="3326" width="12.5703125" style="68" customWidth="1"/>
    <col min="3327" max="3327" width="13.5703125" style="68" customWidth="1"/>
    <col min="3328" max="3328" width="13" style="68" customWidth="1"/>
    <col min="3329" max="3567" width="9.140625" style="68"/>
    <col min="3568" max="3568" width="3.7109375" style="68" customWidth="1"/>
    <col min="3569" max="3569" width="4" style="68" bestFit="1" customWidth="1"/>
    <col min="3570" max="3570" width="14.5703125" style="68" customWidth="1"/>
    <col min="3571" max="3571" width="11.140625" style="68" customWidth="1"/>
    <col min="3572" max="3572" width="8.7109375" style="68" customWidth="1"/>
    <col min="3573" max="3573" width="9.7109375" style="68" bestFit="1" customWidth="1"/>
    <col min="3574" max="3574" width="10.85546875" style="68" customWidth="1"/>
    <col min="3575" max="3575" width="10.42578125" style="68" customWidth="1"/>
    <col min="3576" max="3576" width="9.7109375" style="68" bestFit="1" customWidth="1"/>
    <col min="3577" max="3579" width="9.28515625" style="68" bestFit="1" customWidth="1"/>
    <col min="3580" max="3580" width="10.7109375" style="68" bestFit="1" customWidth="1"/>
    <col min="3581" max="3581" width="11.28515625" style="68" customWidth="1"/>
    <col min="3582" max="3582" width="12.5703125" style="68" customWidth="1"/>
    <col min="3583" max="3583" width="13.5703125" style="68" customWidth="1"/>
    <col min="3584" max="3584" width="13" style="68" customWidth="1"/>
    <col min="3585" max="3823" width="9.140625" style="68"/>
    <col min="3824" max="3824" width="3.7109375" style="68" customWidth="1"/>
    <col min="3825" max="3825" width="4" style="68" bestFit="1" customWidth="1"/>
    <col min="3826" max="3826" width="14.5703125" style="68" customWidth="1"/>
    <col min="3827" max="3827" width="11.140625" style="68" customWidth="1"/>
    <col min="3828" max="3828" width="8.7109375" style="68" customWidth="1"/>
    <col min="3829" max="3829" width="9.7109375" style="68" bestFit="1" customWidth="1"/>
    <col min="3830" max="3830" width="10.85546875" style="68" customWidth="1"/>
    <col min="3831" max="3831" width="10.42578125" style="68" customWidth="1"/>
    <col min="3832" max="3832" width="9.7109375" style="68" bestFit="1" customWidth="1"/>
    <col min="3833" max="3835" width="9.28515625" style="68" bestFit="1" customWidth="1"/>
    <col min="3836" max="3836" width="10.7109375" style="68" bestFit="1" customWidth="1"/>
    <col min="3837" max="3837" width="11.28515625" style="68" customWidth="1"/>
    <col min="3838" max="3838" width="12.5703125" style="68" customWidth="1"/>
    <col min="3839" max="3839" width="13.5703125" style="68" customWidth="1"/>
    <col min="3840" max="3840" width="13" style="68" customWidth="1"/>
    <col min="3841" max="4079" width="9.140625" style="68"/>
    <col min="4080" max="4080" width="3.7109375" style="68" customWidth="1"/>
    <col min="4081" max="4081" width="4" style="68" bestFit="1" customWidth="1"/>
    <col min="4082" max="4082" width="14.5703125" style="68" customWidth="1"/>
    <col min="4083" max="4083" width="11.140625" style="68" customWidth="1"/>
    <col min="4084" max="4084" width="8.7109375" style="68" customWidth="1"/>
    <col min="4085" max="4085" width="9.7109375" style="68" bestFit="1" customWidth="1"/>
    <col min="4086" max="4086" width="10.85546875" style="68" customWidth="1"/>
    <col min="4087" max="4087" width="10.42578125" style="68" customWidth="1"/>
    <col min="4088" max="4088" width="9.7109375" style="68" bestFit="1" customWidth="1"/>
    <col min="4089" max="4091" width="9.28515625" style="68" bestFit="1" customWidth="1"/>
    <col min="4092" max="4092" width="10.7109375" style="68" bestFit="1" customWidth="1"/>
    <col min="4093" max="4093" width="11.28515625" style="68" customWidth="1"/>
    <col min="4094" max="4094" width="12.5703125" style="68" customWidth="1"/>
    <col min="4095" max="4095" width="13.5703125" style="68" customWidth="1"/>
    <col min="4096" max="4096" width="13" style="68" customWidth="1"/>
    <col min="4097" max="4335" width="9.140625" style="68"/>
    <col min="4336" max="4336" width="3.7109375" style="68" customWidth="1"/>
    <col min="4337" max="4337" width="4" style="68" bestFit="1" customWidth="1"/>
    <col min="4338" max="4338" width="14.5703125" style="68" customWidth="1"/>
    <col min="4339" max="4339" width="11.140625" style="68" customWidth="1"/>
    <col min="4340" max="4340" width="8.7109375" style="68" customWidth="1"/>
    <col min="4341" max="4341" width="9.7109375" style="68" bestFit="1" customWidth="1"/>
    <col min="4342" max="4342" width="10.85546875" style="68" customWidth="1"/>
    <col min="4343" max="4343" width="10.42578125" style="68" customWidth="1"/>
    <col min="4344" max="4344" width="9.7109375" style="68" bestFit="1" customWidth="1"/>
    <col min="4345" max="4347" width="9.28515625" style="68" bestFit="1" customWidth="1"/>
    <col min="4348" max="4348" width="10.7109375" style="68" bestFit="1" customWidth="1"/>
    <col min="4349" max="4349" width="11.28515625" style="68" customWidth="1"/>
    <col min="4350" max="4350" width="12.5703125" style="68" customWidth="1"/>
    <col min="4351" max="4351" width="13.5703125" style="68" customWidth="1"/>
    <col min="4352" max="4352" width="13" style="68" customWidth="1"/>
    <col min="4353" max="4591" width="9.140625" style="68"/>
    <col min="4592" max="4592" width="3.7109375" style="68" customWidth="1"/>
    <col min="4593" max="4593" width="4" style="68" bestFit="1" customWidth="1"/>
    <col min="4594" max="4594" width="14.5703125" style="68" customWidth="1"/>
    <col min="4595" max="4595" width="11.140625" style="68" customWidth="1"/>
    <col min="4596" max="4596" width="8.7109375" style="68" customWidth="1"/>
    <col min="4597" max="4597" width="9.7109375" style="68" bestFit="1" customWidth="1"/>
    <col min="4598" max="4598" width="10.85546875" style="68" customWidth="1"/>
    <col min="4599" max="4599" width="10.42578125" style="68" customWidth="1"/>
    <col min="4600" max="4600" width="9.7109375" style="68" bestFit="1" customWidth="1"/>
    <col min="4601" max="4603" width="9.28515625" style="68" bestFit="1" customWidth="1"/>
    <col min="4604" max="4604" width="10.7109375" style="68" bestFit="1" customWidth="1"/>
    <col min="4605" max="4605" width="11.28515625" style="68" customWidth="1"/>
    <col min="4606" max="4606" width="12.5703125" style="68" customWidth="1"/>
    <col min="4607" max="4607" width="13.5703125" style="68" customWidth="1"/>
    <col min="4608" max="4608" width="13" style="68" customWidth="1"/>
    <col min="4609" max="4847" width="9.140625" style="68"/>
    <col min="4848" max="4848" width="3.7109375" style="68" customWidth="1"/>
    <col min="4849" max="4849" width="4" style="68" bestFit="1" customWidth="1"/>
    <col min="4850" max="4850" width="14.5703125" style="68" customWidth="1"/>
    <col min="4851" max="4851" width="11.140625" style="68" customWidth="1"/>
    <col min="4852" max="4852" width="8.7109375" style="68" customWidth="1"/>
    <col min="4853" max="4853" width="9.7109375" style="68" bestFit="1" customWidth="1"/>
    <col min="4854" max="4854" width="10.85546875" style="68" customWidth="1"/>
    <col min="4855" max="4855" width="10.42578125" style="68" customWidth="1"/>
    <col min="4856" max="4856" width="9.7109375" style="68" bestFit="1" customWidth="1"/>
    <col min="4857" max="4859" width="9.28515625" style="68" bestFit="1" customWidth="1"/>
    <col min="4860" max="4860" width="10.7109375" style="68" bestFit="1" customWidth="1"/>
    <col min="4861" max="4861" width="11.28515625" style="68" customWidth="1"/>
    <col min="4862" max="4862" width="12.5703125" style="68" customWidth="1"/>
    <col min="4863" max="4863" width="13.5703125" style="68" customWidth="1"/>
    <col min="4864" max="4864" width="13" style="68" customWidth="1"/>
    <col min="4865" max="5103" width="9.140625" style="68"/>
    <col min="5104" max="5104" width="3.7109375" style="68" customWidth="1"/>
    <col min="5105" max="5105" width="4" style="68" bestFit="1" customWidth="1"/>
    <col min="5106" max="5106" width="14.5703125" style="68" customWidth="1"/>
    <col min="5107" max="5107" width="11.140625" style="68" customWidth="1"/>
    <col min="5108" max="5108" width="8.7109375" style="68" customWidth="1"/>
    <col min="5109" max="5109" width="9.7109375" style="68" bestFit="1" customWidth="1"/>
    <col min="5110" max="5110" width="10.85546875" style="68" customWidth="1"/>
    <col min="5111" max="5111" width="10.42578125" style="68" customWidth="1"/>
    <col min="5112" max="5112" width="9.7109375" style="68" bestFit="1" customWidth="1"/>
    <col min="5113" max="5115" width="9.28515625" style="68" bestFit="1" customWidth="1"/>
    <col min="5116" max="5116" width="10.7109375" style="68" bestFit="1" customWidth="1"/>
    <col min="5117" max="5117" width="11.28515625" style="68" customWidth="1"/>
    <col min="5118" max="5118" width="12.5703125" style="68" customWidth="1"/>
    <col min="5119" max="5119" width="13.5703125" style="68" customWidth="1"/>
    <col min="5120" max="5120" width="13" style="68" customWidth="1"/>
    <col min="5121" max="5359" width="9.140625" style="68"/>
    <col min="5360" max="5360" width="3.7109375" style="68" customWidth="1"/>
    <col min="5361" max="5361" width="4" style="68" bestFit="1" customWidth="1"/>
    <col min="5362" max="5362" width="14.5703125" style="68" customWidth="1"/>
    <col min="5363" max="5363" width="11.140625" style="68" customWidth="1"/>
    <col min="5364" max="5364" width="8.7109375" style="68" customWidth="1"/>
    <col min="5365" max="5365" width="9.7109375" style="68" bestFit="1" customWidth="1"/>
    <col min="5366" max="5366" width="10.85546875" style="68" customWidth="1"/>
    <col min="5367" max="5367" width="10.42578125" style="68" customWidth="1"/>
    <col min="5368" max="5368" width="9.7109375" style="68" bestFit="1" customWidth="1"/>
    <col min="5369" max="5371" width="9.28515625" style="68" bestFit="1" customWidth="1"/>
    <col min="5372" max="5372" width="10.7109375" style="68" bestFit="1" customWidth="1"/>
    <col min="5373" max="5373" width="11.28515625" style="68" customWidth="1"/>
    <col min="5374" max="5374" width="12.5703125" style="68" customWidth="1"/>
    <col min="5375" max="5375" width="13.5703125" style="68" customWidth="1"/>
    <col min="5376" max="5376" width="13" style="68" customWidth="1"/>
    <col min="5377" max="5615" width="9.140625" style="68"/>
    <col min="5616" max="5616" width="3.7109375" style="68" customWidth="1"/>
    <col min="5617" max="5617" width="4" style="68" bestFit="1" customWidth="1"/>
    <col min="5618" max="5618" width="14.5703125" style="68" customWidth="1"/>
    <col min="5619" max="5619" width="11.140625" style="68" customWidth="1"/>
    <col min="5620" max="5620" width="8.7109375" style="68" customWidth="1"/>
    <col min="5621" max="5621" width="9.7109375" style="68" bestFit="1" customWidth="1"/>
    <col min="5622" max="5622" width="10.85546875" style="68" customWidth="1"/>
    <col min="5623" max="5623" width="10.42578125" style="68" customWidth="1"/>
    <col min="5624" max="5624" width="9.7109375" style="68" bestFit="1" customWidth="1"/>
    <col min="5625" max="5627" width="9.28515625" style="68" bestFit="1" customWidth="1"/>
    <col min="5628" max="5628" width="10.7109375" style="68" bestFit="1" customWidth="1"/>
    <col min="5629" max="5629" width="11.28515625" style="68" customWidth="1"/>
    <col min="5630" max="5630" width="12.5703125" style="68" customWidth="1"/>
    <col min="5631" max="5631" width="13.5703125" style="68" customWidth="1"/>
    <col min="5632" max="5632" width="13" style="68" customWidth="1"/>
    <col min="5633" max="5871" width="9.140625" style="68"/>
    <col min="5872" max="5872" width="3.7109375" style="68" customWidth="1"/>
    <col min="5873" max="5873" width="4" style="68" bestFit="1" customWidth="1"/>
    <col min="5874" max="5874" width="14.5703125" style="68" customWidth="1"/>
    <col min="5875" max="5875" width="11.140625" style="68" customWidth="1"/>
    <col min="5876" max="5876" width="8.7109375" style="68" customWidth="1"/>
    <col min="5877" max="5877" width="9.7109375" style="68" bestFit="1" customWidth="1"/>
    <col min="5878" max="5878" width="10.85546875" style="68" customWidth="1"/>
    <col min="5879" max="5879" width="10.42578125" style="68" customWidth="1"/>
    <col min="5880" max="5880" width="9.7109375" style="68" bestFit="1" customWidth="1"/>
    <col min="5881" max="5883" width="9.28515625" style="68" bestFit="1" customWidth="1"/>
    <col min="5884" max="5884" width="10.7109375" style="68" bestFit="1" customWidth="1"/>
    <col min="5885" max="5885" width="11.28515625" style="68" customWidth="1"/>
    <col min="5886" max="5886" width="12.5703125" style="68" customWidth="1"/>
    <col min="5887" max="5887" width="13.5703125" style="68" customWidth="1"/>
    <col min="5888" max="5888" width="13" style="68" customWidth="1"/>
    <col min="5889" max="6127" width="9.140625" style="68"/>
    <col min="6128" max="6128" width="3.7109375" style="68" customWidth="1"/>
    <col min="6129" max="6129" width="4" style="68" bestFit="1" customWidth="1"/>
    <col min="6130" max="6130" width="14.5703125" style="68" customWidth="1"/>
    <col min="6131" max="6131" width="11.140625" style="68" customWidth="1"/>
    <col min="6132" max="6132" width="8.7109375" style="68" customWidth="1"/>
    <col min="6133" max="6133" width="9.7109375" style="68" bestFit="1" customWidth="1"/>
    <col min="6134" max="6134" width="10.85546875" style="68" customWidth="1"/>
    <col min="6135" max="6135" width="10.42578125" style="68" customWidth="1"/>
    <col min="6136" max="6136" width="9.7109375" style="68" bestFit="1" customWidth="1"/>
    <col min="6137" max="6139" width="9.28515625" style="68" bestFit="1" customWidth="1"/>
    <col min="6140" max="6140" width="10.7109375" style="68" bestFit="1" customWidth="1"/>
    <col min="6141" max="6141" width="11.28515625" style="68" customWidth="1"/>
    <col min="6142" max="6142" width="12.5703125" style="68" customWidth="1"/>
    <col min="6143" max="6143" width="13.5703125" style="68" customWidth="1"/>
    <col min="6144" max="6144" width="13" style="68" customWidth="1"/>
    <col min="6145" max="6383" width="9.140625" style="68"/>
    <col min="6384" max="6384" width="3.7109375" style="68" customWidth="1"/>
    <col min="6385" max="6385" width="4" style="68" bestFit="1" customWidth="1"/>
    <col min="6386" max="6386" width="14.5703125" style="68" customWidth="1"/>
    <col min="6387" max="6387" width="11.140625" style="68" customWidth="1"/>
    <col min="6388" max="6388" width="8.7109375" style="68" customWidth="1"/>
    <col min="6389" max="6389" width="9.7109375" style="68" bestFit="1" customWidth="1"/>
    <col min="6390" max="6390" width="10.85546875" style="68" customWidth="1"/>
    <col min="6391" max="6391" width="10.42578125" style="68" customWidth="1"/>
    <col min="6392" max="6392" width="9.7109375" style="68" bestFit="1" customWidth="1"/>
    <col min="6393" max="6395" width="9.28515625" style="68" bestFit="1" customWidth="1"/>
    <col min="6396" max="6396" width="10.7109375" style="68" bestFit="1" customWidth="1"/>
    <col min="6397" max="6397" width="11.28515625" style="68" customWidth="1"/>
    <col min="6398" max="6398" width="12.5703125" style="68" customWidth="1"/>
    <col min="6399" max="6399" width="13.5703125" style="68" customWidth="1"/>
    <col min="6400" max="6400" width="13" style="68" customWidth="1"/>
    <col min="6401" max="6639" width="9.140625" style="68"/>
    <col min="6640" max="6640" width="3.7109375" style="68" customWidth="1"/>
    <col min="6641" max="6641" width="4" style="68" bestFit="1" customWidth="1"/>
    <col min="6642" max="6642" width="14.5703125" style="68" customWidth="1"/>
    <col min="6643" max="6643" width="11.140625" style="68" customWidth="1"/>
    <col min="6644" max="6644" width="8.7109375" style="68" customWidth="1"/>
    <col min="6645" max="6645" width="9.7109375" style="68" bestFit="1" customWidth="1"/>
    <col min="6646" max="6646" width="10.85546875" style="68" customWidth="1"/>
    <col min="6647" max="6647" width="10.42578125" style="68" customWidth="1"/>
    <col min="6648" max="6648" width="9.7109375" style="68" bestFit="1" customWidth="1"/>
    <col min="6649" max="6651" width="9.28515625" style="68" bestFit="1" customWidth="1"/>
    <col min="6652" max="6652" width="10.7109375" style="68" bestFit="1" customWidth="1"/>
    <col min="6653" max="6653" width="11.28515625" style="68" customWidth="1"/>
    <col min="6654" max="6654" width="12.5703125" style="68" customWidth="1"/>
    <col min="6655" max="6655" width="13.5703125" style="68" customWidth="1"/>
    <col min="6656" max="6656" width="13" style="68" customWidth="1"/>
    <col min="6657" max="6895" width="9.140625" style="68"/>
    <col min="6896" max="6896" width="3.7109375" style="68" customWidth="1"/>
    <col min="6897" max="6897" width="4" style="68" bestFit="1" customWidth="1"/>
    <col min="6898" max="6898" width="14.5703125" style="68" customWidth="1"/>
    <col min="6899" max="6899" width="11.140625" style="68" customWidth="1"/>
    <col min="6900" max="6900" width="8.7109375" style="68" customWidth="1"/>
    <col min="6901" max="6901" width="9.7109375" style="68" bestFit="1" customWidth="1"/>
    <col min="6902" max="6902" width="10.85546875" style="68" customWidth="1"/>
    <col min="6903" max="6903" width="10.42578125" style="68" customWidth="1"/>
    <col min="6904" max="6904" width="9.7109375" style="68" bestFit="1" customWidth="1"/>
    <col min="6905" max="6907" width="9.28515625" style="68" bestFit="1" customWidth="1"/>
    <col min="6908" max="6908" width="10.7109375" style="68" bestFit="1" customWidth="1"/>
    <col min="6909" max="6909" width="11.28515625" style="68" customWidth="1"/>
    <col min="6910" max="6910" width="12.5703125" style="68" customWidth="1"/>
    <col min="6911" max="6911" width="13.5703125" style="68" customWidth="1"/>
    <col min="6912" max="6912" width="13" style="68" customWidth="1"/>
    <col min="6913" max="7151" width="9.140625" style="68"/>
    <col min="7152" max="7152" width="3.7109375" style="68" customWidth="1"/>
    <col min="7153" max="7153" width="4" style="68" bestFit="1" customWidth="1"/>
    <col min="7154" max="7154" width="14.5703125" style="68" customWidth="1"/>
    <col min="7155" max="7155" width="11.140625" style="68" customWidth="1"/>
    <col min="7156" max="7156" width="8.7109375" style="68" customWidth="1"/>
    <col min="7157" max="7157" width="9.7109375" style="68" bestFit="1" customWidth="1"/>
    <col min="7158" max="7158" width="10.85546875" style="68" customWidth="1"/>
    <col min="7159" max="7159" width="10.42578125" style="68" customWidth="1"/>
    <col min="7160" max="7160" width="9.7109375" style="68" bestFit="1" customWidth="1"/>
    <col min="7161" max="7163" width="9.28515625" style="68" bestFit="1" customWidth="1"/>
    <col min="7164" max="7164" width="10.7109375" style="68" bestFit="1" customWidth="1"/>
    <col min="7165" max="7165" width="11.28515625" style="68" customWidth="1"/>
    <col min="7166" max="7166" width="12.5703125" style="68" customWidth="1"/>
    <col min="7167" max="7167" width="13.5703125" style="68" customWidth="1"/>
    <col min="7168" max="7168" width="13" style="68" customWidth="1"/>
    <col min="7169" max="7407" width="9.140625" style="68"/>
    <col min="7408" max="7408" width="3.7109375" style="68" customWidth="1"/>
    <col min="7409" max="7409" width="4" style="68" bestFit="1" customWidth="1"/>
    <col min="7410" max="7410" width="14.5703125" style="68" customWidth="1"/>
    <col min="7411" max="7411" width="11.140625" style="68" customWidth="1"/>
    <col min="7412" max="7412" width="8.7109375" style="68" customWidth="1"/>
    <col min="7413" max="7413" width="9.7109375" style="68" bestFit="1" customWidth="1"/>
    <col min="7414" max="7414" width="10.85546875" style="68" customWidth="1"/>
    <col min="7415" max="7415" width="10.42578125" style="68" customWidth="1"/>
    <col min="7416" max="7416" width="9.7109375" style="68" bestFit="1" customWidth="1"/>
    <col min="7417" max="7419" width="9.28515625" style="68" bestFit="1" customWidth="1"/>
    <col min="7420" max="7420" width="10.7109375" style="68" bestFit="1" customWidth="1"/>
    <col min="7421" max="7421" width="11.28515625" style="68" customWidth="1"/>
    <col min="7422" max="7422" width="12.5703125" style="68" customWidth="1"/>
    <col min="7423" max="7423" width="13.5703125" style="68" customWidth="1"/>
    <col min="7424" max="7424" width="13" style="68" customWidth="1"/>
    <col min="7425" max="7663" width="9.140625" style="68"/>
    <col min="7664" max="7664" width="3.7109375" style="68" customWidth="1"/>
    <col min="7665" max="7665" width="4" style="68" bestFit="1" customWidth="1"/>
    <col min="7666" max="7666" width="14.5703125" style="68" customWidth="1"/>
    <col min="7667" max="7667" width="11.140625" style="68" customWidth="1"/>
    <col min="7668" max="7668" width="8.7109375" style="68" customWidth="1"/>
    <col min="7669" max="7669" width="9.7109375" style="68" bestFit="1" customWidth="1"/>
    <col min="7670" max="7670" width="10.85546875" style="68" customWidth="1"/>
    <col min="7671" max="7671" width="10.42578125" style="68" customWidth="1"/>
    <col min="7672" max="7672" width="9.7109375" style="68" bestFit="1" customWidth="1"/>
    <col min="7673" max="7675" width="9.28515625" style="68" bestFit="1" customWidth="1"/>
    <col min="7676" max="7676" width="10.7109375" style="68" bestFit="1" customWidth="1"/>
    <col min="7677" max="7677" width="11.28515625" style="68" customWidth="1"/>
    <col min="7678" max="7678" width="12.5703125" style="68" customWidth="1"/>
    <col min="7679" max="7679" width="13.5703125" style="68" customWidth="1"/>
    <col min="7680" max="7680" width="13" style="68" customWidth="1"/>
    <col min="7681" max="7919" width="9.140625" style="68"/>
    <col min="7920" max="7920" width="3.7109375" style="68" customWidth="1"/>
    <col min="7921" max="7921" width="4" style="68" bestFit="1" customWidth="1"/>
    <col min="7922" max="7922" width="14.5703125" style="68" customWidth="1"/>
    <col min="7923" max="7923" width="11.140625" style="68" customWidth="1"/>
    <col min="7924" max="7924" width="8.7109375" style="68" customWidth="1"/>
    <col min="7925" max="7925" width="9.7109375" style="68" bestFit="1" customWidth="1"/>
    <col min="7926" max="7926" width="10.85546875" style="68" customWidth="1"/>
    <col min="7927" max="7927" width="10.42578125" style="68" customWidth="1"/>
    <col min="7928" max="7928" width="9.7109375" style="68" bestFit="1" customWidth="1"/>
    <col min="7929" max="7931" width="9.28515625" style="68" bestFit="1" customWidth="1"/>
    <col min="7932" max="7932" width="10.7109375" style="68" bestFit="1" customWidth="1"/>
    <col min="7933" max="7933" width="11.28515625" style="68" customWidth="1"/>
    <col min="7934" max="7934" width="12.5703125" style="68" customWidth="1"/>
    <col min="7935" max="7935" width="13.5703125" style="68" customWidth="1"/>
    <col min="7936" max="7936" width="13" style="68" customWidth="1"/>
    <col min="7937" max="8175" width="9.140625" style="68"/>
    <col min="8176" max="8176" width="3.7109375" style="68" customWidth="1"/>
    <col min="8177" max="8177" width="4" style="68" bestFit="1" customWidth="1"/>
    <col min="8178" max="8178" width="14.5703125" style="68" customWidth="1"/>
    <col min="8179" max="8179" width="11.140625" style="68" customWidth="1"/>
    <col min="8180" max="8180" width="8.7109375" style="68" customWidth="1"/>
    <col min="8181" max="8181" width="9.7109375" style="68" bestFit="1" customWidth="1"/>
    <col min="8182" max="8182" width="10.85546875" style="68" customWidth="1"/>
    <col min="8183" max="8183" width="10.42578125" style="68" customWidth="1"/>
    <col min="8184" max="8184" width="9.7109375" style="68" bestFit="1" customWidth="1"/>
    <col min="8185" max="8187" width="9.28515625" style="68" bestFit="1" customWidth="1"/>
    <col min="8188" max="8188" width="10.7109375" style="68" bestFit="1" customWidth="1"/>
    <col min="8189" max="8189" width="11.28515625" style="68" customWidth="1"/>
    <col min="8190" max="8190" width="12.5703125" style="68" customWidth="1"/>
    <col min="8191" max="8191" width="13.5703125" style="68" customWidth="1"/>
    <col min="8192" max="8192" width="13" style="68" customWidth="1"/>
    <col min="8193" max="8431" width="9.140625" style="68"/>
    <col min="8432" max="8432" width="3.7109375" style="68" customWidth="1"/>
    <col min="8433" max="8433" width="4" style="68" bestFit="1" customWidth="1"/>
    <col min="8434" max="8434" width="14.5703125" style="68" customWidth="1"/>
    <col min="8435" max="8435" width="11.140625" style="68" customWidth="1"/>
    <col min="8436" max="8436" width="8.7109375" style="68" customWidth="1"/>
    <col min="8437" max="8437" width="9.7109375" style="68" bestFit="1" customWidth="1"/>
    <col min="8438" max="8438" width="10.85546875" style="68" customWidth="1"/>
    <col min="8439" max="8439" width="10.42578125" style="68" customWidth="1"/>
    <col min="8440" max="8440" width="9.7109375" style="68" bestFit="1" customWidth="1"/>
    <col min="8441" max="8443" width="9.28515625" style="68" bestFit="1" customWidth="1"/>
    <col min="8444" max="8444" width="10.7109375" style="68" bestFit="1" customWidth="1"/>
    <col min="8445" max="8445" width="11.28515625" style="68" customWidth="1"/>
    <col min="8446" max="8446" width="12.5703125" style="68" customWidth="1"/>
    <col min="8447" max="8447" width="13.5703125" style="68" customWidth="1"/>
    <col min="8448" max="8448" width="13" style="68" customWidth="1"/>
    <col min="8449" max="8687" width="9.140625" style="68"/>
    <col min="8688" max="8688" width="3.7109375" style="68" customWidth="1"/>
    <col min="8689" max="8689" width="4" style="68" bestFit="1" customWidth="1"/>
    <col min="8690" max="8690" width="14.5703125" style="68" customWidth="1"/>
    <col min="8691" max="8691" width="11.140625" style="68" customWidth="1"/>
    <col min="8692" max="8692" width="8.7109375" style="68" customWidth="1"/>
    <col min="8693" max="8693" width="9.7109375" style="68" bestFit="1" customWidth="1"/>
    <col min="8694" max="8694" width="10.85546875" style="68" customWidth="1"/>
    <col min="8695" max="8695" width="10.42578125" style="68" customWidth="1"/>
    <col min="8696" max="8696" width="9.7109375" style="68" bestFit="1" customWidth="1"/>
    <col min="8697" max="8699" width="9.28515625" style="68" bestFit="1" customWidth="1"/>
    <col min="8700" max="8700" width="10.7109375" style="68" bestFit="1" customWidth="1"/>
    <col min="8701" max="8701" width="11.28515625" style="68" customWidth="1"/>
    <col min="8702" max="8702" width="12.5703125" style="68" customWidth="1"/>
    <col min="8703" max="8703" width="13.5703125" style="68" customWidth="1"/>
    <col min="8704" max="8704" width="13" style="68" customWidth="1"/>
    <col min="8705" max="8943" width="9.140625" style="68"/>
    <col min="8944" max="8944" width="3.7109375" style="68" customWidth="1"/>
    <col min="8945" max="8945" width="4" style="68" bestFit="1" customWidth="1"/>
    <col min="8946" max="8946" width="14.5703125" style="68" customWidth="1"/>
    <col min="8947" max="8947" width="11.140625" style="68" customWidth="1"/>
    <col min="8948" max="8948" width="8.7109375" style="68" customWidth="1"/>
    <col min="8949" max="8949" width="9.7109375" style="68" bestFit="1" customWidth="1"/>
    <col min="8950" max="8950" width="10.85546875" style="68" customWidth="1"/>
    <col min="8951" max="8951" width="10.42578125" style="68" customWidth="1"/>
    <col min="8952" max="8952" width="9.7109375" style="68" bestFit="1" customWidth="1"/>
    <col min="8953" max="8955" width="9.28515625" style="68" bestFit="1" customWidth="1"/>
    <col min="8956" max="8956" width="10.7109375" style="68" bestFit="1" customWidth="1"/>
    <col min="8957" max="8957" width="11.28515625" style="68" customWidth="1"/>
    <col min="8958" max="8958" width="12.5703125" style="68" customWidth="1"/>
    <col min="8959" max="8959" width="13.5703125" style="68" customWidth="1"/>
    <col min="8960" max="8960" width="13" style="68" customWidth="1"/>
    <col min="8961" max="9199" width="9.140625" style="68"/>
    <col min="9200" max="9200" width="3.7109375" style="68" customWidth="1"/>
    <col min="9201" max="9201" width="4" style="68" bestFit="1" customWidth="1"/>
    <col min="9202" max="9202" width="14.5703125" style="68" customWidth="1"/>
    <col min="9203" max="9203" width="11.140625" style="68" customWidth="1"/>
    <col min="9204" max="9204" width="8.7109375" style="68" customWidth="1"/>
    <col min="9205" max="9205" width="9.7109375" style="68" bestFit="1" customWidth="1"/>
    <col min="9206" max="9206" width="10.85546875" style="68" customWidth="1"/>
    <col min="9207" max="9207" width="10.42578125" style="68" customWidth="1"/>
    <col min="9208" max="9208" width="9.7109375" style="68" bestFit="1" customWidth="1"/>
    <col min="9209" max="9211" width="9.28515625" style="68" bestFit="1" customWidth="1"/>
    <col min="9212" max="9212" width="10.7109375" style="68" bestFit="1" customWidth="1"/>
    <col min="9213" max="9213" width="11.28515625" style="68" customWidth="1"/>
    <col min="9214" max="9214" width="12.5703125" style="68" customWidth="1"/>
    <col min="9215" max="9215" width="13.5703125" style="68" customWidth="1"/>
    <col min="9216" max="9216" width="13" style="68" customWidth="1"/>
    <col min="9217" max="9455" width="9.140625" style="68"/>
    <col min="9456" max="9456" width="3.7109375" style="68" customWidth="1"/>
    <col min="9457" max="9457" width="4" style="68" bestFit="1" customWidth="1"/>
    <col min="9458" max="9458" width="14.5703125" style="68" customWidth="1"/>
    <col min="9459" max="9459" width="11.140625" style="68" customWidth="1"/>
    <col min="9460" max="9460" width="8.7109375" style="68" customWidth="1"/>
    <col min="9461" max="9461" width="9.7109375" style="68" bestFit="1" customWidth="1"/>
    <col min="9462" max="9462" width="10.85546875" style="68" customWidth="1"/>
    <col min="9463" max="9463" width="10.42578125" style="68" customWidth="1"/>
    <col min="9464" max="9464" width="9.7109375" style="68" bestFit="1" customWidth="1"/>
    <col min="9465" max="9467" width="9.28515625" style="68" bestFit="1" customWidth="1"/>
    <col min="9468" max="9468" width="10.7109375" style="68" bestFit="1" customWidth="1"/>
    <col min="9469" max="9469" width="11.28515625" style="68" customWidth="1"/>
    <col min="9470" max="9470" width="12.5703125" style="68" customWidth="1"/>
    <col min="9471" max="9471" width="13.5703125" style="68" customWidth="1"/>
    <col min="9472" max="9472" width="13" style="68" customWidth="1"/>
    <col min="9473" max="9711" width="9.140625" style="68"/>
    <col min="9712" max="9712" width="3.7109375" style="68" customWidth="1"/>
    <col min="9713" max="9713" width="4" style="68" bestFit="1" customWidth="1"/>
    <col min="9714" max="9714" width="14.5703125" style="68" customWidth="1"/>
    <col min="9715" max="9715" width="11.140625" style="68" customWidth="1"/>
    <col min="9716" max="9716" width="8.7109375" style="68" customWidth="1"/>
    <col min="9717" max="9717" width="9.7109375" style="68" bestFit="1" customWidth="1"/>
    <col min="9718" max="9718" width="10.85546875" style="68" customWidth="1"/>
    <col min="9719" max="9719" width="10.42578125" style="68" customWidth="1"/>
    <col min="9720" max="9720" width="9.7109375" style="68" bestFit="1" customWidth="1"/>
    <col min="9721" max="9723" width="9.28515625" style="68" bestFit="1" customWidth="1"/>
    <col min="9724" max="9724" width="10.7109375" style="68" bestFit="1" customWidth="1"/>
    <col min="9725" max="9725" width="11.28515625" style="68" customWidth="1"/>
    <col min="9726" max="9726" width="12.5703125" style="68" customWidth="1"/>
    <col min="9727" max="9727" width="13.5703125" style="68" customWidth="1"/>
    <col min="9728" max="9728" width="13" style="68" customWidth="1"/>
    <col min="9729" max="9967" width="9.140625" style="68"/>
    <col min="9968" max="9968" width="3.7109375" style="68" customWidth="1"/>
    <col min="9969" max="9969" width="4" style="68" bestFit="1" customWidth="1"/>
    <col min="9970" max="9970" width="14.5703125" style="68" customWidth="1"/>
    <col min="9971" max="9971" width="11.140625" style="68" customWidth="1"/>
    <col min="9972" max="9972" width="8.7109375" style="68" customWidth="1"/>
    <col min="9973" max="9973" width="9.7109375" style="68" bestFit="1" customWidth="1"/>
    <col min="9974" max="9974" width="10.85546875" style="68" customWidth="1"/>
    <col min="9975" max="9975" width="10.42578125" style="68" customWidth="1"/>
    <col min="9976" max="9976" width="9.7109375" style="68" bestFit="1" customWidth="1"/>
    <col min="9977" max="9979" width="9.28515625" style="68" bestFit="1" customWidth="1"/>
    <col min="9980" max="9980" width="10.7109375" style="68" bestFit="1" customWidth="1"/>
    <col min="9981" max="9981" width="11.28515625" style="68" customWidth="1"/>
    <col min="9982" max="9982" width="12.5703125" style="68" customWidth="1"/>
    <col min="9983" max="9983" width="13.5703125" style="68" customWidth="1"/>
    <col min="9984" max="9984" width="13" style="68" customWidth="1"/>
    <col min="9985" max="10223" width="9.140625" style="68"/>
    <col min="10224" max="10224" width="3.7109375" style="68" customWidth="1"/>
    <col min="10225" max="10225" width="4" style="68" bestFit="1" customWidth="1"/>
    <col min="10226" max="10226" width="14.5703125" style="68" customWidth="1"/>
    <col min="10227" max="10227" width="11.140625" style="68" customWidth="1"/>
    <col min="10228" max="10228" width="8.7109375" style="68" customWidth="1"/>
    <col min="10229" max="10229" width="9.7109375" style="68" bestFit="1" customWidth="1"/>
    <col min="10230" max="10230" width="10.85546875" style="68" customWidth="1"/>
    <col min="10231" max="10231" width="10.42578125" style="68" customWidth="1"/>
    <col min="10232" max="10232" width="9.7109375" style="68" bestFit="1" customWidth="1"/>
    <col min="10233" max="10235" width="9.28515625" style="68" bestFit="1" customWidth="1"/>
    <col min="10236" max="10236" width="10.7109375" style="68" bestFit="1" customWidth="1"/>
    <col min="10237" max="10237" width="11.28515625" style="68" customWidth="1"/>
    <col min="10238" max="10238" width="12.5703125" style="68" customWidth="1"/>
    <col min="10239" max="10239" width="13.5703125" style="68" customWidth="1"/>
    <col min="10240" max="10240" width="13" style="68" customWidth="1"/>
    <col min="10241" max="10479" width="9.140625" style="68"/>
    <col min="10480" max="10480" width="3.7109375" style="68" customWidth="1"/>
    <col min="10481" max="10481" width="4" style="68" bestFit="1" customWidth="1"/>
    <col min="10482" max="10482" width="14.5703125" style="68" customWidth="1"/>
    <col min="10483" max="10483" width="11.140625" style="68" customWidth="1"/>
    <col min="10484" max="10484" width="8.7109375" style="68" customWidth="1"/>
    <col min="10485" max="10485" width="9.7109375" style="68" bestFit="1" customWidth="1"/>
    <col min="10486" max="10486" width="10.85546875" style="68" customWidth="1"/>
    <col min="10487" max="10487" width="10.42578125" style="68" customWidth="1"/>
    <col min="10488" max="10488" width="9.7109375" style="68" bestFit="1" customWidth="1"/>
    <col min="10489" max="10491" width="9.28515625" style="68" bestFit="1" customWidth="1"/>
    <col min="10492" max="10492" width="10.7109375" style="68" bestFit="1" customWidth="1"/>
    <col min="10493" max="10493" width="11.28515625" style="68" customWidth="1"/>
    <col min="10494" max="10494" width="12.5703125" style="68" customWidth="1"/>
    <col min="10495" max="10495" width="13.5703125" style="68" customWidth="1"/>
    <col min="10496" max="10496" width="13" style="68" customWidth="1"/>
    <col min="10497" max="10735" width="9.140625" style="68"/>
    <col min="10736" max="10736" width="3.7109375" style="68" customWidth="1"/>
    <col min="10737" max="10737" width="4" style="68" bestFit="1" customWidth="1"/>
    <col min="10738" max="10738" width="14.5703125" style="68" customWidth="1"/>
    <col min="10739" max="10739" width="11.140625" style="68" customWidth="1"/>
    <col min="10740" max="10740" width="8.7109375" style="68" customWidth="1"/>
    <col min="10741" max="10741" width="9.7109375" style="68" bestFit="1" customWidth="1"/>
    <col min="10742" max="10742" width="10.85546875" style="68" customWidth="1"/>
    <col min="10743" max="10743" width="10.42578125" style="68" customWidth="1"/>
    <col min="10744" max="10744" width="9.7109375" style="68" bestFit="1" customWidth="1"/>
    <col min="10745" max="10747" width="9.28515625" style="68" bestFit="1" customWidth="1"/>
    <col min="10748" max="10748" width="10.7109375" style="68" bestFit="1" customWidth="1"/>
    <col min="10749" max="10749" width="11.28515625" style="68" customWidth="1"/>
    <col min="10750" max="10750" width="12.5703125" style="68" customWidth="1"/>
    <col min="10751" max="10751" width="13.5703125" style="68" customWidth="1"/>
    <col min="10752" max="10752" width="13" style="68" customWidth="1"/>
    <col min="10753" max="10991" width="9.140625" style="68"/>
    <col min="10992" max="10992" width="3.7109375" style="68" customWidth="1"/>
    <col min="10993" max="10993" width="4" style="68" bestFit="1" customWidth="1"/>
    <col min="10994" max="10994" width="14.5703125" style="68" customWidth="1"/>
    <col min="10995" max="10995" width="11.140625" style="68" customWidth="1"/>
    <col min="10996" max="10996" width="8.7109375" style="68" customWidth="1"/>
    <col min="10997" max="10997" width="9.7109375" style="68" bestFit="1" customWidth="1"/>
    <col min="10998" max="10998" width="10.85546875" style="68" customWidth="1"/>
    <col min="10999" max="10999" width="10.42578125" style="68" customWidth="1"/>
    <col min="11000" max="11000" width="9.7109375" style="68" bestFit="1" customWidth="1"/>
    <col min="11001" max="11003" width="9.28515625" style="68" bestFit="1" customWidth="1"/>
    <col min="11004" max="11004" width="10.7109375" style="68" bestFit="1" customWidth="1"/>
    <col min="11005" max="11005" width="11.28515625" style="68" customWidth="1"/>
    <col min="11006" max="11006" width="12.5703125" style="68" customWidth="1"/>
    <col min="11007" max="11007" width="13.5703125" style="68" customWidth="1"/>
    <col min="11008" max="11008" width="13" style="68" customWidth="1"/>
    <col min="11009" max="11247" width="9.140625" style="68"/>
    <col min="11248" max="11248" width="3.7109375" style="68" customWidth="1"/>
    <col min="11249" max="11249" width="4" style="68" bestFit="1" customWidth="1"/>
    <col min="11250" max="11250" width="14.5703125" style="68" customWidth="1"/>
    <col min="11251" max="11251" width="11.140625" style="68" customWidth="1"/>
    <col min="11252" max="11252" width="8.7109375" style="68" customWidth="1"/>
    <col min="11253" max="11253" width="9.7109375" style="68" bestFit="1" customWidth="1"/>
    <col min="11254" max="11254" width="10.85546875" style="68" customWidth="1"/>
    <col min="11255" max="11255" width="10.42578125" style="68" customWidth="1"/>
    <col min="11256" max="11256" width="9.7109375" style="68" bestFit="1" customWidth="1"/>
    <col min="11257" max="11259" width="9.28515625" style="68" bestFit="1" customWidth="1"/>
    <col min="11260" max="11260" width="10.7109375" style="68" bestFit="1" customWidth="1"/>
    <col min="11261" max="11261" width="11.28515625" style="68" customWidth="1"/>
    <col min="11262" max="11262" width="12.5703125" style="68" customWidth="1"/>
    <col min="11263" max="11263" width="13.5703125" style="68" customWidth="1"/>
    <col min="11264" max="11264" width="13" style="68" customWidth="1"/>
    <col min="11265" max="11503" width="9.140625" style="68"/>
    <col min="11504" max="11504" width="3.7109375" style="68" customWidth="1"/>
    <col min="11505" max="11505" width="4" style="68" bestFit="1" customWidth="1"/>
    <col min="11506" max="11506" width="14.5703125" style="68" customWidth="1"/>
    <col min="11507" max="11507" width="11.140625" style="68" customWidth="1"/>
    <col min="11508" max="11508" width="8.7109375" style="68" customWidth="1"/>
    <col min="11509" max="11509" width="9.7109375" style="68" bestFit="1" customWidth="1"/>
    <col min="11510" max="11510" width="10.85546875" style="68" customWidth="1"/>
    <col min="11511" max="11511" width="10.42578125" style="68" customWidth="1"/>
    <col min="11512" max="11512" width="9.7109375" style="68" bestFit="1" customWidth="1"/>
    <col min="11513" max="11515" width="9.28515625" style="68" bestFit="1" customWidth="1"/>
    <col min="11516" max="11516" width="10.7109375" style="68" bestFit="1" customWidth="1"/>
    <col min="11517" max="11517" width="11.28515625" style="68" customWidth="1"/>
    <col min="11518" max="11518" width="12.5703125" style="68" customWidth="1"/>
    <col min="11519" max="11519" width="13.5703125" style="68" customWidth="1"/>
    <col min="11520" max="11520" width="13" style="68" customWidth="1"/>
    <col min="11521" max="11759" width="9.140625" style="68"/>
    <col min="11760" max="11760" width="3.7109375" style="68" customWidth="1"/>
    <col min="11761" max="11761" width="4" style="68" bestFit="1" customWidth="1"/>
    <col min="11762" max="11762" width="14.5703125" style="68" customWidth="1"/>
    <col min="11763" max="11763" width="11.140625" style="68" customWidth="1"/>
    <col min="11764" max="11764" width="8.7109375" style="68" customWidth="1"/>
    <col min="11765" max="11765" width="9.7109375" style="68" bestFit="1" customWidth="1"/>
    <col min="11766" max="11766" width="10.85546875" style="68" customWidth="1"/>
    <col min="11767" max="11767" width="10.42578125" style="68" customWidth="1"/>
    <col min="11768" max="11768" width="9.7109375" style="68" bestFit="1" customWidth="1"/>
    <col min="11769" max="11771" width="9.28515625" style="68" bestFit="1" customWidth="1"/>
    <col min="11772" max="11772" width="10.7109375" style="68" bestFit="1" customWidth="1"/>
    <col min="11773" max="11773" width="11.28515625" style="68" customWidth="1"/>
    <col min="11774" max="11774" width="12.5703125" style="68" customWidth="1"/>
    <col min="11775" max="11775" width="13.5703125" style="68" customWidth="1"/>
    <col min="11776" max="11776" width="13" style="68" customWidth="1"/>
    <col min="11777" max="12015" width="9.140625" style="68"/>
    <col min="12016" max="12016" width="3.7109375" style="68" customWidth="1"/>
    <col min="12017" max="12017" width="4" style="68" bestFit="1" customWidth="1"/>
    <col min="12018" max="12018" width="14.5703125" style="68" customWidth="1"/>
    <col min="12019" max="12019" width="11.140625" style="68" customWidth="1"/>
    <col min="12020" max="12020" width="8.7109375" style="68" customWidth="1"/>
    <col min="12021" max="12021" width="9.7109375" style="68" bestFit="1" customWidth="1"/>
    <col min="12022" max="12022" width="10.85546875" style="68" customWidth="1"/>
    <col min="12023" max="12023" width="10.42578125" style="68" customWidth="1"/>
    <col min="12024" max="12024" width="9.7109375" style="68" bestFit="1" customWidth="1"/>
    <col min="12025" max="12027" width="9.28515625" style="68" bestFit="1" customWidth="1"/>
    <col min="12028" max="12028" width="10.7109375" style="68" bestFit="1" customWidth="1"/>
    <col min="12029" max="12029" width="11.28515625" style="68" customWidth="1"/>
    <col min="12030" max="12030" width="12.5703125" style="68" customWidth="1"/>
    <col min="12031" max="12031" width="13.5703125" style="68" customWidth="1"/>
    <col min="12032" max="12032" width="13" style="68" customWidth="1"/>
    <col min="12033" max="12271" width="9.140625" style="68"/>
    <col min="12272" max="12272" width="3.7109375" style="68" customWidth="1"/>
    <col min="12273" max="12273" width="4" style="68" bestFit="1" customWidth="1"/>
    <col min="12274" max="12274" width="14.5703125" style="68" customWidth="1"/>
    <col min="12275" max="12275" width="11.140625" style="68" customWidth="1"/>
    <col min="12276" max="12276" width="8.7109375" style="68" customWidth="1"/>
    <col min="12277" max="12277" width="9.7109375" style="68" bestFit="1" customWidth="1"/>
    <col min="12278" max="12278" width="10.85546875" style="68" customWidth="1"/>
    <col min="12279" max="12279" width="10.42578125" style="68" customWidth="1"/>
    <col min="12280" max="12280" width="9.7109375" style="68" bestFit="1" customWidth="1"/>
    <col min="12281" max="12283" width="9.28515625" style="68" bestFit="1" customWidth="1"/>
    <col min="12284" max="12284" width="10.7109375" style="68" bestFit="1" customWidth="1"/>
    <col min="12285" max="12285" width="11.28515625" style="68" customWidth="1"/>
    <col min="12286" max="12286" width="12.5703125" style="68" customWidth="1"/>
    <col min="12287" max="12287" width="13.5703125" style="68" customWidth="1"/>
    <col min="12288" max="12288" width="13" style="68" customWidth="1"/>
    <col min="12289" max="12527" width="9.140625" style="68"/>
    <col min="12528" max="12528" width="3.7109375" style="68" customWidth="1"/>
    <col min="12529" max="12529" width="4" style="68" bestFit="1" customWidth="1"/>
    <col min="12530" max="12530" width="14.5703125" style="68" customWidth="1"/>
    <col min="12531" max="12531" width="11.140625" style="68" customWidth="1"/>
    <col min="12532" max="12532" width="8.7109375" style="68" customWidth="1"/>
    <col min="12533" max="12533" width="9.7109375" style="68" bestFit="1" customWidth="1"/>
    <col min="12534" max="12534" width="10.85546875" style="68" customWidth="1"/>
    <col min="12535" max="12535" width="10.42578125" style="68" customWidth="1"/>
    <col min="12536" max="12536" width="9.7109375" style="68" bestFit="1" customWidth="1"/>
    <col min="12537" max="12539" width="9.28515625" style="68" bestFit="1" customWidth="1"/>
    <col min="12540" max="12540" width="10.7109375" style="68" bestFit="1" customWidth="1"/>
    <col min="12541" max="12541" width="11.28515625" style="68" customWidth="1"/>
    <col min="12542" max="12542" width="12.5703125" style="68" customWidth="1"/>
    <col min="12543" max="12543" width="13.5703125" style="68" customWidth="1"/>
    <col min="12544" max="12544" width="13" style="68" customWidth="1"/>
    <col min="12545" max="12783" width="9.140625" style="68"/>
    <col min="12784" max="12784" width="3.7109375" style="68" customWidth="1"/>
    <col min="12785" max="12785" width="4" style="68" bestFit="1" customWidth="1"/>
    <col min="12786" max="12786" width="14.5703125" style="68" customWidth="1"/>
    <col min="12787" max="12787" width="11.140625" style="68" customWidth="1"/>
    <col min="12788" max="12788" width="8.7109375" style="68" customWidth="1"/>
    <col min="12789" max="12789" width="9.7109375" style="68" bestFit="1" customWidth="1"/>
    <col min="12790" max="12790" width="10.85546875" style="68" customWidth="1"/>
    <col min="12791" max="12791" width="10.42578125" style="68" customWidth="1"/>
    <col min="12792" max="12792" width="9.7109375" style="68" bestFit="1" customWidth="1"/>
    <col min="12793" max="12795" width="9.28515625" style="68" bestFit="1" customWidth="1"/>
    <col min="12796" max="12796" width="10.7109375" style="68" bestFit="1" customWidth="1"/>
    <col min="12797" max="12797" width="11.28515625" style="68" customWidth="1"/>
    <col min="12798" max="12798" width="12.5703125" style="68" customWidth="1"/>
    <col min="12799" max="12799" width="13.5703125" style="68" customWidth="1"/>
    <col min="12800" max="12800" width="13" style="68" customWidth="1"/>
    <col min="12801" max="13039" width="9.140625" style="68"/>
    <col min="13040" max="13040" width="3.7109375" style="68" customWidth="1"/>
    <col min="13041" max="13041" width="4" style="68" bestFit="1" customWidth="1"/>
    <col min="13042" max="13042" width="14.5703125" style="68" customWidth="1"/>
    <col min="13043" max="13043" width="11.140625" style="68" customWidth="1"/>
    <col min="13044" max="13044" width="8.7109375" style="68" customWidth="1"/>
    <col min="13045" max="13045" width="9.7109375" style="68" bestFit="1" customWidth="1"/>
    <col min="13046" max="13046" width="10.85546875" style="68" customWidth="1"/>
    <col min="13047" max="13047" width="10.42578125" style="68" customWidth="1"/>
    <col min="13048" max="13048" width="9.7109375" style="68" bestFit="1" customWidth="1"/>
    <col min="13049" max="13051" width="9.28515625" style="68" bestFit="1" customWidth="1"/>
    <col min="13052" max="13052" width="10.7109375" style="68" bestFit="1" customWidth="1"/>
    <col min="13053" max="13053" width="11.28515625" style="68" customWidth="1"/>
    <col min="13054" max="13054" width="12.5703125" style="68" customWidth="1"/>
    <col min="13055" max="13055" width="13.5703125" style="68" customWidth="1"/>
    <col min="13056" max="13056" width="13" style="68" customWidth="1"/>
    <col min="13057" max="13295" width="9.140625" style="68"/>
    <col min="13296" max="13296" width="3.7109375" style="68" customWidth="1"/>
    <col min="13297" max="13297" width="4" style="68" bestFit="1" customWidth="1"/>
    <col min="13298" max="13298" width="14.5703125" style="68" customWidth="1"/>
    <col min="13299" max="13299" width="11.140625" style="68" customWidth="1"/>
    <col min="13300" max="13300" width="8.7109375" style="68" customWidth="1"/>
    <col min="13301" max="13301" width="9.7109375" style="68" bestFit="1" customWidth="1"/>
    <col min="13302" max="13302" width="10.85546875" style="68" customWidth="1"/>
    <col min="13303" max="13303" width="10.42578125" style="68" customWidth="1"/>
    <col min="13304" max="13304" width="9.7109375" style="68" bestFit="1" customWidth="1"/>
    <col min="13305" max="13307" width="9.28515625" style="68" bestFit="1" customWidth="1"/>
    <col min="13308" max="13308" width="10.7109375" style="68" bestFit="1" customWidth="1"/>
    <col min="13309" max="13309" width="11.28515625" style="68" customWidth="1"/>
    <col min="13310" max="13310" width="12.5703125" style="68" customWidth="1"/>
    <col min="13311" max="13311" width="13.5703125" style="68" customWidth="1"/>
    <col min="13312" max="13312" width="13" style="68" customWidth="1"/>
    <col min="13313" max="13551" width="9.140625" style="68"/>
    <col min="13552" max="13552" width="3.7109375" style="68" customWidth="1"/>
    <col min="13553" max="13553" width="4" style="68" bestFit="1" customWidth="1"/>
    <col min="13554" max="13554" width="14.5703125" style="68" customWidth="1"/>
    <col min="13555" max="13555" width="11.140625" style="68" customWidth="1"/>
    <col min="13556" max="13556" width="8.7109375" style="68" customWidth="1"/>
    <col min="13557" max="13557" width="9.7109375" style="68" bestFit="1" customWidth="1"/>
    <col min="13558" max="13558" width="10.85546875" style="68" customWidth="1"/>
    <col min="13559" max="13559" width="10.42578125" style="68" customWidth="1"/>
    <col min="13560" max="13560" width="9.7109375" style="68" bestFit="1" customWidth="1"/>
    <col min="13561" max="13563" width="9.28515625" style="68" bestFit="1" customWidth="1"/>
    <col min="13564" max="13564" width="10.7109375" style="68" bestFit="1" customWidth="1"/>
    <col min="13565" max="13565" width="11.28515625" style="68" customWidth="1"/>
    <col min="13566" max="13566" width="12.5703125" style="68" customWidth="1"/>
    <col min="13567" max="13567" width="13.5703125" style="68" customWidth="1"/>
    <col min="13568" max="13568" width="13" style="68" customWidth="1"/>
    <col min="13569" max="13807" width="9.140625" style="68"/>
    <col min="13808" max="13808" width="3.7109375" style="68" customWidth="1"/>
    <col min="13809" max="13809" width="4" style="68" bestFit="1" customWidth="1"/>
    <col min="13810" max="13810" width="14.5703125" style="68" customWidth="1"/>
    <col min="13811" max="13811" width="11.140625" style="68" customWidth="1"/>
    <col min="13812" max="13812" width="8.7109375" style="68" customWidth="1"/>
    <col min="13813" max="13813" width="9.7109375" style="68" bestFit="1" customWidth="1"/>
    <col min="13814" max="13814" width="10.85546875" style="68" customWidth="1"/>
    <col min="13815" max="13815" width="10.42578125" style="68" customWidth="1"/>
    <col min="13816" max="13816" width="9.7109375" style="68" bestFit="1" customWidth="1"/>
    <col min="13817" max="13819" width="9.28515625" style="68" bestFit="1" customWidth="1"/>
    <col min="13820" max="13820" width="10.7109375" style="68" bestFit="1" customWidth="1"/>
    <col min="13821" max="13821" width="11.28515625" style="68" customWidth="1"/>
    <col min="13822" max="13822" width="12.5703125" style="68" customWidth="1"/>
    <col min="13823" max="13823" width="13.5703125" style="68" customWidth="1"/>
    <col min="13824" max="13824" width="13" style="68" customWidth="1"/>
    <col min="13825" max="14063" width="9.140625" style="68"/>
    <col min="14064" max="14064" width="3.7109375" style="68" customWidth="1"/>
    <col min="14065" max="14065" width="4" style="68" bestFit="1" customWidth="1"/>
    <col min="14066" max="14066" width="14.5703125" style="68" customWidth="1"/>
    <col min="14067" max="14067" width="11.140625" style="68" customWidth="1"/>
    <col min="14068" max="14068" width="8.7109375" style="68" customWidth="1"/>
    <col min="14069" max="14069" width="9.7109375" style="68" bestFit="1" customWidth="1"/>
    <col min="14070" max="14070" width="10.85546875" style="68" customWidth="1"/>
    <col min="14071" max="14071" width="10.42578125" style="68" customWidth="1"/>
    <col min="14072" max="14072" width="9.7109375" style="68" bestFit="1" customWidth="1"/>
    <col min="14073" max="14075" width="9.28515625" style="68" bestFit="1" customWidth="1"/>
    <col min="14076" max="14076" width="10.7109375" style="68" bestFit="1" customWidth="1"/>
    <col min="14077" max="14077" width="11.28515625" style="68" customWidth="1"/>
    <col min="14078" max="14078" width="12.5703125" style="68" customWidth="1"/>
    <col min="14079" max="14079" width="13.5703125" style="68" customWidth="1"/>
    <col min="14080" max="14080" width="13" style="68" customWidth="1"/>
    <col min="14081" max="14319" width="9.140625" style="68"/>
    <col min="14320" max="14320" width="3.7109375" style="68" customWidth="1"/>
    <col min="14321" max="14321" width="4" style="68" bestFit="1" customWidth="1"/>
    <col min="14322" max="14322" width="14.5703125" style="68" customWidth="1"/>
    <col min="14323" max="14323" width="11.140625" style="68" customWidth="1"/>
    <col min="14324" max="14324" width="8.7109375" style="68" customWidth="1"/>
    <col min="14325" max="14325" width="9.7109375" style="68" bestFit="1" customWidth="1"/>
    <col min="14326" max="14326" width="10.85546875" style="68" customWidth="1"/>
    <col min="14327" max="14327" width="10.42578125" style="68" customWidth="1"/>
    <col min="14328" max="14328" width="9.7109375" style="68" bestFit="1" customWidth="1"/>
    <col min="14329" max="14331" width="9.28515625" style="68" bestFit="1" customWidth="1"/>
    <col min="14332" max="14332" width="10.7109375" style="68" bestFit="1" customWidth="1"/>
    <col min="14333" max="14333" width="11.28515625" style="68" customWidth="1"/>
    <col min="14334" max="14334" width="12.5703125" style="68" customWidth="1"/>
    <col min="14335" max="14335" width="13.5703125" style="68" customWidth="1"/>
    <col min="14336" max="14336" width="13" style="68" customWidth="1"/>
    <col min="14337" max="14575" width="9.140625" style="68"/>
    <col min="14576" max="14576" width="3.7109375" style="68" customWidth="1"/>
    <col min="14577" max="14577" width="4" style="68" bestFit="1" customWidth="1"/>
    <col min="14578" max="14578" width="14.5703125" style="68" customWidth="1"/>
    <col min="14579" max="14579" width="11.140625" style="68" customWidth="1"/>
    <col min="14580" max="14580" width="8.7109375" style="68" customWidth="1"/>
    <col min="14581" max="14581" width="9.7109375" style="68" bestFit="1" customWidth="1"/>
    <col min="14582" max="14582" width="10.85546875" style="68" customWidth="1"/>
    <col min="14583" max="14583" width="10.42578125" style="68" customWidth="1"/>
    <col min="14584" max="14584" width="9.7109375" style="68" bestFit="1" customWidth="1"/>
    <col min="14585" max="14587" width="9.28515625" style="68" bestFit="1" customWidth="1"/>
    <col min="14588" max="14588" width="10.7109375" style="68" bestFit="1" customWidth="1"/>
    <col min="14589" max="14589" width="11.28515625" style="68" customWidth="1"/>
    <col min="14590" max="14590" width="12.5703125" style="68" customWidth="1"/>
    <col min="14591" max="14591" width="13.5703125" style="68" customWidth="1"/>
    <col min="14592" max="14592" width="13" style="68" customWidth="1"/>
    <col min="14593" max="14831" width="9.140625" style="68"/>
    <col min="14832" max="14832" width="3.7109375" style="68" customWidth="1"/>
    <col min="14833" max="14833" width="4" style="68" bestFit="1" customWidth="1"/>
    <col min="14834" max="14834" width="14.5703125" style="68" customWidth="1"/>
    <col min="14835" max="14835" width="11.140625" style="68" customWidth="1"/>
    <col min="14836" max="14836" width="8.7109375" style="68" customWidth="1"/>
    <col min="14837" max="14837" width="9.7109375" style="68" bestFit="1" customWidth="1"/>
    <col min="14838" max="14838" width="10.85546875" style="68" customWidth="1"/>
    <col min="14839" max="14839" width="10.42578125" style="68" customWidth="1"/>
    <col min="14840" max="14840" width="9.7109375" style="68" bestFit="1" customWidth="1"/>
    <col min="14841" max="14843" width="9.28515625" style="68" bestFit="1" customWidth="1"/>
    <col min="14844" max="14844" width="10.7109375" style="68" bestFit="1" customWidth="1"/>
    <col min="14845" max="14845" width="11.28515625" style="68" customWidth="1"/>
    <col min="14846" max="14846" width="12.5703125" style="68" customWidth="1"/>
    <col min="14847" max="14847" width="13.5703125" style="68" customWidth="1"/>
    <col min="14848" max="14848" width="13" style="68" customWidth="1"/>
    <col min="14849" max="15087" width="9.140625" style="68"/>
    <col min="15088" max="15088" width="3.7109375" style="68" customWidth="1"/>
    <col min="15089" max="15089" width="4" style="68" bestFit="1" customWidth="1"/>
    <col min="15090" max="15090" width="14.5703125" style="68" customWidth="1"/>
    <col min="15091" max="15091" width="11.140625" style="68" customWidth="1"/>
    <col min="15092" max="15092" width="8.7109375" style="68" customWidth="1"/>
    <col min="15093" max="15093" width="9.7109375" style="68" bestFit="1" customWidth="1"/>
    <col min="15094" max="15094" width="10.85546875" style="68" customWidth="1"/>
    <col min="15095" max="15095" width="10.42578125" style="68" customWidth="1"/>
    <col min="15096" max="15096" width="9.7109375" style="68" bestFit="1" customWidth="1"/>
    <col min="15097" max="15099" width="9.28515625" style="68" bestFit="1" customWidth="1"/>
    <col min="15100" max="15100" width="10.7109375" style="68" bestFit="1" customWidth="1"/>
    <col min="15101" max="15101" width="11.28515625" style="68" customWidth="1"/>
    <col min="15102" max="15102" width="12.5703125" style="68" customWidth="1"/>
    <col min="15103" max="15103" width="13.5703125" style="68" customWidth="1"/>
    <col min="15104" max="15104" width="13" style="68" customWidth="1"/>
    <col min="15105" max="15343" width="9.140625" style="68"/>
    <col min="15344" max="15344" width="3.7109375" style="68" customWidth="1"/>
    <col min="15345" max="15345" width="4" style="68" bestFit="1" customWidth="1"/>
    <col min="15346" max="15346" width="14.5703125" style="68" customWidth="1"/>
    <col min="15347" max="15347" width="11.140625" style="68" customWidth="1"/>
    <col min="15348" max="15348" width="8.7109375" style="68" customWidth="1"/>
    <col min="15349" max="15349" width="9.7109375" style="68" bestFit="1" customWidth="1"/>
    <col min="15350" max="15350" width="10.85546875" style="68" customWidth="1"/>
    <col min="15351" max="15351" width="10.42578125" style="68" customWidth="1"/>
    <col min="15352" max="15352" width="9.7109375" style="68" bestFit="1" customWidth="1"/>
    <col min="15353" max="15355" width="9.28515625" style="68" bestFit="1" customWidth="1"/>
    <col min="15356" max="15356" width="10.7109375" style="68" bestFit="1" customWidth="1"/>
    <col min="15357" max="15357" width="11.28515625" style="68" customWidth="1"/>
    <col min="15358" max="15358" width="12.5703125" style="68" customWidth="1"/>
    <col min="15359" max="15359" width="13.5703125" style="68" customWidth="1"/>
    <col min="15360" max="15360" width="13" style="68" customWidth="1"/>
    <col min="15361" max="15599" width="9.140625" style="68"/>
    <col min="15600" max="15600" width="3.7109375" style="68" customWidth="1"/>
    <col min="15601" max="15601" width="4" style="68" bestFit="1" customWidth="1"/>
    <col min="15602" max="15602" width="14.5703125" style="68" customWidth="1"/>
    <col min="15603" max="15603" width="11.140625" style="68" customWidth="1"/>
    <col min="15604" max="15604" width="8.7109375" style="68" customWidth="1"/>
    <col min="15605" max="15605" width="9.7109375" style="68" bestFit="1" customWidth="1"/>
    <col min="15606" max="15606" width="10.85546875" style="68" customWidth="1"/>
    <col min="15607" max="15607" width="10.42578125" style="68" customWidth="1"/>
    <col min="15608" max="15608" width="9.7109375" style="68" bestFit="1" customWidth="1"/>
    <col min="15609" max="15611" width="9.28515625" style="68" bestFit="1" customWidth="1"/>
    <col min="15612" max="15612" width="10.7109375" style="68" bestFit="1" customWidth="1"/>
    <col min="15613" max="15613" width="11.28515625" style="68" customWidth="1"/>
    <col min="15614" max="15614" width="12.5703125" style="68" customWidth="1"/>
    <col min="15615" max="15615" width="13.5703125" style="68" customWidth="1"/>
    <col min="15616" max="15616" width="13" style="68" customWidth="1"/>
    <col min="15617" max="15855" width="9.140625" style="68"/>
    <col min="15856" max="15856" width="3.7109375" style="68" customWidth="1"/>
    <col min="15857" max="15857" width="4" style="68" bestFit="1" customWidth="1"/>
    <col min="15858" max="15858" width="14.5703125" style="68" customWidth="1"/>
    <col min="15859" max="15859" width="11.140625" style="68" customWidth="1"/>
    <col min="15860" max="15860" width="8.7109375" style="68" customWidth="1"/>
    <col min="15861" max="15861" width="9.7109375" style="68" bestFit="1" customWidth="1"/>
    <col min="15862" max="15862" width="10.85546875" style="68" customWidth="1"/>
    <col min="15863" max="15863" width="10.42578125" style="68" customWidth="1"/>
    <col min="15864" max="15864" width="9.7109375" style="68" bestFit="1" customWidth="1"/>
    <col min="15865" max="15867" width="9.28515625" style="68" bestFit="1" customWidth="1"/>
    <col min="15868" max="15868" width="10.7109375" style="68" bestFit="1" customWidth="1"/>
    <col min="15869" max="15869" width="11.28515625" style="68" customWidth="1"/>
    <col min="15870" max="15870" width="12.5703125" style="68" customWidth="1"/>
    <col min="15871" max="15871" width="13.5703125" style="68" customWidth="1"/>
    <col min="15872" max="15872" width="13" style="68" customWidth="1"/>
    <col min="15873" max="16111" width="9.140625" style="68"/>
    <col min="16112" max="16112" width="3.7109375" style="68" customWidth="1"/>
    <col min="16113" max="16113" width="4" style="68" bestFit="1" customWidth="1"/>
    <col min="16114" max="16114" width="14.5703125" style="68" customWidth="1"/>
    <col min="16115" max="16115" width="11.140625" style="68" customWidth="1"/>
    <col min="16116" max="16116" width="8.7109375" style="68" customWidth="1"/>
    <col min="16117" max="16117" width="9.7109375" style="68" bestFit="1" customWidth="1"/>
    <col min="16118" max="16118" width="10.85546875" style="68" customWidth="1"/>
    <col min="16119" max="16119" width="10.42578125" style="68" customWidth="1"/>
    <col min="16120" max="16120" width="9.7109375" style="68" bestFit="1" customWidth="1"/>
    <col min="16121" max="16123" width="9.28515625" style="68" bestFit="1" customWidth="1"/>
    <col min="16124" max="16124" width="10.7109375" style="68" bestFit="1" customWidth="1"/>
    <col min="16125" max="16125" width="11.28515625" style="68" customWidth="1"/>
    <col min="16126" max="16126" width="12.5703125" style="68" customWidth="1"/>
    <col min="16127" max="16127" width="13.5703125" style="68" customWidth="1"/>
    <col min="16128" max="16128" width="13" style="68" customWidth="1"/>
    <col min="16129" max="16384" width="9.140625" style="68"/>
  </cols>
  <sheetData>
    <row r="2" spans="2:20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20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  <c r="S3" s="67"/>
    </row>
    <row r="4" spans="2:20" s="70" customFormat="1" ht="24.6" customHeight="1" thickBot="1">
      <c r="B4" s="503" t="s">
        <v>246</v>
      </c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  <c r="O4" s="505"/>
      <c r="P4" s="136" t="s">
        <v>247</v>
      </c>
      <c r="Q4" s="154" t="s">
        <v>350</v>
      </c>
      <c r="R4" s="67"/>
    </row>
    <row r="5" spans="2:20" s="70" customFormat="1">
      <c r="B5" s="71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20" ht="13.9" customHeight="1">
      <c r="B6" s="506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257</v>
      </c>
      <c r="N6" s="508" t="s">
        <v>258</v>
      </c>
      <c r="O6" s="510"/>
      <c r="P6" s="508" t="s">
        <v>259</v>
      </c>
      <c r="Q6" s="513"/>
    </row>
    <row r="7" spans="2:20" ht="15.75" thickBot="1">
      <c r="B7" s="507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  <c r="T7" s="177"/>
    </row>
    <row r="8" spans="2:20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T8" s="177"/>
    </row>
    <row r="9" spans="2:20">
      <c r="B9" s="89">
        <v>1</v>
      </c>
      <c r="C9" s="73" t="s">
        <v>263</v>
      </c>
      <c r="D9" s="73" t="s">
        <v>74</v>
      </c>
      <c r="E9" s="74">
        <f>'29'!L9</f>
        <v>24475.486382408188</v>
      </c>
      <c r="F9" s="74">
        <f>Production2!D32</f>
        <v>2257.86</v>
      </c>
      <c r="G9" s="74">
        <f>F9+'29'!G9</f>
        <v>85521.940000000017</v>
      </c>
      <c r="H9" s="74">
        <f>F9+'29'!H9</f>
        <v>242389.22000000003</v>
      </c>
      <c r="I9" s="74">
        <f>Production2!E32</f>
        <v>1628</v>
      </c>
      <c r="J9" s="74">
        <f>I9+'29'!J9</f>
        <v>67049</v>
      </c>
      <c r="K9" s="74">
        <f>I9+'29'!K9</f>
        <v>207080</v>
      </c>
      <c r="L9" s="74">
        <f>E9+F9-I9-I23</f>
        <v>24697.4941599513</v>
      </c>
      <c r="M9" s="75">
        <f>I9</f>
        <v>1628</v>
      </c>
      <c r="N9" s="75">
        <f>(I9/I15)*100</f>
        <v>93.778801843317979</v>
      </c>
      <c r="O9" s="515"/>
      <c r="P9" s="285">
        <v>10</v>
      </c>
      <c r="Q9" s="261">
        <f>'Raw mill moisture content'!L35</f>
        <v>9.9999999999999908E-2</v>
      </c>
      <c r="S9" s="176"/>
      <c r="T9" s="191"/>
    </row>
    <row r="10" spans="2:20" ht="13.9" customHeight="1">
      <c r="B10" s="79">
        <v>2</v>
      </c>
      <c r="C10" s="516" t="s">
        <v>75</v>
      </c>
      <c r="D10" s="516"/>
      <c r="E10" s="77">
        <f>'Mines (2)'!L32</f>
        <v>3865.2799999999997</v>
      </c>
      <c r="F10" s="77">
        <f>'Mines (2)'!M32</f>
        <v>0</v>
      </c>
      <c r="G10" s="74">
        <f>F10+'29'!G10</f>
        <v>2130.84</v>
      </c>
      <c r="H10" s="74">
        <f>F10+'29'!H10</f>
        <v>7400.2400000000007</v>
      </c>
      <c r="I10" s="77">
        <f>'Mines (2)'!N32</f>
        <v>46</v>
      </c>
      <c r="J10" s="74">
        <f>I10+'29'!J10</f>
        <v>1223</v>
      </c>
      <c r="K10" s="74">
        <f>I10+'29'!K10</f>
        <v>3705</v>
      </c>
      <c r="L10" s="77">
        <f t="shared" ref="L10:L18" si="0">E10+F10-I10</f>
        <v>3819.2799999999997</v>
      </c>
      <c r="M10" s="75">
        <f t="shared" ref="M10:M14" si="1">I10</f>
        <v>46</v>
      </c>
      <c r="N10" s="75">
        <f>(I10/I15)*100</f>
        <v>2.6497695852534564</v>
      </c>
      <c r="O10" s="515"/>
      <c r="P10" s="53">
        <v>10</v>
      </c>
      <c r="Q10" s="262">
        <f>'Raw mill moisture content'!M35</f>
        <v>9.9999999999999964E-2</v>
      </c>
      <c r="T10" s="191"/>
    </row>
    <row r="11" spans="2:20">
      <c r="B11" s="79">
        <v>3</v>
      </c>
      <c r="C11" s="516" t="s">
        <v>77</v>
      </c>
      <c r="D11" s="516"/>
      <c r="E11" s="77">
        <f>Clinker!C32</f>
        <v>1127.8400000000001</v>
      </c>
      <c r="F11" s="77">
        <f>Clinker!D32</f>
        <v>63.48</v>
      </c>
      <c r="G11" s="74">
        <f>F11+'29'!G11</f>
        <v>254.39999999999998</v>
      </c>
      <c r="H11" s="74">
        <f>F11+'29'!H11</f>
        <v>671.68000000000006</v>
      </c>
      <c r="I11" s="77">
        <f>Clinker!E32</f>
        <v>43</v>
      </c>
      <c r="J11" s="74">
        <f>I11+'29'!J11</f>
        <v>1754</v>
      </c>
      <c r="K11" s="74">
        <f>I11+'29'!K11</f>
        <v>4889</v>
      </c>
      <c r="L11" s="77">
        <f t="shared" si="0"/>
        <v>1148.3200000000002</v>
      </c>
      <c r="M11" s="75">
        <f t="shared" si="1"/>
        <v>43</v>
      </c>
      <c r="N11" s="75">
        <f>(I11/I15)*100</f>
        <v>2.4769585253456223</v>
      </c>
      <c r="O11" s="515"/>
      <c r="P11" s="53">
        <v>7</v>
      </c>
      <c r="Q11" s="262">
        <f>'Raw mill moisture content'!N35</f>
        <v>6.9999999999999854E-2</v>
      </c>
      <c r="T11" s="191"/>
    </row>
    <row r="12" spans="2:20" ht="13.9" customHeight="1">
      <c r="B12" s="79">
        <v>4</v>
      </c>
      <c r="C12" s="516" t="s">
        <v>264</v>
      </c>
      <c r="D12" s="516"/>
      <c r="E12" s="77">
        <f>'Mines (2)'!Q32</f>
        <v>3.999999999996362E-2</v>
      </c>
      <c r="F12" s="77">
        <f>'Mines (2)'!R32</f>
        <v>0</v>
      </c>
      <c r="G12" s="74">
        <f>F12+'29'!G12</f>
        <v>0</v>
      </c>
      <c r="H12" s="74">
        <f>F12+'29'!H12</f>
        <v>137.76</v>
      </c>
      <c r="I12" s="77">
        <f>'Mines (2)'!S32</f>
        <v>0</v>
      </c>
      <c r="J12" s="74">
        <f>I12+'29'!J12</f>
        <v>0</v>
      </c>
      <c r="K12" s="74">
        <f>I12+'29'!K12</f>
        <v>738</v>
      </c>
      <c r="L12" s="77">
        <f t="shared" si="0"/>
        <v>3.999999999996362E-2</v>
      </c>
      <c r="M12" s="75">
        <f t="shared" si="1"/>
        <v>0</v>
      </c>
      <c r="N12" s="75">
        <f>(I12/I15)*100</f>
        <v>0</v>
      </c>
      <c r="O12" s="515"/>
      <c r="P12" s="53">
        <v>10</v>
      </c>
      <c r="Q12" s="262" t="e">
        <f>'Raw mill moisture content'!O35</f>
        <v>#DIV/0!</v>
      </c>
      <c r="T12" s="191"/>
    </row>
    <row r="13" spans="2:20" ht="13.9" customHeight="1">
      <c r="B13" s="199">
        <v>5</v>
      </c>
      <c r="C13" s="501" t="s">
        <v>8</v>
      </c>
      <c r="D13" s="502"/>
      <c r="E13" s="77">
        <f>'Mines (2)'!AH32</f>
        <v>271.5</v>
      </c>
      <c r="F13" s="77">
        <f>'Mines (2)'!AI32</f>
        <v>65.2</v>
      </c>
      <c r="G13" s="74">
        <f>F13+'29'!G13</f>
        <v>217.33999999999997</v>
      </c>
      <c r="H13" s="74">
        <f>F13+'29'!H13</f>
        <v>217.33999999999997</v>
      </c>
      <c r="I13" s="77">
        <f>'Mines (2)'!AJ32</f>
        <v>19</v>
      </c>
      <c r="J13" s="74">
        <f>I13+'29'!J13</f>
        <v>198</v>
      </c>
      <c r="K13" s="74">
        <f>I13+'29'!K13</f>
        <v>198</v>
      </c>
      <c r="L13" s="77">
        <f>E13+F13-I13</f>
        <v>317.7</v>
      </c>
      <c r="M13" s="75">
        <f t="shared" si="1"/>
        <v>19</v>
      </c>
      <c r="N13" s="75">
        <f>(I13/I15)*100</f>
        <v>1.0944700460829493</v>
      </c>
      <c r="O13" s="515"/>
      <c r="P13" s="95">
        <v>7</v>
      </c>
      <c r="Q13" s="262">
        <v>7.0000000000000007E-2</v>
      </c>
    </row>
    <row r="14" spans="2:20" ht="13.9" customHeight="1">
      <c r="B14" s="79">
        <v>6</v>
      </c>
      <c r="C14" s="501" t="s">
        <v>338</v>
      </c>
      <c r="D14" s="502"/>
      <c r="E14" s="77">
        <v>0</v>
      </c>
      <c r="F14" s="77">
        <v>0</v>
      </c>
      <c r="G14" s="74">
        <f>F14+'29'!G14</f>
        <v>0</v>
      </c>
      <c r="H14" s="74">
        <f>F14+'29'!H14</f>
        <v>0</v>
      </c>
      <c r="I14" s="77">
        <v>0</v>
      </c>
      <c r="J14" s="74">
        <f>I14+'29'!J14</f>
        <v>0</v>
      </c>
      <c r="K14" s="74">
        <f>I14+'29'!K14</f>
        <v>0</v>
      </c>
      <c r="L14" s="77">
        <f t="shared" ref="L14" si="2">E14+F14-I14</f>
        <v>0</v>
      </c>
      <c r="M14" s="75">
        <f t="shared" si="1"/>
        <v>0</v>
      </c>
      <c r="N14" s="75">
        <f>(I14/I15)*100</f>
        <v>0</v>
      </c>
      <c r="O14" s="515"/>
      <c r="P14" s="95">
        <v>0</v>
      </c>
      <c r="Q14" s="262">
        <f>'Raw mill moisture content'!N38</f>
        <v>0</v>
      </c>
    </row>
    <row r="15" spans="2:20" ht="13.9" customHeight="1">
      <c r="B15" s="79" t="s">
        <v>262</v>
      </c>
      <c r="C15" s="521" t="s">
        <v>265</v>
      </c>
      <c r="D15" s="521"/>
      <c r="E15" s="127">
        <f>SUM(E9:E14)</f>
        <v>29740.146382408187</v>
      </c>
      <c r="F15" s="127">
        <f t="shared" ref="F15:N15" si="3">SUM(F9:F14)</f>
        <v>2386.54</v>
      </c>
      <c r="G15" s="127">
        <f t="shared" si="3"/>
        <v>88124.52</v>
      </c>
      <c r="H15" s="127">
        <f t="shared" si="3"/>
        <v>250816.24000000002</v>
      </c>
      <c r="I15" s="127">
        <f t="shared" si="3"/>
        <v>1736</v>
      </c>
      <c r="J15" s="127">
        <f t="shared" si="3"/>
        <v>70224</v>
      </c>
      <c r="K15" s="127">
        <f t="shared" si="3"/>
        <v>216610</v>
      </c>
      <c r="L15" s="127">
        <f>SUM(L9:L14)</f>
        <v>29982.834159951301</v>
      </c>
      <c r="M15" s="127">
        <f>SUM(M9:M14)</f>
        <v>1736</v>
      </c>
      <c r="N15" s="127">
        <f t="shared" si="3"/>
        <v>100</v>
      </c>
      <c r="O15" s="515"/>
      <c r="P15" s="522"/>
      <c r="Q15" s="523"/>
    </row>
    <row r="16" spans="2:20">
      <c r="B16" s="512">
        <v>6</v>
      </c>
      <c r="C16" s="517" t="s">
        <v>266</v>
      </c>
      <c r="D16" s="80" t="s">
        <v>63</v>
      </c>
      <c r="E16" s="77">
        <f>Clinker!EB32</f>
        <v>3229.9869999999905</v>
      </c>
      <c r="F16" s="77">
        <f>Clinker!EC32</f>
        <v>247.22</v>
      </c>
      <c r="G16" s="77">
        <f>F16+'29'!G16</f>
        <v>5784.6800000000012</v>
      </c>
      <c r="H16" s="77">
        <f>F16+'29'!H16</f>
        <v>6589.920000000001</v>
      </c>
      <c r="I16" s="77">
        <f>Clinker!ED32</f>
        <v>170</v>
      </c>
      <c r="J16" s="77">
        <f>I16+'29'!J16</f>
        <v>7095.5499999999984</v>
      </c>
      <c r="K16" s="77">
        <f>I16+'29'!K16</f>
        <v>21812.859999999997</v>
      </c>
      <c r="L16" s="77">
        <f>E16+F16-I16-Clinker!N32-Clinker!Z32-Clinker!AS32-Clinker!AX32-Clinker!BC32-Clinker!BW32-Clinker!BH32-Clinker!BM32-Clinker!BR32-Clinker!CV32-Clinker!DP32</f>
        <v>3307.2069999999903</v>
      </c>
      <c r="M16" s="81"/>
      <c r="N16" s="81"/>
      <c r="O16" s="515"/>
      <c r="P16" s="82">
        <v>10</v>
      </c>
      <c r="Q16" s="264">
        <f>'Raw mill moisture content'!S35</f>
        <v>0.10000000000000013</v>
      </c>
      <c r="R16" s="83"/>
    </row>
    <row r="17" spans="2:19">
      <c r="B17" s="512"/>
      <c r="C17" s="517"/>
      <c r="D17" s="80" t="s">
        <v>62</v>
      </c>
      <c r="E17" s="77">
        <f>Clinker!EF32</f>
        <v>3656.0199999999936</v>
      </c>
      <c r="F17" s="77">
        <f>Clinker!EG32</f>
        <v>0</v>
      </c>
      <c r="G17" s="77">
        <f>F17+'29'!G17</f>
        <v>3763.3000000000006</v>
      </c>
      <c r="H17" s="77">
        <f>F17+'29'!H17</f>
        <v>5904.2499999999991</v>
      </c>
      <c r="I17" s="77">
        <f>Clinker!EH32</f>
        <v>122</v>
      </c>
      <c r="J17" s="77">
        <f>I17+'29'!J17</f>
        <v>4288</v>
      </c>
      <c r="K17" s="77">
        <f>I17+'29'!K17</f>
        <v>12460</v>
      </c>
      <c r="L17" s="77">
        <f>E17+F17-Clinker!AE32-Clinker!AJ32-Clinker!CL32-Clinker!CQ32-Clinker!CG32</f>
        <v>3534.0199999999936</v>
      </c>
      <c r="M17" s="81"/>
      <c r="N17" s="81"/>
      <c r="O17" s="515"/>
      <c r="P17" s="82"/>
      <c r="Q17" s="82"/>
      <c r="R17" s="83"/>
    </row>
    <row r="18" spans="2:19">
      <c r="B18" s="512"/>
      <c r="C18" s="476"/>
      <c r="D18" s="124" t="s">
        <v>162</v>
      </c>
      <c r="E18" s="125">
        <f>E16+E17</f>
        <v>6886.0069999999841</v>
      </c>
      <c r="F18" s="125">
        <f>F16+F17</f>
        <v>247.22</v>
      </c>
      <c r="G18" s="125">
        <f t="shared" ref="G18:K18" si="4">G16+G17</f>
        <v>9547.9800000000014</v>
      </c>
      <c r="H18" s="125">
        <f t="shared" si="4"/>
        <v>12494.17</v>
      </c>
      <c r="I18" s="125">
        <f>I16+I17</f>
        <v>292</v>
      </c>
      <c r="J18" s="125">
        <f>J16+J17</f>
        <v>11383.55</v>
      </c>
      <c r="K18" s="125">
        <f t="shared" si="4"/>
        <v>34272.86</v>
      </c>
      <c r="L18" s="125">
        <f t="shared" si="0"/>
        <v>6841.2269999999844</v>
      </c>
      <c r="M18" s="126"/>
      <c r="N18" s="126"/>
      <c r="O18" s="515"/>
      <c r="P18" s="84"/>
      <c r="Q18" s="131"/>
      <c r="R18" s="83"/>
    </row>
    <row r="19" spans="2:19" ht="14.45" customHeight="1">
      <c r="B19" s="72"/>
      <c r="C19" s="529" t="s">
        <v>267</v>
      </c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1"/>
      <c r="R19" s="20"/>
    </row>
    <row r="20" spans="2:19">
      <c r="B20" s="512">
        <v>7</v>
      </c>
      <c r="C20" s="477" t="s">
        <v>268</v>
      </c>
      <c r="D20" s="85" t="s">
        <v>269</v>
      </c>
      <c r="E20" s="74">
        <f>Clinker!EJ32</f>
        <v>11351.229560843873</v>
      </c>
      <c r="F20" s="74">
        <f>Clinker!EK32</f>
        <v>850</v>
      </c>
      <c r="G20" s="74">
        <f>F20+'29'!G20</f>
        <v>40798</v>
      </c>
      <c r="H20" s="74">
        <f>F20+'29'!H20</f>
        <v>126324</v>
      </c>
      <c r="I20" s="74">
        <f>Clinker!EL32</f>
        <v>2254.952499755901</v>
      </c>
      <c r="J20" s="74">
        <f>I20+'29'!J20</f>
        <v>56797.53202467371</v>
      </c>
      <c r="K20" s="74">
        <f>I20+'29'!K20</f>
        <v>119659.26303853875</v>
      </c>
      <c r="L20" s="74">
        <f>E20+F20-I20-I22</f>
        <v>9946.2770610879707</v>
      </c>
      <c r="M20" s="75">
        <f>((I20+I21)/(J42+J48))*100</f>
        <v>81.701177527387713</v>
      </c>
      <c r="N20" s="525"/>
      <c r="O20" s="527"/>
      <c r="P20" s="535"/>
      <c r="Q20" s="536"/>
      <c r="R20" s="190"/>
      <c r="S20" s="176"/>
    </row>
    <row r="21" spans="2:19" ht="45">
      <c r="B21" s="512"/>
      <c r="C21" s="477"/>
      <c r="D21" s="85" t="s">
        <v>70</v>
      </c>
      <c r="E21" s="74">
        <f>Clinker!EO32</f>
        <v>89.258008000135931</v>
      </c>
      <c r="F21" s="74">
        <f>Clinker!EP32</f>
        <v>0</v>
      </c>
      <c r="G21" s="74">
        <f>F21+'29'!G21</f>
        <v>0</v>
      </c>
      <c r="H21" s="74">
        <f>F21+'29'!H21</f>
        <v>13390.660000000003</v>
      </c>
      <c r="I21" s="74">
        <f>Clinker!EQ32</f>
        <v>0</v>
      </c>
      <c r="J21" s="74">
        <f>I21+'29'!J21</f>
        <v>5216.8510000000006</v>
      </c>
      <c r="K21" s="74">
        <f>I21+'29'!K21</f>
        <v>22150.950999999997</v>
      </c>
      <c r="L21" s="74">
        <f>E21+F21-I21</f>
        <v>89.258008000135931</v>
      </c>
      <c r="M21" s="75"/>
      <c r="N21" s="525"/>
      <c r="O21" s="527"/>
      <c r="P21" s="535"/>
      <c r="Q21" s="536"/>
      <c r="R21" s="190"/>
      <c r="S21" s="176"/>
    </row>
    <row r="22" spans="2:19" ht="30">
      <c r="B22" s="512"/>
      <c r="C22" s="524"/>
      <c r="D22" s="86" t="s">
        <v>270</v>
      </c>
      <c r="E22" s="77"/>
      <c r="F22" s="77">
        <v>0</v>
      </c>
      <c r="G22" s="74">
        <f>F22+'29'!G22</f>
        <v>0</v>
      </c>
      <c r="H22" s="74">
        <f>F22+'29'!H22</f>
        <v>0</v>
      </c>
      <c r="I22" s="77">
        <f>Clinker!EN32</f>
        <v>0</v>
      </c>
      <c r="J22" s="74">
        <f>I22+'29'!J22</f>
        <v>0</v>
      </c>
      <c r="K22" s="74">
        <f>I22+'29'!K22</f>
        <v>0</v>
      </c>
      <c r="L22" s="74"/>
      <c r="M22" s="78"/>
      <c r="N22" s="526"/>
      <c r="O22" s="527"/>
      <c r="P22" s="570"/>
      <c r="Q22" s="571"/>
      <c r="R22" s="20"/>
    </row>
    <row r="23" spans="2:19">
      <c r="B23" s="89">
        <v>8</v>
      </c>
      <c r="C23" s="474" t="s">
        <v>263</v>
      </c>
      <c r="D23" s="475"/>
      <c r="E23" s="77">
        <f>Cement!P32</f>
        <v>0</v>
      </c>
      <c r="F23" s="77">
        <f>Cement!Q32</f>
        <v>0</v>
      </c>
      <c r="G23" s="74">
        <f>F23+'29'!G23</f>
        <v>0</v>
      </c>
      <c r="H23" s="74">
        <f>F23+'29'!H23</f>
        <v>0</v>
      </c>
      <c r="I23" s="77">
        <f>Cement!S32</f>
        <v>407.85222245688743</v>
      </c>
      <c r="J23" s="74">
        <f>I23+'29'!J23</f>
        <v>13243.246102379868</v>
      </c>
      <c r="K23" s="74">
        <f>I23+'29'!K23</f>
        <v>33716.597537232548</v>
      </c>
      <c r="L23" s="74"/>
      <c r="M23" s="78">
        <f>(I23/(J42+J48))*100</f>
        <v>14.777254436843748</v>
      </c>
      <c r="N23" s="78"/>
      <c r="O23" s="527"/>
      <c r="P23" s="87">
        <v>10</v>
      </c>
      <c r="Q23" s="572"/>
      <c r="R23" s="20"/>
    </row>
    <row r="24" spans="2:19">
      <c r="B24" s="89">
        <v>9</v>
      </c>
      <c r="C24" s="517" t="s">
        <v>271</v>
      </c>
      <c r="D24" s="517"/>
      <c r="E24" s="77">
        <f>Cement!C32</f>
        <v>3246.8246329432159</v>
      </c>
      <c r="F24" s="77">
        <f>Cement!D32</f>
        <v>91.7</v>
      </c>
      <c r="G24" s="74">
        <f>F24+'29'!G24</f>
        <v>3089.4599999999996</v>
      </c>
      <c r="H24" s="74">
        <f>F24+'29'!H24</f>
        <v>5216.08</v>
      </c>
      <c r="I24" s="77">
        <f>Cement!F32</f>
        <v>145.24263161357885</v>
      </c>
      <c r="J24" s="74">
        <f>I24+'29'!J24</f>
        <v>4104.5085359950026</v>
      </c>
      <c r="K24" s="74">
        <f>I24+'29'!K24</f>
        <v>9468.1780578201469</v>
      </c>
      <c r="L24" s="74">
        <f t="shared" ref="L24:L26" si="5">E24+F24-I24</f>
        <v>3193.2820013296368</v>
      </c>
      <c r="M24" s="78">
        <f>(I24/(J42+J48))*100</f>
        <v>5.2624141888977842</v>
      </c>
      <c r="N24" s="78"/>
      <c r="O24" s="527"/>
      <c r="P24" s="87">
        <v>5</v>
      </c>
      <c r="Q24" s="573"/>
      <c r="R24" s="20"/>
    </row>
    <row r="25" spans="2:19">
      <c r="B25" s="512">
        <v>10</v>
      </c>
      <c r="C25" s="476" t="s">
        <v>272</v>
      </c>
      <c r="D25" s="76" t="s">
        <v>82</v>
      </c>
      <c r="E25" s="77">
        <f>Cement!H32</f>
        <v>0.23999999999796273</v>
      </c>
      <c r="F25" s="77">
        <f>Cement!I32</f>
        <v>0</v>
      </c>
      <c r="G25" s="74">
        <f>F25+'29'!G25</f>
        <v>0</v>
      </c>
      <c r="H25" s="74">
        <f>F25+'29'!H25</f>
        <v>0</v>
      </c>
      <c r="I25" s="77">
        <f>Cement!J32</f>
        <v>0</v>
      </c>
      <c r="J25" s="74">
        <f>I25+'29'!J25</f>
        <v>0</v>
      </c>
      <c r="K25" s="74">
        <f>I25+'29'!K25</f>
        <v>0</v>
      </c>
      <c r="L25" s="74">
        <f t="shared" si="5"/>
        <v>0.23999999999796273</v>
      </c>
      <c r="M25" s="532"/>
      <c r="N25" s="532"/>
      <c r="O25" s="527"/>
      <c r="P25" s="533"/>
      <c r="Q25" s="534"/>
      <c r="R25" s="243"/>
    </row>
    <row r="26" spans="2:19">
      <c r="B26" s="512"/>
      <c r="C26" s="524"/>
      <c r="D26" s="76" t="s">
        <v>273</v>
      </c>
      <c r="E26" s="77">
        <f>Cement!L32</f>
        <v>0</v>
      </c>
      <c r="F26" s="77">
        <f>Cement!M32</f>
        <v>0</v>
      </c>
      <c r="G26" s="74">
        <f>F26+'29'!G26</f>
        <v>0</v>
      </c>
      <c r="H26" s="74">
        <f>F26+'29'!H26</f>
        <v>0</v>
      </c>
      <c r="I26" s="77">
        <f>Cement!N32</f>
        <v>0</v>
      </c>
      <c r="J26" s="74">
        <f>I26+'29'!J26</f>
        <v>0</v>
      </c>
      <c r="K26" s="74">
        <f>I26+'29'!K26</f>
        <v>0</v>
      </c>
      <c r="L26" s="74">
        <f t="shared" si="5"/>
        <v>0</v>
      </c>
      <c r="M26" s="532"/>
      <c r="N26" s="532"/>
      <c r="O26" s="527"/>
      <c r="P26" s="535"/>
      <c r="Q26" s="536"/>
      <c r="R26" s="83"/>
    </row>
    <row r="27" spans="2:19" ht="14.45" customHeight="1" thickBot="1">
      <c r="B27" s="90" t="s">
        <v>262</v>
      </c>
      <c r="C27" s="539" t="s">
        <v>274</v>
      </c>
      <c r="D27" s="539"/>
      <c r="E27" s="122">
        <f>E20+E21+E23+E24+E25+E26</f>
        <v>14687.552201787221</v>
      </c>
      <c r="F27" s="122">
        <f t="shared" ref="F27:L27" si="6">F20+F21+F23+F24+F25+F26</f>
        <v>941.7</v>
      </c>
      <c r="G27" s="122">
        <f t="shared" si="6"/>
        <v>43887.46</v>
      </c>
      <c r="H27" s="122">
        <f t="shared" si="6"/>
        <v>144930.74</v>
      </c>
      <c r="I27" s="122">
        <f t="shared" si="6"/>
        <v>2808.0473538263673</v>
      </c>
      <c r="J27" s="122">
        <f t="shared" si="6"/>
        <v>79362.137663048576</v>
      </c>
      <c r="K27" s="122">
        <f t="shared" si="6"/>
        <v>184994.98963359147</v>
      </c>
      <c r="L27" s="122">
        <f t="shared" si="6"/>
        <v>13229.057070417741</v>
      </c>
      <c r="M27" s="540"/>
      <c r="N27" s="540"/>
      <c r="O27" s="528"/>
      <c r="P27" s="537"/>
      <c r="Q27" s="538"/>
      <c r="R27" s="83"/>
    </row>
    <row r="28" spans="2:19" ht="14.45" customHeight="1" thickBot="1">
      <c r="B28" s="479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1"/>
      <c r="R28" s="83"/>
    </row>
    <row r="29" spans="2:19">
      <c r="B29" s="482" t="s">
        <v>275</v>
      </c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4"/>
      <c r="R29" s="83"/>
    </row>
    <row r="30" spans="2:19" s="70" customFormat="1" ht="13.9" customHeight="1">
      <c r="B30" s="485" t="s">
        <v>250</v>
      </c>
      <c r="C30" s="487" t="s">
        <v>276</v>
      </c>
      <c r="D30" s="488"/>
      <c r="E30" s="134" t="s">
        <v>277</v>
      </c>
      <c r="F30" s="491" t="s">
        <v>278</v>
      </c>
      <c r="G30" s="492"/>
      <c r="H30" s="493"/>
      <c r="I30" s="494" t="s">
        <v>279</v>
      </c>
      <c r="J30" s="496" t="s">
        <v>80</v>
      </c>
      <c r="K30" s="497"/>
      <c r="L30" s="498"/>
      <c r="M30" s="496" t="s">
        <v>79</v>
      </c>
      <c r="N30" s="497"/>
      <c r="O30" s="498"/>
      <c r="P30" s="494" t="s">
        <v>256</v>
      </c>
      <c r="Q30" s="499" t="s">
        <v>113</v>
      </c>
      <c r="R30" s="67"/>
    </row>
    <row r="31" spans="2:19" s="70" customFormat="1" ht="15.75" thickBot="1">
      <c r="B31" s="486"/>
      <c r="C31" s="489"/>
      <c r="D31" s="490"/>
      <c r="E31" s="143" t="s">
        <v>280</v>
      </c>
      <c r="F31" s="144" t="s">
        <v>260</v>
      </c>
      <c r="G31" s="144" t="s">
        <v>27</v>
      </c>
      <c r="H31" s="144" t="s">
        <v>28</v>
      </c>
      <c r="I31" s="495"/>
      <c r="J31" s="144" t="s">
        <v>260</v>
      </c>
      <c r="K31" s="144" t="s">
        <v>27</v>
      </c>
      <c r="L31" s="144" t="s">
        <v>28</v>
      </c>
      <c r="M31" s="144" t="s">
        <v>260</v>
      </c>
      <c r="N31" s="144" t="s">
        <v>27</v>
      </c>
      <c r="O31" s="144" t="s">
        <v>28</v>
      </c>
      <c r="P31" s="495"/>
      <c r="Q31" s="500"/>
      <c r="R31" s="67"/>
    </row>
    <row r="32" spans="2:19">
      <c r="B32" s="91">
        <v>1</v>
      </c>
      <c r="C32" s="567" t="s">
        <v>281</v>
      </c>
      <c r="D32" s="568"/>
      <c r="E32" s="92">
        <v>250</v>
      </c>
      <c r="F32" s="75">
        <f>Production2!C32</f>
        <v>21.07</v>
      </c>
      <c r="G32" s="75">
        <f>F32+'29'!G32</f>
        <v>551.55000000000007</v>
      </c>
      <c r="H32" s="75">
        <f>F32+'29'!H32</f>
        <v>1520.68</v>
      </c>
      <c r="I32" s="74">
        <f>'Mines (2)'!C32+'Mines (2)'!H32+'Mines (2)'!V32+'Mines (2)'!Z32+'Mines (2)'!AD32</f>
        <v>24475.486382408191</v>
      </c>
      <c r="J32" s="74">
        <f>Production2!D32</f>
        <v>2257.86</v>
      </c>
      <c r="K32" s="74">
        <f>J32+'29'!K32</f>
        <v>85521.940000000017</v>
      </c>
      <c r="L32" s="74">
        <f>J32+'29'!L32</f>
        <v>242389.22000000003</v>
      </c>
      <c r="M32" s="74">
        <f>I9+I23</f>
        <v>2035.8522224568874</v>
      </c>
      <c r="N32" s="74">
        <f>M32+'29'!N32</f>
        <v>80292.246102379868</v>
      </c>
      <c r="O32" s="74">
        <f>M32+'29'!O32</f>
        <v>240796.5975372325</v>
      </c>
      <c r="P32" s="74">
        <f>I32+J32-M32</f>
        <v>24697.494159951304</v>
      </c>
      <c r="Q32" s="93">
        <f>J32/F32</f>
        <v>107.15994304698624</v>
      </c>
      <c r="R32" s="94"/>
    </row>
    <row r="33" spans="2:20">
      <c r="B33" s="79">
        <v>2</v>
      </c>
      <c r="C33" s="501" t="s">
        <v>322</v>
      </c>
      <c r="D33" s="502"/>
      <c r="E33" s="95">
        <v>120</v>
      </c>
      <c r="F33" s="78">
        <f>Production2!G32</f>
        <v>12</v>
      </c>
      <c r="G33" s="75">
        <f>F33+'29'!G33</f>
        <v>520.76</v>
      </c>
      <c r="H33" s="75">
        <f>F33+'29'!H33</f>
        <v>1590.2999999999993</v>
      </c>
      <c r="I33" s="541">
        <f>Production2!H32</f>
        <v>1044.140016837518</v>
      </c>
      <c r="J33" s="77">
        <f>Production2!N32</f>
        <v>1476</v>
      </c>
      <c r="K33" s="74">
        <f>J33+'29'!K33</f>
        <v>59888.959999999999</v>
      </c>
      <c r="L33" s="74">
        <f>J33+'29'!L33</f>
        <v>186174.55</v>
      </c>
      <c r="M33" s="541">
        <f>Production2!K32</f>
        <v>1317.5</v>
      </c>
      <c r="N33" s="541">
        <f>M33+'29'!N33</f>
        <v>63236.900000000009</v>
      </c>
      <c r="O33" s="541">
        <f>M33+'29'!O33</f>
        <v>195802.19999999998</v>
      </c>
      <c r="P33" s="541">
        <f>I33+J34+J33-M33</f>
        <v>1290.9000168375178</v>
      </c>
      <c r="Q33" s="96">
        <f t="shared" ref="Q33:Q48" si="7">J33/F33</f>
        <v>123</v>
      </c>
      <c r="R33" s="94"/>
    </row>
    <row r="34" spans="2:20">
      <c r="B34" s="91">
        <v>3</v>
      </c>
      <c r="C34" s="501" t="s">
        <v>283</v>
      </c>
      <c r="D34" s="502"/>
      <c r="E34" s="95">
        <v>20</v>
      </c>
      <c r="F34" s="78">
        <f>Production2!P32</f>
        <v>11</v>
      </c>
      <c r="G34" s="75">
        <f>F34+'29'!G34</f>
        <v>382.97999999999996</v>
      </c>
      <c r="H34" s="75">
        <f>F34+'29'!H34</f>
        <v>998.65000000000009</v>
      </c>
      <c r="I34" s="473"/>
      <c r="J34" s="77">
        <f>Production2!Q32</f>
        <v>88.26</v>
      </c>
      <c r="K34" s="74">
        <f>J34+'29'!K34</f>
        <v>3371.2000000000003</v>
      </c>
      <c r="L34" s="74">
        <f>J34+'29'!L34</f>
        <v>8924.8200000000033</v>
      </c>
      <c r="M34" s="473"/>
      <c r="N34" s="473"/>
      <c r="O34" s="473"/>
      <c r="P34" s="473"/>
      <c r="Q34" s="96">
        <f>J34/F34</f>
        <v>8.0236363636363635</v>
      </c>
      <c r="R34" s="94"/>
      <c r="S34" s="94"/>
    </row>
    <row r="35" spans="2:20">
      <c r="B35" s="79">
        <v>4</v>
      </c>
      <c r="C35" s="501" t="s">
        <v>157</v>
      </c>
      <c r="D35" s="502"/>
      <c r="E35" s="95">
        <v>10</v>
      </c>
      <c r="F35" s="78">
        <f>Production2!S32</f>
        <v>12</v>
      </c>
      <c r="G35" s="75">
        <f>F35+'29'!G35</f>
        <v>474.84</v>
      </c>
      <c r="H35" s="75">
        <f>F35+'29'!H35</f>
        <v>1428.17</v>
      </c>
      <c r="I35" s="77">
        <f>Production2!T32</f>
        <v>42.109999999999786</v>
      </c>
      <c r="J35" s="77">
        <f>Production2!U32</f>
        <v>153</v>
      </c>
      <c r="K35" s="74">
        <f>J35+'29'!K35</f>
        <v>6386.0000000000009</v>
      </c>
      <c r="L35" s="74">
        <f>J35+'29'!L35</f>
        <v>19631.599999999995</v>
      </c>
      <c r="M35" s="77">
        <f>Production2!V32</f>
        <v>144</v>
      </c>
      <c r="N35" s="74">
        <f>M35+'29'!N35</f>
        <v>6377</v>
      </c>
      <c r="O35" s="74">
        <f>M35+'29'!O35</f>
        <v>19596</v>
      </c>
      <c r="P35" s="74">
        <f t="shared" ref="P35" si="8">I35+J35-M35</f>
        <v>51.109999999999786</v>
      </c>
      <c r="Q35" s="96">
        <f t="shared" si="7"/>
        <v>12.75</v>
      </c>
      <c r="R35" s="94"/>
    </row>
    <row r="36" spans="2:20">
      <c r="B36" s="91">
        <v>5</v>
      </c>
      <c r="C36" s="501" t="s">
        <v>63</v>
      </c>
      <c r="D36" s="502"/>
      <c r="E36" s="95">
        <v>50</v>
      </c>
      <c r="F36" s="78">
        <f>Production2!Y32</f>
        <v>14.6</v>
      </c>
      <c r="G36" s="75">
        <f>F36+'29'!G36</f>
        <v>661.91</v>
      </c>
      <c r="H36" s="75">
        <f>F36+'29'!H36</f>
        <v>1976.7199999999998</v>
      </c>
      <c r="I36" s="77">
        <f>Clinker!EJ32</f>
        <v>11351.229560843873</v>
      </c>
      <c r="J36" s="77">
        <f>Clinker!EK32</f>
        <v>850</v>
      </c>
      <c r="K36" s="74">
        <f>J36+'29'!K36</f>
        <v>40798</v>
      </c>
      <c r="L36" s="74">
        <f>J36+'29'!L36</f>
        <v>126324</v>
      </c>
      <c r="M36" s="77">
        <f>Clinker!EL32</f>
        <v>2254.952499755901</v>
      </c>
      <c r="N36" s="74">
        <f>M36+'29'!N36</f>
        <v>56797.53202467371</v>
      </c>
      <c r="O36" s="74">
        <f>M36+'29'!O36</f>
        <v>119659.26303853875</v>
      </c>
      <c r="P36" s="74">
        <f>I36+J36-M36-I22</f>
        <v>9946.2770610879707</v>
      </c>
      <c r="Q36" s="96">
        <f t="shared" si="7"/>
        <v>58.219178082191782</v>
      </c>
      <c r="R36" s="94"/>
    </row>
    <row r="37" spans="2:20">
      <c r="B37" s="569">
        <v>6</v>
      </c>
      <c r="C37" s="476" t="s">
        <v>158</v>
      </c>
      <c r="D37" s="80" t="s">
        <v>285</v>
      </c>
      <c r="E37" s="97">
        <v>90</v>
      </c>
      <c r="F37" s="78">
        <f>Production2!AE32</f>
        <v>0</v>
      </c>
      <c r="G37" s="75">
        <f>F37+'29'!G37</f>
        <v>28.2</v>
      </c>
      <c r="H37" s="75">
        <f>F37+'29'!H37</f>
        <v>67.900000000000006</v>
      </c>
      <c r="I37" s="77">
        <f>Production2!BJ32</f>
        <v>48.049999999999933</v>
      </c>
      <c r="J37" s="77">
        <f>Production2!AF32</f>
        <v>0</v>
      </c>
      <c r="K37" s="74">
        <f>J37+'29'!K37</f>
        <v>1932</v>
      </c>
      <c r="L37" s="74">
        <f>J37+'29'!L37</f>
        <v>4566</v>
      </c>
      <c r="M37" s="77">
        <f>Production2!BL32</f>
        <v>90</v>
      </c>
      <c r="N37" s="74">
        <f>M37+'29'!N37</f>
        <v>4050</v>
      </c>
      <c r="O37" s="74">
        <f>M37+'29'!O37</f>
        <v>9088</v>
      </c>
      <c r="P37" s="74">
        <f>I37+J37+J43-M37-F61</f>
        <v>78.049999999999926</v>
      </c>
      <c r="Q37" s="96" t="e">
        <f t="shared" si="7"/>
        <v>#DIV/0!</v>
      </c>
      <c r="R37" s="94"/>
    </row>
    <row r="38" spans="2:20">
      <c r="B38" s="564"/>
      <c r="C38" s="477"/>
      <c r="D38" s="80" t="s">
        <v>286</v>
      </c>
      <c r="E38" s="97">
        <v>78</v>
      </c>
      <c r="F38" s="78">
        <f>Production2!AB32</f>
        <v>22</v>
      </c>
      <c r="G38" s="75">
        <f>F38+'29'!G38</f>
        <v>560.63</v>
      </c>
      <c r="H38" s="75">
        <f>F38+'29'!H38</f>
        <v>1059.0999999999999</v>
      </c>
      <c r="I38" s="77">
        <f>Production2!BF32</f>
        <v>142.77799999997751</v>
      </c>
      <c r="J38" s="77">
        <f>Production2!AC32</f>
        <v>1450</v>
      </c>
      <c r="K38" s="74">
        <f>J38+'29'!K38</f>
        <v>36737</v>
      </c>
      <c r="L38" s="74">
        <f>J38+'29'!L38</f>
        <v>68067</v>
      </c>
      <c r="M38" s="77">
        <f>Production2!BH32</f>
        <v>2097.44</v>
      </c>
      <c r="N38" s="74">
        <f>M38+'29'!N38</f>
        <v>66183.39</v>
      </c>
      <c r="O38" s="74">
        <f>M38+'29'!O38</f>
        <v>146926.21999999997</v>
      </c>
      <c r="P38" s="74">
        <f>I38+J38+J44-M38-F59</f>
        <v>20.337999999977455</v>
      </c>
      <c r="Q38" s="96">
        <f t="shared" si="7"/>
        <v>65.909090909090907</v>
      </c>
      <c r="R38" s="94"/>
    </row>
    <row r="39" spans="2:20">
      <c r="B39" s="564"/>
      <c r="C39" s="477"/>
      <c r="D39" s="80" t="s">
        <v>287</v>
      </c>
      <c r="E39" s="97">
        <v>78</v>
      </c>
      <c r="F39" s="78">
        <f>Production2!AH32</f>
        <v>0</v>
      </c>
      <c r="G39" s="75">
        <f>F39+'29'!G39</f>
        <v>0</v>
      </c>
      <c r="H39" s="75">
        <f>F39+'29'!H39</f>
        <v>0</v>
      </c>
      <c r="I39" s="77">
        <f>Production2!BN32</f>
        <v>9.0000000000849845E-2</v>
      </c>
      <c r="J39" s="77">
        <f>Production2!AI32</f>
        <v>0</v>
      </c>
      <c r="K39" s="74">
        <f>J39+'29'!K39</f>
        <v>0</v>
      </c>
      <c r="L39" s="74">
        <f>J39+'29'!L39</f>
        <v>0</v>
      </c>
      <c r="M39" s="77">
        <f>Production2!BP32</f>
        <v>0</v>
      </c>
      <c r="N39" s="74">
        <f>M39+'29'!N39</f>
        <v>0</v>
      </c>
      <c r="O39" s="74">
        <f>M39+'29'!O39</f>
        <v>-0.15</v>
      </c>
      <c r="P39" s="74">
        <f>I39+J39+J45-M39-F60</f>
        <v>9.0000000000849845E-2</v>
      </c>
      <c r="Q39" s="96" t="e">
        <f t="shared" si="7"/>
        <v>#DIV/0!</v>
      </c>
      <c r="R39" s="94"/>
    </row>
    <row r="40" spans="2:20">
      <c r="B40" s="564"/>
      <c r="C40" s="477"/>
      <c r="D40" s="194" t="s">
        <v>187</v>
      </c>
      <c r="E40" s="97">
        <v>65</v>
      </c>
      <c r="F40" s="84">
        <f>Production2!AK32</f>
        <v>0</v>
      </c>
      <c r="G40" s="75">
        <f>F40+'29'!G40</f>
        <v>3</v>
      </c>
      <c r="H40" s="75">
        <f>F40+'29'!H40</f>
        <v>8</v>
      </c>
      <c r="I40" s="195">
        <f>Production2!BR32</f>
        <v>57.350000000000023</v>
      </c>
      <c r="J40" s="195">
        <v>0</v>
      </c>
      <c r="K40" s="74">
        <f>J40+'29'!K40</f>
        <v>185</v>
      </c>
      <c r="L40" s="74">
        <f>J40+'29'!L40</f>
        <v>485</v>
      </c>
      <c r="M40" s="77">
        <f>Production2!BT32</f>
        <v>90</v>
      </c>
      <c r="N40" s="74">
        <f>M40+'29'!N40</f>
        <v>2141</v>
      </c>
      <c r="O40" s="74">
        <f>M40+'29'!O40</f>
        <v>5173.5</v>
      </c>
      <c r="P40" s="74">
        <f>I40+J40+J46-M40-F62</f>
        <v>22.350000000000023</v>
      </c>
      <c r="Q40" s="96" t="e">
        <f t="shared" si="7"/>
        <v>#DIV/0!</v>
      </c>
      <c r="R40" s="94"/>
      <c r="S40" s="94"/>
    </row>
    <row r="41" spans="2:20">
      <c r="B41" s="564"/>
      <c r="C41" s="477"/>
      <c r="D41" s="80" t="s">
        <v>288</v>
      </c>
      <c r="E41" s="97"/>
      <c r="F41" s="84">
        <f>Production2!AN32</f>
        <v>0</v>
      </c>
      <c r="G41" s="75">
        <f>F41+'29'!G41</f>
        <v>65.5</v>
      </c>
      <c r="H41" s="75">
        <f>F41+'29'!H41</f>
        <v>191.67</v>
      </c>
      <c r="I41" s="195">
        <f>Production2!BV32</f>
        <v>77.040000000000049</v>
      </c>
      <c r="J41" s="195">
        <f>Production2!AO32</f>
        <v>0</v>
      </c>
      <c r="K41" s="74">
        <f>J41+'29'!K41</f>
        <v>4484</v>
      </c>
      <c r="L41" s="74">
        <f>J41+'29'!L41</f>
        <v>12662</v>
      </c>
      <c r="M41" s="77">
        <f>Production2!BX32</f>
        <v>560.72</v>
      </c>
      <c r="N41" s="74">
        <f>M41+'29'!N41</f>
        <v>8899.9299999999985</v>
      </c>
      <c r="O41" s="74">
        <f>M41+'29'!O41</f>
        <v>22895.240000000005</v>
      </c>
      <c r="P41" s="74">
        <f>I41+J47+J41-M41-F63</f>
        <v>126.32000000000005</v>
      </c>
      <c r="Q41" s="96" t="e">
        <f t="shared" si="7"/>
        <v>#DIV/0!</v>
      </c>
      <c r="R41" s="94"/>
      <c r="S41" s="94"/>
    </row>
    <row r="42" spans="2:20" ht="15.75" thickBot="1">
      <c r="B42" s="565"/>
      <c r="C42" s="478"/>
      <c r="D42" s="120" t="s">
        <v>162</v>
      </c>
      <c r="E42" s="121">
        <v>70</v>
      </c>
      <c r="F42" s="132">
        <f>F37+F38+F39+F40+F41</f>
        <v>22</v>
      </c>
      <c r="G42" s="132">
        <f t="shared" ref="G42:H42" si="9">G37+G38+G39+G40+G41</f>
        <v>657.33</v>
      </c>
      <c r="H42" s="132">
        <f t="shared" si="9"/>
        <v>1326.67</v>
      </c>
      <c r="I42" s="122">
        <f>I37+I38+I39+I40+I41</f>
        <v>325.30799999997839</v>
      </c>
      <c r="J42" s="122">
        <f t="shared" ref="J42:L42" si="10">J37+J38+J39+J40+J41</f>
        <v>1450</v>
      </c>
      <c r="K42" s="122">
        <f t="shared" si="10"/>
        <v>43338</v>
      </c>
      <c r="L42" s="132">
        <f t="shared" si="10"/>
        <v>85780</v>
      </c>
      <c r="M42" s="122">
        <f>M37+M38+M39+M40+M41</f>
        <v>2838.16</v>
      </c>
      <c r="N42" s="122">
        <f>N37+N38+N39+N40+N41</f>
        <v>81274.319999999992</v>
      </c>
      <c r="O42" s="122">
        <f>O37+O38+O39+O40+O41</f>
        <v>184082.81</v>
      </c>
      <c r="P42" s="122">
        <f>P37+P38+P39+P40+P41</f>
        <v>247.14799999997831</v>
      </c>
      <c r="Q42" s="123">
        <f t="shared" si="7"/>
        <v>65.909090909090907</v>
      </c>
      <c r="R42" s="94"/>
    </row>
    <row r="43" spans="2:20" ht="15" customHeight="1">
      <c r="B43" s="563">
        <v>7</v>
      </c>
      <c r="C43" s="566" t="s">
        <v>289</v>
      </c>
      <c r="D43" s="80" t="s">
        <v>285</v>
      </c>
      <c r="E43" s="97">
        <v>75</v>
      </c>
      <c r="F43" s="78">
        <f>Production2!AT32</f>
        <v>2</v>
      </c>
      <c r="G43" s="75">
        <f>F43+'29'!G43</f>
        <v>26.5</v>
      </c>
      <c r="H43" s="75">
        <f>F43+'29'!H43</f>
        <v>71.929999999999993</v>
      </c>
      <c r="I43" s="471"/>
      <c r="J43" s="77">
        <f>Production2!AU32</f>
        <v>120</v>
      </c>
      <c r="K43" s="74">
        <f>J43+'29'!K43</f>
        <v>1618</v>
      </c>
      <c r="L43" s="74">
        <f>J43+'29'!L43</f>
        <v>4368</v>
      </c>
      <c r="M43" s="542"/>
      <c r="N43" s="543"/>
      <c r="O43" s="543"/>
      <c r="P43" s="544"/>
      <c r="Q43" s="96">
        <f t="shared" si="7"/>
        <v>60</v>
      </c>
      <c r="R43" s="94"/>
      <c r="S43" s="94"/>
    </row>
    <row r="44" spans="2:20">
      <c r="B44" s="564"/>
      <c r="C44" s="477"/>
      <c r="D44" s="80" t="s">
        <v>286</v>
      </c>
      <c r="E44" s="97">
        <v>70</v>
      </c>
      <c r="F44" s="78">
        <f>Production2!AQ32</f>
        <v>9</v>
      </c>
      <c r="G44" s="75">
        <f>F44+'29'!G44</f>
        <v>472.1</v>
      </c>
      <c r="H44" s="75">
        <f>F44+'29'!H44</f>
        <v>1322.51</v>
      </c>
      <c r="I44" s="472"/>
      <c r="J44" s="77">
        <f>Production2!AR32</f>
        <v>525</v>
      </c>
      <c r="K44" s="74">
        <f>J44+'29'!K44</f>
        <v>27650</v>
      </c>
      <c r="L44" s="74">
        <f>J44+'29'!L44</f>
        <v>77611</v>
      </c>
      <c r="M44" s="545"/>
      <c r="N44" s="546"/>
      <c r="O44" s="546"/>
      <c r="P44" s="547"/>
      <c r="Q44" s="96">
        <f t="shared" si="7"/>
        <v>58.333333333333336</v>
      </c>
      <c r="R44" s="94"/>
      <c r="S44" s="94"/>
    </row>
    <row r="45" spans="2:20">
      <c r="B45" s="564"/>
      <c r="C45" s="477"/>
      <c r="D45" s="80" t="s">
        <v>287</v>
      </c>
      <c r="E45" s="97">
        <v>70</v>
      </c>
      <c r="F45" s="78">
        <f>Production2!AW32</f>
        <v>0</v>
      </c>
      <c r="G45" s="75">
        <f>F45+'29'!G45</f>
        <v>0</v>
      </c>
      <c r="H45" s="75">
        <f>F45+'29'!H45</f>
        <v>0</v>
      </c>
      <c r="I45" s="472"/>
      <c r="J45" s="77">
        <f>Production2!AX32</f>
        <v>0</v>
      </c>
      <c r="K45" s="74">
        <f>J45+'29'!K45</f>
        <v>0</v>
      </c>
      <c r="L45" s="74">
        <f>J45+'29'!L45</f>
        <v>0</v>
      </c>
      <c r="M45" s="545"/>
      <c r="N45" s="546"/>
      <c r="O45" s="546"/>
      <c r="P45" s="547"/>
      <c r="Q45" s="96" t="e">
        <f t="shared" si="7"/>
        <v>#DIV/0!</v>
      </c>
      <c r="R45" s="94"/>
      <c r="S45" s="94"/>
      <c r="T45" s="176"/>
    </row>
    <row r="46" spans="2:20">
      <c r="B46" s="564"/>
      <c r="C46" s="477"/>
      <c r="D46" s="194" t="s">
        <v>187</v>
      </c>
      <c r="E46" s="97">
        <v>60</v>
      </c>
      <c r="F46" s="84">
        <f>Production2!AZ32</f>
        <v>1</v>
      </c>
      <c r="G46" s="75">
        <f>F46+'29'!G46</f>
        <v>32.769999999999996</v>
      </c>
      <c r="H46" s="75">
        <f>F46+'29'!H46</f>
        <v>80.649999999999991</v>
      </c>
      <c r="I46" s="472"/>
      <c r="J46" s="195">
        <f>Production2!BA32</f>
        <v>55</v>
      </c>
      <c r="K46" s="74">
        <f>J46+'29'!K46</f>
        <v>1851</v>
      </c>
      <c r="L46" s="74">
        <f>J46+'29'!L46</f>
        <v>4498</v>
      </c>
      <c r="M46" s="545"/>
      <c r="N46" s="546"/>
      <c r="O46" s="546"/>
      <c r="P46" s="547"/>
      <c r="Q46" s="96">
        <f t="shared" si="7"/>
        <v>55</v>
      </c>
      <c r="R46" s="94"/>
      <c r="S46" s="94"/>
    </row>
    <row r="47" spans="2:20">
      <c r="B47" s="564"/>
      <c r="C47" s="477"/>
      <c r="D47" s="80" t="s">
        <v>288</v>
      </c>
      <c r="E47" s="97">
        <v>70</v>
      </c>
      <c r="F47" s="84">
        <f>Production2!BC32</f>
        <v>9.5</v>
      </c>
      <c r="G47" s="75">
        <f>F47+'29'!G47</f>
        <v>55.7</v>
      </c>
      <c r="H47" s="75">
        <f>F47+'29'!H47</f>
        <v>164.37</v>
      </c>
      <c r="I47" s="473"/>
      <c r="J47" s="195">
        <f>Production2!BD32</f>
        <v>610</v>
      </c>
      <c r="K47" s="74">
        <f>J47+'29'!K47</f>
        <v>3375</v>
      </c>
      <c r="L47" s="74">
        <f>J47+'29'!L47</f>
        <v>9990</v>
      </c>
      <c r="M47" s="548"/>
      <c r="N47" s="549"/>
      <c r="O47" s="549"/>
      <c r="P47" s="550"/>
      <c r="Q47" s="96">
        <f t="shared" si="7"/>
        <v>64.21052631578948</v>
      </c>
      <c r="R47" s="94"/>
      <c r="S47" s="94"/>
    </row>
    <row r="48" spans="2:20" ht="15.75" thickBot="1">
      <c r="B48" s="565"/>
      <c r="C48" s="478"/>
      <c r="D48" s="120" t="s">
        <v>162</v>
      </c>
      <c r="E48" s="121">
        <v>70</v>
      </c>
      <c r="F48" s="132">
        <f>F43+F44+F45+F46+F47</f>
        <v>21.5</v>
      </c>
      <c r="G48" s="132">
        <f>G43+G44+G45+G46+G47</f>
        <v>587.07000000000005</v>
      </c>
      <c r="H48" s="132">
        <f t="shared" ref="H48" si="11">H43+H44+H45+H46+H47</f>
        <v>1639.46</v>
      </c>
      <c r="I48" s="122"/>
      <c r="J48" s="122">
        <f>J43+J44+J45+J46+J47</f>
        <v>1310</v>
      </c>
      <c r="K48" s="122">
        <f t="shared" ref="K48:L48" si="12">K43+K44+K45+K46+K47</f>
        <v>34494</v>
      </c>
      <c r="L48" s="132">
        <f t="shared" si="12"/>
        <v>96467</v>
      </c>
      <c r="M48" s="574"/>
      <c r="N48" s="575"/>
      <c r="O48" s="575"/>
      <c r="P48" s="576"/>
      <c r="Q48" s="123">
        <f t="shared" si="7"/>
        <v>60.930232558139537</v>
      </c>
      <c r="R48" s="94"/>
      <c r="S48" s="94"/>
    </row>
    <row r="49" spans="2:19" ht="15.75" thickBot="1">
      <c r="B49" s="479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1"/>
      <c r="R49" s="94"/>
    </row>
    <row r="50" spans="2:19" s="70" customFormat="1" ht="15" customHeight="1">
      <c r="B50" s="590" t="s">
        <v>290</v>
      </c>
      <c r="C50" s="591"/>
      <c r="D50" s="591"/>
      <c r="E50" s="591"/>
      <c r="F50" s="591"/>
      <c r="G50" s="591"/>
      <c r="H50" s="591"/>
      <c r="I50" s="591"/>
      <c r="J50" s="591"/>
      <c r="K50" s="591"/>
      <c r="L50" s="591"/>
      <c r="M50" s="591"/>
      <c r="N50" s="592"/>
      <c r="O50" s="590" t="s">
        <v>291</v>
      </c>
      <c r="P50" s="591"/>
      <c r="Q50" s="592"/>
      <c r="R50" s="98"/>
      <c r="S50" s="98"/>
    </row>
    <row r="51" spans="2:19" s="70" customFormat="1" ht="15.6" customHeight="1" thickBot="1">
      <c r="B51" s="187" t="s">
        <v>250</v>
      </c>
      <c r="C51" s="584" t="s">
        <v>251</v>
      </c>
      <c r="D51" s="584"/>
      <c r="E51" s="311" t="s">
        <v>153</v>
      </c>
      <c r="F51" s="312" t="s">
        <v>154</v>
      </c>
      <c r="G51" s="311" t="s">
        <v>155</v>
      </c>
      <c r="H51" s="311" t="s">
        <v>156</v>
      </c>
      <c r="I51" s="311" t="s">
        <v>157</v>
      </c>
      <c r="J51" s="311" t="s">
        <v>292</v>
      </c>
      <c r="K51" s="311" t="s">
        <v>159</v>
      </c>
      <c r="L51" s="311" t="s">
        <v>293</v>
      </c>
      <c r="M51" s="313" t="s">
        <v>294</v>
      </c>
      <c r="N51" s="311" t="s">
        <v>162</v>
      </c>
      <c r="O51" s="585" t="s">
        <v>251</v>
      </c>
      <c r="P51" s="585"/>
      <c r="Q51" s="148"/>
    </row>
    <row r="52" spans="2:19" ht="14.45" customHeight="1">
      <c r="B52" s="91">
        <v>1</v>
      </c>
      <c r="C52" s="586" t="s">
        <v>295</v>
      </c>
      <c r="D52" s="586"/>
      <c r="E52" s="99">
        <f>E55/J32</f>
        <v>0.86674993135092515</v>
      </c>
      <c r="F52" s="99">
        <f>F55/(J33+J34)</f>
        <v>28.731157224502322</v>
      </c>
      <c r="G52" s="99">
        <f>G55/J34</f>
        <v>0</v>
      </c>
      <c r="H52" s="99">
        <f>H55/J36</f>
        <v>40.952941176470588</v>
      </c>
      <c r="I52" s="99">
        <f>I55/J35</f>
        <v>69.555555555555557</v>
      </c>
      <c r="J52" s="99"/>
      <c r="K52" s="99"/>
      <c r="L52" s="99"/>
      <c r="M52" s="100"/>
      <c r="N52" s="101"/>
      <c r="O52" s="587" t="s">
        <v>296</v>
      </c>
      <c r="P52" s="587"/>
      <c r="Q52" s="93">
        <f>(M35/J36)*100</f>
        <v>16.941176470588236</v>
      </c>
    </row>
    <row r="53" spans="2:19" ht="14.45" customHeight="1">
      <c r="B53" s="79">
        <v>2</v>
      </c>
      <c r="C53" s="516" t="s">
        <v>297</v>
      </c>
      <c r="D53" s="516"/>
      <c r="E53" s="102">
        <f>E52*(I9/J36)</f>
        <v>1.660081044987419</v>
      </c>
      <c r="F53" s="102">
        <f>F52*1.55</f>
        <v>44.5332936979786</v>
      </c>
      <c r="G53" s="102">
        <f>G52*1.55</f>
        <v>0</v>
      </c>
      <c r="H53" s="102">
        <f>H52</f>
        <v>40.952941176470588</v>
      </c>
      <c r="I53" s="102">
        <f>I52*(Q52/100)</f>
        <v>11.783529411764706</v>
      </c>
      <c r="J53" s="102"/>
      <c r="K53" s="102"/>
      <c r="L53" s="102"/>
      <c r="M53" s="96"/>
      <c r="N53" s="306">
        <f>SUM(E53:I53)</f>
        <v>98.929845331201307</v>
      </c>
      <c r="O53" s="516" t="s">
        <v>298</v>
      </c>
      <c r="P53" s="516"/>
      <c r="Q53" s="104">
        <v>5420</v>
      </c>
    </row>
    <row r="54" spans="2:19" ht="14.45" customHeight="1">
      <c r="B54" s="79">
        <v>3</v>
      </c>
      <c r="C54" s="588" t="s">
        <v>299</v>
      </c>
      <c r="D54" s="588"/>
      <c r="E54" s="102">
        <f>E53*M20/100</f>
        <v>1.3563057616636842</v>
      </c>
      <c r="F54" s="102">
        <f>F53*M20/100</f>
        <v>36.384225342978461</v>
      </c>
      <c r="G54" s="102">
        <f>G53*M20/100</f>
        <v>0</v>
      </c>
      <c r="H54" s="102">
        <f>H53*M20/100</f>
        <v>33.459035173274899</v>
      </c>
      <c r="I54" s="102">
        <f>I53*M20/100</f>
        <v>9.6272822836978271</v>
      </c>
      <c r="J54" s="99">
        <f>J55/(J42+J48)</f>
        <v>41.085507246376814</v>
      </c>
      <c r="K54" s="99">
        <f>K55/(J48+J42)</f>
        <v>0.68188405797101448</v>
      </c>
      <c r="L54" s="99">
        <f>L55/(M42)</f>
        <v>2.4544070806437976</v>
      </c>
      <c r="M54" s="96">
        <f>M55/(J48+J42)</f>
        <v>1.3047101449275362</v>
      </c>
      <c r="N54" s="306">
        <f>SUM(E54:M54)</f>
        <v>126.35335709153404</v>
      </c>
      <c r="O54" s="516" t="s">
        <v>300</v>
      </c>
      <c r="P54" s="516"/>
      <c r="Q54" s="104">
        <f>Q53*Q52/100</f>
        <v>918.21176470588239</v>
      </c>
    </row>
    <row r="55" spans="2:19" ht="15" customHeight="1" thickBot="1">
      <c r="B55" s="90" t="s">
        <v>262</v>
      </c>
      <c r="C55" s="589" t="s">
        <v>301</v>
      </c>
      <c r="D55" s="589"/>
      <c r="E55" s="118">
        <f>'Daily unit'!B32</f>
        <v>1957</v>
      </c>
      <c r="F55" s="118">
        <f>'Daily unit'!C32</f>
        <v>44943</v>
      </c>
      <c r="G55" s="118">
        <f>'Daily unit'!D32</f>
        <v>0</v>
      </c>
      <c r="H55" s="118">
        <f>'Daily unit'!E32</f>
        <v>34810</v>
      </c>
      <c r="I55" s="118">
        <f>'Daily unit'!F32</f>
        <v>10642</v>
      </c>
      <c r="J55" s="118">
        <f>'Daily unit'!G32</f>
        <v>113396</v>
      </c>
      <c r="K55" s="118">
        <f>'Daily unit'!H32</f>
        <v>1882</v>
      </c>
      <c r="L55" s="118">
        <f>'Daily unit'!I32</f>
        <v>6966</v>
      </c>
      <c r="M55" s="119">
        <f>'Daily unit'!J32</f>
        <v>3601</v>
      </c>
      <c r="N55" s="317">
        <f>SUM(E55:M55)</f>
        <v>218197</v>
      </c>
      <c r="O55" s="106"/>
      <c r="P55" s="107"/>
      <c r="Q55" s="108"/>
    </row>
    <row r="56" spans="2:19" ht="15" customHeight="1" thickBot="1">
      <c r="B56" s="581"/>
      <c r="C56" s="582"/>
      <c r="D56" s="582"/>
      <c r="E56" s="582"/>
      <c r="F56" s="582"/>
      <c r="G56" s="582"/>
      <c r="H56" s="582"/>
      <c r="I56" s="582"/>
      <c r="J56" s="582"/>
      <c r="K56" s="582"/>
      <c r="L56" s="582"/>
      <c r="M56" s="582"/>
      <c r="N56" s="582"/>
      <c r="O56" s="582"/>
      <c r="P56" s="582"/>
      <c r="Q56" s="583"/>
    </row>
    <row r="57" spans="2:19" ht="14.45" customHeight="1">
      <c r="B57" s="577" t="s">
        <v>302</v>
      </c>
      <c r="C57" s="578"/>
      <c r="D57" s="578"/>
      <c r="E57" s="578"/>
      <c r="F57" s="578"/>
      <c r="G57" s="578"/>
      <c r="H57" s="578"/>
      <c r="I57" s="551" t="s">
        <v>349</v>
      </c>
      <c r="J57" s="551"/>
      <c r="K57" s="551"/>
      <c r="L57" s="551"/>
      <c r="M57" s="551"/>
      <c r="N57" s="551"/>
      <c r="O57" s="551"/>
      <c r="P57" s="551"/>
      <c r="Q57" s="552"/>
      <c r="R57" s="109"/>
    </row>
    <row r="58" spans="2:19" s="110" customFormat="1" ht="14.45" customHeight="1" thickBot="1">
      <c r="B58" s="445" t="s">
        <v>250</v>
      </c>
      <c r="C58" s="579" t="s">
        <v>304</v>
      </c>
      <c r="D58" s="579"/>
      <c r="E58" s="580"/>
      <c r="F58" s="187" t="s">
        <v>305</v>
      </c>
      <c r="G58" s="187" t="s">
        <v>27</v>
      </c>
      <c r="H58" s="187" t="s">
        <v>28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11"/>
    </row>
    <row r="59" spans="2:19" ht="14.45" customHeight="1">
      <c r="B59" s="468">
        <v>1</v>
      </c>
      <c r="C59" s="465" t="s">
        <v>306</v>
      </c>
      <c r="D59" s="465"/>
      <c r="E59" s="211">
        <v>42.5</v>
      </c>
      <c r="F59" s="53">
        <f>'Internal use cement'!F32</f>
        <v>0</v>
      </c>
      <c r="G59" s="53">
        <f>F59+'29'!G59</f>
        <v>0</v>
      </c>
      <c r="H59" s="78">
        <f>F59+'29'!H59</f>
        <v>10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9" ht="14.45" customHeight="1">
      <c r="B60" s="469"/>
      <c r="C60" s="466"/>
      <c r="D60" s="466"/>
      <c r="E60" s="80" t="s">
        <v>211</v>
      </c>
      <c r="F60" s="53">
        <f>'Internal use cement'!Q32</f>
        <v>0</v>
      </c>
      <c r="G60" s="53">
        <f>F60+'29'!G60</f>
        <v>0</v>
      </c>
      <c r="H60" s="78">
        <f>F60+'29'!H60</f>
        <v>2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9" ht="15" customHeight="1">
      <c r="B61" s="469"/>
      <c r="C61" s="466"/>
      <c r="D61" s="466"/>
      <c r="E61" s="80">
        <v>32.5</v>
      </c>
      <c r="F61" s="53">
        <f>'Internal use cement'!Y32</f>
        <v>0</v>
      </c>
      <c r="G61" s="53">
        <f>F61+'29'!G61</f>
        <v>0.25</v>
      </c>
      <c r="H61" s="78">
        <f>F61+'29'!H61</f>
        <v>0.25</v>
      </c>
      <c r="I61" s="553"/>
      <c r="J61" s="553"/>
      <c r="K61" s="553"/>
      <c r="L61" s="553"/>
      <c r="M61" s="553"/>
      <c r="N61" s="553"/>
      <c r="O61" s="553"/>
      <c r="P61" s="553"/>
      <c r="Q61" s="554"/>
      <c r="R61" s="109"/>
    </row>
    <row r="62" spans="2:19" ht="15" customHeight="1">
      <c r="B62" s="469"/>
      <c r="C62" s="466"/>
      <c r="D62" s="466"/>
      <c r="E62" s="80" t="s">
        <v>187</v>
      </c>
      <c r="F62" s="53">
        <f>'Internal use cement'!AJ32</f>
        <v>0</v>
      </c>
      <c r="G62" s="53">
        <f>F62+'29'!G62</f>
        <v>0.35</v>
      </c>
      <c r="H62" s="78">
        <f>F62+'29'!H62</f>
        <v>0.45</v>
      </c>
      <c r="I62" s="553"/>
      <c r="J62" s="553"/>
      <c r="K62" s="553"/>
      <c r="L62" s="553"/>
      <c r="M62" s="553"/>
      <c r="N62" s="553"/>
      <c r="O62" s="553"/>
      <c r="P62" s="553"/>
      <c r="Q62" s="554"/>
      <c r="R62" s="109"/>
    </row>
    <row r="63" spans="2:19" ht="15.75" thickBot="1">
      <c r="B63" s="470"/>
      <c r="C63" s="467"/>
      <c r="D63" s="467"/>
      <c r="E63" s="443" t="s">
        <v>307</v>
      </c>
      <c r="F63" s="444">
        <f>'Internal use cement'!AO32</f>
        <v>0</v>
      </c>
      <c r="G63" s="53">
        <f>F63+'29'!G63</f>
        <v>0.15</v>
      </c>
      <c r="H63" s="78">
        <f>F63+'29'!H63</f>
        <v>4.1500000000000004</v>
      </c>
      <c r="I63" s="555"/>
      <c r="J63" s="555"/>
      <c r="K63" s="555"/>
      <c r="L63" s="555"/>
      <c r="M63" s="555"/>
      <c r="N63" s="555"/>
      <c r="O63" s="555"/>
      <c r="P63" s="555"/>
      <c r="Q63" s="556"/>
      <c r="R63" s="116"/>
    </row>
    <row r="64" spans="2:19">
      <c r="R64" s="94"/>
    </row>
    <row r="65" spans="2:18">
      <c r="R65" s="94"/>
    </row>
    <row r="66" spans="2:18">
      <c r="R66" s="94"/>
    </row>
    <row r="67" spans="2:18">
      <c r="R67" s="109"/>
    </row>
    <row r="68" spans="2:18">
      <c r="R68" s="94"/>
    </row>
    <row r="69" spans="2:18">
      <c r="R69" s="117"/>
    </row>
    <row r="70" spans="2:18">
      <c r="R70" s="117"/>
    </row>
    <row r="71" spans="2:18">
      <c r="R71" s="117"/>
    </row>
    <row r="72" spans="2:18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  <row r="156" spans="2:18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</row>
  </sheetData>
  <mergeCells count="86">
    <mergeCell ref="C14:D14"/>
    <mergeCell ref="B57:H57"/>
    <mergeCell ref="C58:E58"/>
    <mergeCell ref="B56:Q56"/>
    <mergeCell ref="B49:Q49"/>
    <mergeCell ref="C51:D51"/>
    <mergeCell ref="O51:P51"/>
    <mergeCell ref="C52:D52"/>
    <mergeCell ref="O52:P52"/>
    <mergeCell ref="C53:D53"/>
    <mergeCell ref="O53:P53"/>
    <mergeCell ref="C54:D54"/>
    <mergeCell ref="O54:P54"/>
    <mergeCell ref="C55:D55"/>
    <mergeCell ref="B50:N50"/>
    <mergeCell ref="O50:Q50"/>
    <mergeCell ref="I57:Q63"/>
    <mergeCell ref="B2:Q2"/>
    <mergeCell ref="B3:Q3"/>
    <mergeCell ref="B43:B48"/>
    <mergeCell ref="C43:C48"/>
    <mergeCell ref="C32:D32"/>
    <mergeCell ref="C33:D33"/>
    <mergeCell ref="C35:D35"/>
    <mergeCell ref="B37:B42"/>
    <mergeCell ref="P20:Q22"/>
    <mergeCell ref="Q23:Q24"/>
    <mergeCell ref="C24:D24"/>
    <mergeCell ref="B25:B26"/>
    <mergeCell ref="M48:P48"/>
    <mergeCell ref="C34:D34"/>
    <mergeCell ref="I33:I34"/>
    <mergeCell ref="M33:M34"/>
    <mergeCell ref="N33:N34"/>
    <mergeCell ref="O33:O34"/>
    <mergeCell ref="M43:P47"/>
    <mergeCell ref="P33:P34"/>
    <mergeCell ref="C19:Q19"/>
    <mergeCell ref="C25:C26"/>
    <mergeCell ref="M25:N26"/>
    <mergeCell ref="P25:Q27"/>
    <mergeCell ref="C27:D27"/>
    <mergeCell ref="M27:N27"/>
    <mergeCell ref="B20:B22"/>
    <mergeCell ref="P6:P7"/>
    <mergeCell ref="Q6:Q7"/>
    <mergeCell ref="O9:O18"/>
    <mergeCell ref="C10:D10"/>
    <mergeCell ref="B16:B18"/>
    <mergeCell ref="C16:C18"/>
    <mergeCell ref="C8:Q8"/>
    <mergeCell ref="C11:D11"/>
    <mergeCell ref="C12:D12"/>
    <mergeCell ref="C15:D15"/>
    <mergeCell ref="P15:Q15"/>
    <mergeCell ref="C20:C22"/>
    <mergeCell ref="N20:N22"/>
    <mergeCell ref="O20:O27"/>
    <mergeCell ref="C13:D1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59:D63"/>
    <mergeCell ref="B59:B63"/>
    <mergeCell ref="I43:I47"/>
    <mergeCell ref="C23:D23"/>
    <mergeCell ref="C37:C42"/>
    <mergeCell ref="B28:Q28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C36:D36"/>
  </mergeCells>
  <pageMargins left="0" right="0" top="0.75" bottom="0.75" header="0.3" footer="0.3"/>
  <pageSetup paperSize="9" scale="55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B2:S155"/>
  <sheetViews>
    <sheetView zoomScale="90" zoomScaleNormal="90" workbookViewId="0">
      <pane xSplit="4" ySplit="2" topLeftCell="E3" activePane="bottomRight" state="frozen"/>
      <selection pane="bottomRight" activeCell="N18" sqref="N18:N20"/>
      <selection pane="bottomLeft" activeCell="A6" sqref="A6"/>
      <selection pane="topRight" activeCell="E1" sqref="E1"/>
    </sheetView>
  </sheetViews>
  <sheetFormatPr defaultRowHeight="1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1.140625" style="68" customWidth="1"/>
    <col min="11" max="11" width="10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4" width="9.140625" style="68"/>
    <col min="255" max="255" width="3.7109375" style="68" customWidth="1"/>
    <col min="256" max="256" width="4" style="68" bestFit="1" customWidth="1"/>
    <col min="257" max="257" width="14.5703125" style="68" customWidth="1"/>
    <col min="258" max="258" width="11.140625" style="68" customWidth="1"/>
    <col min="259" max="259" width="8.7109375" style="68" customWidth="1"/>
    <col min="260" max="260" width="9.7109375" style="68" bestFit="1" customWidth="1"/>
    <col min="261" max="261" width="10.85546875" style="68" customWidth="1"/>
    <col min="262" max="262" width="10.42578125" style="68" customWidth="1"/>
    <col min="263" max="263" width="9.7109375" style="68" bestFit="1" customWidth="1"/>
    <col min="264" max="266" width="9.28515625" style="68" bestFit="1" customWidth="1"/>
    <col min="267" max="267" width="10.7109375" style="68" bestFit="1" customWidth="1"/>
    <col min="268" max="268" width="11.28515625" style="68" customWidth="1"/>
    <col min="269" max="269" width="12.5703125" style="68" customWidth="1"/>
    <col min="270" max="270" width="13.5703125" style="68" customWidth="1"/>
    <col min="271" max="271" width="13" style="68" customWidth="1"/>
    <col min="272" max="510" width="9.140625" style="68"/>
    <col min="511" max="511" width="3.7109375" style="68" customWidth="1"/>
    <col min="512" max="512" width="4" style="68" bestFit="1" customWidth="1"/>
    <col min="513" max="513" width="14.5703125" style="68" customWidth="1"/>
    <col min="514" max="514" width="11.140625" style="68" customWidth="1"/>
    <col min="515" max="515" width="8.7109375" style="68" customWidth="1"/>
    <col min="516" max="516" width="9.7109375" style="68" bestFit="1" customWidth="1"/>
    <col min="517" max="517" width="10.85546875" style="68" customWidth="1"/>
    <col min="518" max="518" width="10.42578125" style="68" customWidth="1"/>
    <col min="519" max="519" width="9.7109375" style="68" bestFit="1" customWidth="1"/>
    <col min="520" max="522" width="9.28515625" style="68" bestFit="1" customWidth="1"/>
    <col min="523" max="523" width="10.7109375" style="68" bestFit="1" customWidth="1"/>
    <col min="524" max="524" width="11.28515625" style="68" customWidth="1"/>
    <col min="525" max="525" width="12.5703125" style="68" customWidth="1"/>
    <col min="526" max="526" width="13.5703125" style="68" customWidth="1"/>
    <col min="527" max="527" width="13" style="68" customWidth="1"/>
    <col min="528" max="766" width="9.140625" style="68"/>
    <col min="767" max="767" width="3.7109375" style="68" customWidth="1"/>
    <col min="768" max="768" width="4" style="68" bestFit="1" customWidth="1"/>
    <col min="769" max="769" width="14.5703125" style="68" customWidth="1"/>
    <col min="770" max="770" width="11.140625" style="68" customWidth="1"/>
    <col min="771" max="771" width="8.7109375" style="68" customWidth="1"/>
    <col min="772" max="772" width="9.7109375" style="68" bestFit="1" customWidth="1"/>
    <col min="773" max="773" width="10.85546875" style="68" customWidth="1"/>
    <col min="774" max="774" width="10.42578125" style="68" customWidth="1"/>
    <col min="775" max="775" width="9.7109375" style="68" bestFit="1" customWidth="1"/>
    <col min="776" max="778" width="9.28515625" style="68" bestFit="1" customWidth="1"/>
    <col min="779" max="779" width="10.7109375" style="68" bestFit="1" customWidth="1"/>
    <col min="780" max="780" width="11.28515625" style="68" customWidth="1"/>
    <col min="781" max="781" width="12.5703125" style="68" customWidth="1"/>
    <col min="782" max="782" width="13.5703125" style="68" customWidth="1"/>
    <col min="783" max="783" width="13" style="68" customWidth="1"/>
    <col min="784" max="1022" width="9.140625" style="68"/>
    <col min="1023" max="1023" width="3.7109375" style="68" customWidth="1"/>
    <col min="1024" max="1024" width="4" style="68" bestFit="1" customWidth="1"/>
    <col min="1025" max="1025" width="14.5703125" style="68" customWidth="1"/>
    <col min="1026" max="1026" width="11.140625" style="68" customWidth="1"/>
    <col min="1027" max="1027" width="8.7109375" style="68" customWidth="1"/>
    <col min="1028" max="1028" width="9.7109375" style="68" bestFit="1" customWidth="1"/>
    <col min="1029" max="1029" width="10.85546875" style="68" customWidth="1"/>
    <col min="1030" max="1030" width="10.42578125" style="68" customWidth="1"/>
    <col min="1031" max="1031" width="9.7109375" style="68" bestFit="1" customWidth="1"/>
    <col min="1032" max="1034" width="9.28515625" style="68" bestFit="1" customWidth="1"/>
    <col min="1035" max="1035" width="10.7109375" style="68" bestFit="1" customWidth="1"/>
    <col min="1036" max="1036" width="11.28515625" style="68" customWidth="1"/>
    <col min="1037" max="1037" width="12.5703125" style="68" customWidth="1"/>
    <col min="1038" max="1038" width="13.5703125" style="68" customWidth="1"/>
    <col min="1039" max="1039" width="13" style="68" customWidth="1"/>
    <col min="1040" max="1278" width="9.140625" style="68"/>
    <col min="1279" max="1279" width="3.7109375" style="68" customWidth="1"/>
    <col min="1280" max="1280" width="4" style="68" bestFit="1" customWidth="1"/>
    <col min="1281" max="1281" width="14.5703125" style="68" customWidth="1"/>
    <col min="1282" max="1282" width="11.140625" style="68" customWidth="1"/>
    <col min="1283" max="1283" width="8.7109375" style="68" customWidth="1"/>
    <col min="1284" max="1284" width="9.7109375" style="68" bestFit="1" customWidth="1"/>
    <col min="1285" max="1285" width="10.85546875" style="68" customWidth="1"/>
    <col min="1286" max="1286" width="10.42578125" style="68" customWidth="1"/>
    <col min="1287" max="1287" width="9.7109375" style="68" bestFit="1" customWidth="1"/>
    <col min="1288" max="1290" width="9.28515625" style="68" bestFit="1" customWidth="1"/>
    <col min="1291" max="1291" width="10.7109375" style="68" bestFit="1" customWidth="1"/>
    <col min="1292" max="1292" width="11.28515625" style="68" customWidth="1"/>
    <col min="1293" max="1293" width="12.5703125" style="68" customWidth="1"/>
    <col min="1294" max="1294" width="13.5703125" style="68" customWidth="1"/>
    <col min="1295" max="1295" width="13" style="68" customWidth="1"/>
    <col min="1296" max="1534" width="9.140625" style="68"/>
    <col min="1535" max="1535" width="3.7109375" style="68" customWidth="1"/>
    <col min="1536" max="1536" width="4" style="68" bestFit="1" customWidth="1"/>
    <col min="1537" max="1537" width="14.5703125" style="68" customWidth="1"/>
    <col min="1538" max="1538" width="11.140625" style="68" customWidth="1"/>
    <col min="1539" max="1539" width="8.7109375" style="68" customWidth="1"/>
    <col min="1540" max="1540" width="9.7109375" style="68" bestFit="1" customWidth="1"/>
    <col min="1541" max="1541" width="10.85546875" style="68" customWidth="1"/>
    <col min="1542" max="1542" width="10.42578125" style="68" customWidth="1"/>
    <col min="1543" max="1543" width="9.7109375" style="68" bestFit="1" customWidth="1"/>
    <col min="1544" max="1546" width="9.28515625" style="68" bestFit="1" customWidth="1"/>
    <col min="1547" max="1547" width="10.7109375" style="68" bestFit="1" customWidth="1"/>
    <col min="1548" max="1548" width="11.28515625" style="68" customWidth="1"/>
    <col min="1549" max="1549" width="12.5703125" style="68" customWidth="1"/>
    <col min="1550" max="1550" width="13.5703125" style="68" customWidth="1"/>
    <col min="1551" max="1551" width="13" style="68" customWidth="1"/>
    <col min="1552" max="1790" width="9.140625" style="68"/>
    <col min="1791" max="1791" width="3.7109375" style="68" customWidth="1"/>
    <col min="1792" max="1792" width="4" style="68" bestFit="1" customWidth="1"/>
    <col min="1793" max="1793" width="14.5703125" style="68" customWidth="1"/>
    <col min="1794" max="1794" width="11.140625" style="68" customWidth="1"/>
    <col min="1795" max="1795" width="8.7109375" style="68" customWidth="1"/>
    <col min="1796" max="1796" width="9.7109375" style="68" bestFit="1" customWidth="1"/>
    <col min="1797" max="1797" width="10.85546875" style="68" customWidth="1"/>
    <col min="1798" max="1798" width="10.42578125" style="68" customWidth="1"/>
    <col min="1799" max="1799" width="9.7109375" style="68" bestFit="1" customWidth="1"/>
    <col min="1800" max="1802" width="9.28515625" style="68" bestFit="1" customWidth="1"/>
    <col min="1803" max="1803" width="10.7109375" style="68" bestFit="1" customWidth="1"/>
    <col min="1804" max="1804" width="11.28515625" style="68" customWidth="1"/>
    <col min="1805" max="1805" width="12.5703125" style="68" customWidth="1"/>
    <col min="1806" max="1806" width="13.5703125" style="68" customWidth="1"/>
    <col min="1807" max="1807" width="13" style="68" customWidth="1"/>
    <col min="1808" max="2046" width="9.140625" style="68"/>
    <col min="2047" max="2047" width="3.7109375" style="68" customWidth="1"/>
    <col min="2048" max="2048" width="4" style="68" bestFit="1" customWidth="1"/>
    <col min="2049" max="2049" width="14.5703125" style="68" customWidth="1"/>
    <col min="2050" max="2050" width="11.140625" style="68" customWidth="1"/>
    <col min="2051" max="2051" width="8.7109375" style="68" customWidth="1"/>
    <col min="2052" max="2052" width="9.7109375" style="68" bestFit="1" customWidth="1"/>
    <col min="2053" max="2053" width="10.85546875" style="68" customWidth="1"/>
    <col min="2054" max="2054" width="10.42578125" style="68" customWidth="1"/>
    <col min="2055" max="2055" width="9.7109375" style="68" bestFit="1" customWidth="1"/>
    <col min="2056" max="2058" width="9.28515625" style="68" bestFit="1" customWidth="1"/>
    <col min="2059" max="2059" width="10.7109375" style="68" bestFit="1" customWidth="1"/>
    <col min="2060" max="2060" width="11.28515625" style="68" customWidth="1"/>
    <col min="2061" max="2061" width="12.5703125" style="68" customWidth="1"/>
    <col min="2062" max="2062" width="13.5703125" style="68" customWidth="1"/>
    <col min="2063" max="2063" width="13" style="68" customWidth="1"/>
    <col min="2064" max="2302" width="9.140625" style="68"/>
    <col min="2303" max="2303" width="3.7109375" style="68" customWidth="1"/>
    <col min="2304" max="2304" width="4" style="68" bestFit="1" customWidth="1"/>
    <col min="2305" max="2305" width="14.5703125" style="68" customWidth="1"/>
    <col min="2306" max="2306" width="11.140625" style="68" customWidth="1"/>
    <col min="2307" max="2307" width="8.7109375" style="68" customWidth="1"/>
    <col min="2308" max="2308" width="9.7109375" style="68" bestFit="1" customWidth="1"/>
    <col min="2309" max="2309" width="10.85546875" style="68" customWidth="1"/>
    <col min="2310" max="2310" width="10.42578125" style="68" customWidth="1"/>
    <col min="2311" max="2311" width="9.7109375" style="68" bestFit="1" customWidth="1"/>
    <col min="2312" max="2314" width="9.28515625" style="68" bestFit="1" customWidth="1"/>
    <col min="2315" max="2315" width="10.7109375" style="68" bestFit="1" customWidth="1"/>
    <col min="2316" max="2316" width="11.28515625" style="68" customWidth="1"/>
    <col min="2317" max="2317" width="12.5703125" style="68" customWidth="1"/>
    <col min="2318" max="2318" width="13.5703125" style="68" customWidth="1"/>
    <col min="2319" max="2319" width="13" style="68" customWidth="1"/>
    <col min="2320" max="2558" width="9.140625" style="68"/>
    <col min="2559" max="2559" width="3.7109375" style="68" customWidth="1"/>
    <col min="2560" max="2560" width="4" style="68" bestFit="1" customWidth="1"/>
    <col min="2561" max="2561" width="14.5703125" style="68" customWidth="1"/>
    <col min="2562" max="2562" width="11.140625" style="68" customWidth="1"/>
    <col min="2563" max="2563" width="8.7109375" style="68" customWidth="1"/>
    <col min="2564" max="2564" width="9.7109375" style="68" bestFit="1" customWidth="1"/>
    <col min="2565" max="2565" width="10.85546875" style="68" customWidth="1"/>
    <col min="2566" max="2566" width="10.42578125" style="68" customWidth="1"/>
    <col min="2567" max="2567" width="9.7109375" style="68" bestFit="1" customWidth="1"/>
    <col min="2568" max="2570" width="9.28515625" style="68" bestFit="1" customWidth="1"/>
    <col min="2571" max="2571" width="10.7109375" style="68" bestFit="1" customWidth="1"/>
    <col min="2572" max="2572" width="11.28515625" style="68" customWidth="1"/>
    <col min="2573" max="2573" width="12.5703125" style="68" customWidth="1"/>
    <col min="2574" max="2574" width="13.5703125" style="68" customWidth="1"/>
    <col min="2575" max="2575" width="13" style="68" customWidth="1"/>
    <col min="2576" max="2814" width="9.140625" style="68"/>
    <col min="2815" max="2815" width="3.7109375" style="68" customWidth="1"/>
    <col min="2816" max="2816" width="4" style="68" bestFit="1" customWidth="1"/>
    <col min="2817" max="2817" width="14.5703125" style="68" customWidth="1"/>
    <col min="2818" max="2818" width="11.140625" style="68" customWidth="1"/>
    <col min="2819" max="2819" width="8.7109375" style="68" customWidth="1"/>
    <col min="2820" max="2820" width="9.7109375" style="68" bestFit="1" customWidth="1"/>
    <col min="2821" max="2821" width="10.85546875" style="68" customWidth="1"/>
    <col min="2822" max="2822" width="10.42578125" style="68" customWidth="1"/>
    <col min="2823" max="2823" width="9.7109375" style="68" bestFit="1" customWidth="1"/>
    <col min="2824" max="2826" width="9.28515625" style="68" bestFit="1" customWidth="1"/>
    <col min="2827" max="2827" width="10.7109375" style="68" bestFit="1" customWidth="1"/>
    <col min="2828" max="2828" width="11.28515625" style="68" customWidth="1"/>
    <col min="2829" max="2829" width="12.5703125" style="68" customWidth="1"/>
    <col min="2830" max="2830" width="13.5703125" style="68" customWidth="1"/>
    <col min="2831" max="2831" width="13" style="68" customWidth="1"/>
    <col min="2832" max="3070" width="9.140625" style="68"/>
    <col min="3071" max="3071" width="3.7109375" style="68" customWidth="1"/>
    <col min="3072" max="3072" width="4" style="68" bestFit="1" customWidth="1"/>
    <col min="3073" max="3073" width="14.5703125" style="68" customWidth="1"/>
    <col min="3074" max="3074" width="11.140625" style="68" customWidth="1"/>
    <col min="3075" max="3075" width="8.7109375" style="68" customWidth="1"/>
    <col min="3076" max="3076" width="9.7109375" style="68" bestFit="1" customWidth="1"/>
    <col min="3077" max="3077" width="10.85546875" style="68" customWidth="1"/>
    <col min="3078" max="3078" width="10.42578125" style="68" customWidth="1"/>
    <col min="3079" max="3079" width="9.7109375" style="68" bestFit="1" customWidth="1"/>
    <col min="3080" max="3082" width="9.28515625" style="68" bestFit="1" customWidth="1"/>
    <col min="3083" max="3083" width="10.7109375" style="68" bestFit="1" customWidth="1"/>
    <col min="3084" max="3084" width="11.28515625" style="68" customWidth="1"/>
    <col min="3085" max="3085" width="12.5703125" style="68" customWidth="1"/>
    <col min="3086" max="3086" width="13.5703125" style="68" customWidth="1"/>
    <col min="3087" max="3087" width="13" style="68" customWidth="1"/>
    <col min="3088" max="3326" width="9.140625" style="68"/>
    <col min="3327" max="3327" width="3.7109375" style="68" customWidth="1"/>
    <col min="3328" max="3328" width="4" style="68" bestFit="1" customWidth="1"/>
    <col min="3329" max="3329" width="14.5703125" style="68" customWidth="1"/>
    <col min="3330" max="3330" width="11.140625" style="68" customWidth="1"/>
    <col min="3331" max="3331" width="8.7109375" style="68" customWidth="1"/>
    <col min="3332" max="3332" width="9.7109375" style="68" bestFit="1" customWidth="1"/>
    <col min="3333" max="3333" width="10.85546875" style="68" customWidth="1"/>
    <col min="3334" max="3334" width="10.42578125" style="68" customWidth="1"/>
    <col min="3335" max="3335" width="9.7109375" style="68" bestFit="1" customWidth="1"/>
    <col min="3336" max="3338" width="9.28515625" style="68" bestFit="1" customWidth="1"/>
    <col min="3339" max="3339" width="10.7109375" style="68" bestFit="1" customWidth="1"/>
    <col min="3340" max="3340" width="11.28515625" style="68" customWidth="1"/>
    <col min="3341" max="3341" width="12.5703125" style="68" customWidth="1"/>
    <col min="3342" max="3342" width="13.5703125" style="68" customWidth="1"/>
    <col min="3343" max="3343" width="13" style="68" customWidth="1"/>
    <col min="3344" max="3582" width="9.140625" style="68"/>
    <col min="3583" max="3583" width="3.7109375" style="68" customWidth="1"/>
    <col min="3584" max="3584" width="4" style="68" bestFit="1" customWidth="1"/>
    <col min="3585" max="3585" width="14.5703125" style="68" customWidth="1"/>
    <col min="3586" max="3586" width="11.140625" style="68" customWidth="1"/>
    <col min="3587" max="3587" width="8.7109375" style="68" customWidth="1"/>
    <col min="3588" max="3588" width="9.7109375" style="68" bestFit="1" customWidth="1"/>
    <col min="3589" max="3589" width="10.85546875" style="68" customWidth="1"/>
    <col min="3590" max="3590" width="10.42578125" style="68" customWidth="1"/>
    <col min="3591" max="3591" width="9.7109375" style="68" bestFit="1" customWidth="1"/>
    <col min="3592" max="3594" width="9.28515625" style="68" bestFit="1" customWidth="1"/>
    <col min="3595" max="3595" width="10.7109375" style="68" bestFit="1" customWidth="1"/>
    <col min="3596" max="3596" width="11.28515625" style="68" customWidth="1"/>
    <col min="3597" max="3597" width="12.5703125" style="68" customWidth="1"/>
    <col min="3598" max="3598" width="13.5703125" style="68" customWidth="1"/>
    <col min="3599" max="3599" width="13" style="68" customWidth="1"/>
    <col min="3600" max="3838" width="9.140625" style="68"/>
    <col min="3839" max="3839" width="3.7109375" style="68" customWidth="1"/>
    <col min="3840" max="3840" width="4" style="68" bestFit="1" customWidth="1"/>
    <col min="3841" max="3841" width="14.5703125" style="68" customWidth="1"/>
    <col min="3842" max="3842" width="11.140625" style="68" customWidth="1"/>
    <col min="3843" max="3843" width="8.7109375" style="68" customWidth="1"/>
    <col min="3844" max="3844" width="9.7109375" style="68" bestFit="1" customWidth="1"/>
    <col min="3845" max="3845" width="10.85546875" style="68" customWidth="1"/>
    <col min="3846" max="3846" width="10.42578125" style="68" customWidth="1"/>
    <col min="3847" max="3847" width="9.7109375" style="68" bestFit="1" customWidth="1"/>
    <col min="3848" max="3850" width="9.28515625" style="68" bestFit="1" customWidth="1"/>
    <col min="3851" max="3851" width="10.7109375" style="68" bestFit="1" customWidth="1"/>
    <col min="3852" max="3852" width="11.28515625" style="68" customWidth="1"/>
    <col min="3853" max="3853" width="12.5703125" style="68" customWidth="1"/>
    <col min="3854" max="3854" width="13.5703125" style="68" customWidth="1"/>
    <col min="3855" max="3855" width="13" style="68" customWidth="1"/>
    <col min="3856" max="4094" width="9.140625" style="68"/>
    <col min="4095" max="4095" width="3.7109375" style="68" customWidth="1"/>
    <col min="4096" max="4096" width="4" style="68" bestFit="1" customWidth="1"/>
    <col min="4097" max="4097" width="14.5703125" style="68" customWidth="1"/>
    <col min="4098" max="4098" width="11.140625" style="68" customWidth="1"/>
    <col min="4099" max="4099" width="8.7109375" style="68" customWidth="1"/>
    <col min="4100" max="4100" width="9.7109375" style="68" bestFit="1" customWidth="1"/>
    <col min="4101" max="4101" width="10.85546875" style="68" customWidth="1"/>
    <col min="4102" max="4102" width="10.42578125" style="68" customWidth="1"/>
    <col min="4103" max="4103" width="9.7109375" style="68" bestFit="1" customWidth="1"/>
    <col min="4104" max="4106" width="9.28515625" style="68" bestFit="1" customWidth="1"/>
    <col min="4107" max="4107" width="10.7109375" style="68" bestFit="1" customWidth="1"/>
    <col min="4108" max="4108" width="11.28515625" style="68" customWidth="1"/>
    <col min="4109" max="4109" width="12.5703125" style="68" customWidth="1"/>
    <col min="4110" max="4110" width="13.5703125" style="68" customWidth="1"/>
    <col min="4111" max="4111" width="13" style="68" customWidth="1"/>
    <col min="4112" max="4350" width="9.140625" style="68"/>
    <col min="4351" max="4351" width="3.7109375" style="68" customWidth="1"/>
    <col min="4352" max="4352" width="4" style="68" bestFit="1" customWidth="1"/>
    <col min="4353" max="4353" width="14.5703125" style="68" customWidth="1"/>
    <col min="4354" max="4354" width="11.140625" style="68" customWidth="1"/>
    <col min="4355" max="4355" width="8.7109375" style="68" customWidth="1"/>
    <col min="4356" max="4356" width="9.7109375" style="68" bestFit="1" customWidth="1"/>
    <col min="4357" max="4357" width="10.85546875" style="68" customWidth="1"/>
    <col min="4358" max="4358" width="10.42578125" style="68" customWidth="1"/>
    <col min="4359" max="4359" width="9.7109375" style="68" bestFit="1" customWidth="1"/>
    <col min="4360" max="4362" width="9.28515625" style="68" bestFit="1" customWidth="1"/>
    <col min="4363" max="4363" width="10.7109375" style="68" bestFit="1" customWidth="1"/>
    <col min="4364" max="4364" width="11.28515625" style="68" customWidth="1"/>
    <col min="4365" max="4365" width="12.5703125" style="68" customWidth="1"/>
    <col min="4366" max="4366" width="13.5703125" style="68" customWidth="1"/>
    <col min="4367" max="4367" width="13" style="68" customWidth="1"/>
    <col min="4368" max="4606" width="9.140625" style="68"/>
    <col min="4607" max="4607" width="3.7109375" style="68" customWidth="1"/>
    <col min="4608" max="4608" width="4" style="68" bestFit="1" customWidth="1"/>
    <col min="4609" max="4609" width="14.5703125" style="68" customWidth="1"/>
    <col min="4610" max="4610" width="11.140625" style="68" customWidth="1"/>
    <col min="4611" max="4611" width="8.7109375" style="68" customWidth="1"/>
    <col min="4612" max="4612" width="9.7109375" style="68" bestFit="1" customWidth="1"/>
    <col min="4613" max="4613" width="10.85546875" style="68" customWidth="1"/>
    <col min="4614" max="4614" width="10.42578125" style="68" customWidth="1"/>
    <col min="4615" max="4615" width="9.7109375" style="68" bestFit="1" customWidth="1"/>
    <col min="4616" max="4618" width="9.28515625" style="68" bestFit="1" customWidth="1"/>
    <col min="4619" max="4619" width="10.7109375" style="68" bestFit="1" customWidth="1"/>
    <col min="4620" max="4620" width="11.28515625" style="68" customWidth="1"/>
    <col min="4621" max="4621" width="12.5703125" style="68" customWidth="1"/>
    <col min="4622" max="4622" width="13.5703125" style="68" customWidth="1"/>
    <col min="4623" max="4623" width="13" style="68" customWidth="1"/>
    <col min="4624" max="4862" width="9.140625" style="68"/>
    <col min="4863" max="4863" width="3.7109375" style="68" customWidth="1"/>
    <col min="4864" max="4864" width="4" style="68" bestFit="1" customWidth="1"/>
    <col min="4865" max="4865" width="14.5703125" style="68" customWidth="1"/>
    <col min="4866" max="4866" width="11.140625" style="68" customWidth="1"/>
    <col min="4867" max="4867" width="8.7109375" style="68" customWidth="1"/>
    <col min="4868" max="4868" width="9.7109375" style="68" bestFit="1" customWidth="1"/>
    <col min="4869" max="4869" width="10.85546875" style="68" customWidth="1"/>
    <col min="4870" max="4870" width="10.42578125" style="68" customWidth="1"/>
    <col min="4871" max="4871" width="9.7109375" style="68" bestFit="1" customWidth="1"/>
    <col min="4872" max="4874" width="9.28515625" style="68" bestFit="1" customWidth="1"/>
    <col min="4875" max="4875" width="10.7109375" style="68" bestFit="1" customWidth="1"/>
    <col min="4876" max="4876" width="11.28515625" style="68" customWidth="1"/>
    <col min="4877" max="4877" width="12.5703125" style="68" customWidth="1"/>
    <col min="4878" max="4878" width="13.5703125" style="68" customWidth="1"/>
    <col min="4879" max="4879" width="13" style="68" customWidth="1"/>
    <col min="4880" max="5118" width="9.140625" style="68"/>
    <col min="5119" max="5119" width="3.7109375" style="68" customWidth="1"/>
    <col min="5120" max="5120" width="4" style="68" bestFit="1" customWidth="1"/>
    <col min="5121" max="5121" width="14.5703125" style="68" customWidth="1"/>
    <col min="5122" max="5122" width="11.140625" style="68" customWidth="1"/>
    <col min="5123" max="5123" width="8.7109375" style="68" customWidth="1"/>
    <col min="5124" max="5124" width="9.7109375" style="68" bestFit="1" customWidth="1"/>
    <col min="5125" max="5125" width="10.85546875" style="68" customWidth="1"/>
    <col min="5126" max="5126" width="10.42578125" style="68" customWidth="1"/>
    <col min="5127" max="5127" width="9.7109375" style="68" bestFit="1" customWidth="1"/>
    <col min="5128" max="5130" width="9.28515625" style="68" bestFit="1" customWidth="1"/>
    <col min="5131" max="5131" width="10.7109375" style="68" bestFit="1" customWidth="1"/>
    <col min="5132" max="5132" width="11.28515625" style="68" customWidth="1"/>
    <col min="5133" max="5133" width="12.5703125" style="68" customWidth="1"/>
    <col min="5134" max="5134" width="13.5703125" style="68" customWidth="1"/>
    <col min="5135" max="5135" width="13" style="68" customWidth="1"/>
    <col min="5136" max="5374" width="9.140625" style="68"/>
    <col min="5375" max="5375" width="3.7109375" style="68" customWidth="1"/>
    <col min="5376" max="5376" width="4" style="68" bestFit="1" customWidth="1"/>
    <col min="5377" max="5377" width="14.5703125" style="68" customWidth="1"/>
    <col min="5378" max="5378" width="11.140625" style="68" customWidth="1"/>
    <col min="5379" max="5379" width="8.7109375" style="68" customWidth="1"/>
    <col min="5380" max="5380" width="9.7109375" style="68" bestFit="1" customWidth="1"/>
    <col min="5381" max="5381" width="10.85546875" style="68" customWidth="1"/>
    <col min="5382" max="5382" width="10.42578125" style="68" customWidth="1"/>
    <col min="5383" max="5383" width="9.7109375" style="68" bestFit="1" customWidth="1"/>
    <col min="5384" max="5386" width="9.28515625" style="68" bestFit="1" customWidth="1"/>
    <col min="5387" max="5387" width="10.7109375" style="68" bestFit="1" customWidth="1"/>
    <col min="5388" max="5388" width="11.28515625" style="68" customWidth="1"/>
    <col min="5389" max="5389" width="12.5703125" style="68" customWidth="1"/>
    <col min="5390" max="5390" width="13.5703125" style="68" customWidth="1"/>
    <col min="5391" max="5391" width="13" style="68" customWidth="1"/>
    <col min="5392" max="5630" width="9.140625" style="68"/>
    <col min="5631" max="5631" width="3.7109375" style="68" customWidth="1"/>
    <col min="5632" max="5632" width="4" style="68" bestFit="1" customWidth="1"/>
    <col min="5633" max="5633" width="14.5703125" style="68" customWidth="1"/>
    <col min="5634" max="5634" width="11.140625" style="68" customWidth="1"/>
    <col min="5635" max="5635" width="8.7109375" style="68" customWidth="1"/>
    <col min="5636" max="5636" width="9.7109375" style="68" bestFit="1" customWidth="1"/>
    <col min="5637" max="5637" width="10.85546875" style="68" customWidth="1"/>
    <col min="5638" max="5638" width="10.42578125" style="68" customWidth="1"/>
    <col min="5639" max="5639" width="9.7109375" style="68" bestFit="1" customWidth="1"/>
    <col min="5640" max="5642" width="9.28515625" style="68" bestFit="1" customWidth="1"/>
    <col min="5643" max="5643" width="10.7109375" style="68" bestFit="1" customWidth="1"/>
    <col min="5644" max="5644" width="11.28515625" style="68" customWidth="1"/>
    <col min="5645" max="5645" width="12.5703125" style="68" customWidth="1"/>
    <col min="5646" max="5646" width="13.5703125" style="68" customWidth="1"/>
    <col min="5647" max="5647" width="13" style="68" customWidth="1"/>
    <col min="5648" max="5886" width="9.140625" style="68"/>
    <col min="5887" max="5887" width="3.7109375" style="68" customWidth="1"/>
    <col min="5888" max="5888" width="4" style="68" bestFit="1" customWidth="1"/>
    <col min="5889" max="5889" width="14.5703125" style="68" customWidth="1"/>
    <col min="5890" max="5890" width="11.140625" style="68" customWidth="1"/>
    <col min="5891" max="5891" width="8.7109375" style="68" customWidth="1"/>
    <col min="5892" max="5892" width="9.7109375" style="68" bestFit="1" customWidth="1"/>
    <col min="5893" max="5893" width="10.85546875" style="68" customWidth="1"/>
    <col min="5894" max="5894" width="10.42578125" style="68" customWidth="1"/>
    <col min="5895" max="5895" width="9.7109375" style="68" bestFit="1" customWidth="1"/>
    <col min="5896" max="5898" width="9.28515625" style="68" bestFit="1" customWidth="1"/>
    <col min="5899" max="5899" width="10.7109375" style="68" bestFit="1" customWidth="1"/>
    <col min="5900" max="5900" width="11.28515625" style="68" customWidth="1"/>
    <col min="5901" max="5901" width="12.5703125" style="68" customWidth="1"/>
    <col min="5902" max="5902" width="13.5703125" style="68" customWidth="1"/>
    <col min="5903" max="5903" width="13" style="68" customWidth="1"/>
    <col min="5904" max="6142" width="9.140625" style="68"/>
    <col min="6143" max="6143" width="3.7109375" style="68" customWidth="1"/>
    <col min="6144" max="6144" width="4" style="68" bestFit="1" customWidth="1"/>
    <col min="6145" max="6145" width="14.5703125" style="68" customWidth="1"/>
    <col min="6146" max="6146" width="11.140625" style="68" customWidth="1"/>
    <col min="6147" max="6147" width="8.7109375" style="68" customWidth="1"/>
    <col min="6148" max="6148" width="9.7109375" style="68" bestFit="1" customWidth="1"/>
    <col min="6149" max="6149" width="10.85546875" style="68" customWidth="1"/>
    <col min="6150" max="6150" width="10.42578125" style="68" customWidth="1"/>
    <col min="6151" max="6151" width="9.7109375" style="68" bestFit="1" customWidth="1"/>
    <col min="6152" max="6154" width="9.28515625" style="68" bestFit="1" customWidth="1"/>
    <col min="6155" max="6155" width="10.7109375" style="68" bestFit="1" customWidth="1"/>
    <col min="6156" max="6156" width="11.28515625" style="68" customWidth="1"/>
    <col min="6157" max="6157" width="12.5703125" style="68" customWidth="1"/>
    <col min="6158" max="6158" width="13.5703125" style="68" customWidth="1"/>
    <col min="6159" max="6159" width="13" style="68" customWidth="1"/>
    <col min="6160" max="6398" width="9.140625" style="68"/>
    <col min="6399" max="6399" width="3.7109375" style="68" customWidth="1"/>
    <col min="6400" max="6400" width="4" style="68" bestFit="1" customWidth="1"/>
    <col min="6401" max="6401" width="14.5703125" style="68" customWidth="1"/>
    <col min="6402" max="6402" width="11.140625" style="68" customWidth="1"/>
    <col min="6403" max="6403" width="8.7109375" style="68" customWidth="1"/>
    <col min="6404" max="6404" width="9.7109375" style="68" bestFit="1" customWidth="1"/>
    <col min="6405" max="6405" width="10.85546875" style="68" customWidth="1"/>
    <col min="6406" max="6406" width="10.42578125" style="68" customWidth="1"/>
    <col min="6407" max="6407" width="9.7109375" style="68" bestFit="1" customWidth="1"/>
    <col min="6408" max="6410" width="9.28515625" style="68" bestFit="1" customWidth="1"/>
    <col min="6411" max="6411" width="10.7109375" style="68" bestFit="1" customWidth="1"/>
    <col min="6412" max="6412" width="11.28515625" style="68" customWidth="1"/>
    <col min="6413" max="6413" width="12.5703125" style="68" customWidth="1"/>
    <col min="6414" max="6414" width="13.5703125" style="68" customWidth="1"/>
    <col min="6415" max="6415" width="13" style="68" customWidth="1"/>
    <col min="6416" max="6654" width="9.140625" style="68"/>
    <col min="6655" max="6655" width="3.7109375" style="68" customWidth="1"/>
    <col min="6656" max="6656" width="4" style="68" bestFit="1" customWidth="1"/>
    <col min="6657" max="6657" width="14.5703125" style="68" customWidth="1"/>
    <col min="6658" max="6658" width="11.140625" style="68" customWidth="1"/>
    <col min="6659" max="6659" width="8.7109375" style="68" customWidth="1"/>
    <col min="6660" max="6660" width="9.7109375" style="68" bestFit="1" customWidth="1"/>
    <col min="6661" max="6661" width="10.85546875" style="68" customWidth="1"/>
    <col min="6662" max="6662" width="10.42578125" style="68" customWidth="1"/>
    <col min="6663" max="6663" width="9.7109375" style="68" bestFit="1" customWidth="1"/>
    <col min="6664" max="6666" width="9.28515625" style="68" bestFit="1" customWidth="1"/>
    <col min="6667" max="6667" width="10.7109375" style="68" bestFit="1" customWidth="1"/>
    <col min="6668" max="6668" width="11.28515625" style="68" customWidth="1"/>
    <col min="6669" max="6669" width="12.5703125" style="68" customWidth="1"/>
    <col min="6670" max="6670" width="13.5703125" style="68" customWidth="1"/>
    <col min="6671" max="6671" width="13" style="68" customWidth="1"/>
    <col min="6672" max="6910" width="9.140625" style="68"/>
    <col min="6911" max="6911" width="3.7109375" style="68" customWidth="1"/>
    <col min="6912" max="6912" width="4" style="68" bestFit="1" customWidth="1"/>
    <col min="6913" max="6913" width="14.5703125" style="68" customWidth="1"/>
    <col min="6914" max="6914" width="11.140625" style="68" customWidth="1"/>
    <col min="6915" max="6915" width="8.7109375" style="68" customWidth="1"/>
    <col min="6916" max="6916" width="9.7109375" style="68" bestFit="1" customWidth="1"/>
    <col min="6917" max="6917" width="10.85546875" style="68" customWidth="1"/>
    <col min="6918" max="6918" width="10.42578125" style="68" customWidth="1"/>
    <col min="6919" max="6919" width="9.7109375" style="68" bestFit="1" customWidth="1"/>
    <col min="6920" max="6922" width="9.28515625" style="68" bestFit="1" customWidth="1"/>
    <col min="6923" max="6923" width="10.7109375" style="68" bestFit="1" customWidth="1"/>
    <col min="6924" max="6924" width="11.28515625" style="68" customWidth="1"/>
    <col min="6925" max="6925" width="12.5703125" style="68" customWidth="1"/>
    <col min="6926" max="6926" width="13.5703125" style="68" customWidth="1"/>
    <col min="6927" max="6927" width="13" style="68" customWidth="1"/>
    <col min="6928" max="7166" width="9.140625" style="68"/>
    <col min="7167" max="7167" width="3.7109375" style="68" customWidth="1"/>
    <col min="7168" max="7168" width="4" style="68" bestFit="1" customWidth="1"/>
    <col min="7169" max="7169" width="14.5703125" style="68" customWidth="1"/>
    <col min="7170" max="7170" width="11.140625" style="68" customWidth="1"/>
    <col min="7171" max="7171" width="8.7109375" style="68" customWidth="1"/>
    <col min="7172" max="7172" width="9.7109375" style="68" bestFit="1" customWidth="1"/>
    <col min="7173" max="7173" width="10.85546875" style="68" customWidth="1"/>
    <col min="7174" max="7174" width="10.42578125" style="68" customWidth="1"/>
    <col min="7175" max="7175" width="9.7109375" style="68" bestFit="1" customWidth="1"/>
    <col min="7176" max="7178" width="9.28515625" style="68" bestFit="1" customWidth="1"/>
    <col min="7179" max="7179" width="10.7109375" style="68" bestFit="1" customWidth="1"/>
    <col min="7180" max="7180" width="11.28515625" style="68" customWidth="1"/>
    <col min="7181" max="7181" width="12.5703125" style="68" customWidth="1"/>
    <col min="7182" max="7182" width="13.5703125" style="68" customWidth="1"/>
    <col min="7183" max="7183" width="13" style="68" customWidth="1"/>
    <col min="7184" max="7422" width="9.140625" style="68"/>
    <col min="7423" max="7423" width="3.7109375" style="68" customWidth="1"/>
    <col min="7424" max="7424" width="4" style="68" bestFit="1" customWidth="1"/>
    <col min="7425" max="7425" width="14.5703125" style="68" customWidth="1"/>
    <col min="7426" max="7426" width="11.140625" style="68" customWidth="1"/>
    <col min="7427" max="7427" width="8.7109375" style="68" customWidth="1"/>
    <col min="7428" max="7428" width="9.7109375" style="68" bestFit="1" customWidth="1"/>
    <col min="7429" max="7429" width="10.85546875" style="68" customWidth="1"/>
    <col min="7430" max="7430" width="10.42578125" style="68" customWidth="1"/>
    <col min="7431" max="7431" width="9.7109375" style="68" bestFit="1" customWidth="1"/>
    <col min="7432" max="7434" width="9.28515625" style="68" bestFit="1" customWidth="1"/>
    <col min="7435" max="7435" width="10.7109375" style="68" bestFit="1" customWidth="1"/>
    <col min="7436" max="7436" width="11.28515625" style="68" customWidth="1"/>
    <col min="7437" max="7437" width="12.5703125" style="68" customWidth="1"/>
    <col min="7438" max="7438" width="13.5703125" style="68" customWidth="1"/>
    <col min="7439" max="7439" width="13" style="68" customWidth="1"/>
    <col min="7440" max="7678" width="9.140625" style="68"/>
    <col min="7679" max="7679" width="3.7109375" style="68" customWidth="1"/>
    <col min="7680" max="7680" width="4" style="68" bestFit="1" customWidth="1"/>
    <col min="7681" max="7681" width="14.5703125" style="68" customWidth="1"/>
    <col min="7682" max="7682" width="11.140625" style="68" customWidth="1"/>
    <col min="7683" max="7683" width="8.7109375" style="68" customWidth="1"/>
    <col min="7684" max="7684" width="9.7109375" style="68" bestFit="1" customWidth="1"/>
    <col min="7685" max="7685" width="10.85546875" style="68" customWidth="1"/>
    <col min="7686" max="7686" width="10.42578125" style="68" customWidth="1"/>
    <col min="7687" max="7687" width="9.7109375" style="68" bestFit="1" customWidth="1"/>
    <col min="7688" max="7690" width="9.28515625" style="68" bestFit="1" customWidth="1"/>
    <col min="7691" max="7691" width="10.7109375" style="68" bestFit="1" customWidth="1"/>
    <col min="7692" max="7692" width="11.28515625" style="68" customWidth="1"/>
    <col min="7693" max="7693" width="12.5703125" style="68" customWidth="1"/>
    <col min="7694" max="7694" width="13.5703125" style="68" customWidth="1"/>
    <col min="7695" max="7695" width="13" style="68" customWidth="1"/>
    <col min="7696" max="7934" width="9.140625" style="68"/>
    <col min="7935" max="7935" width="3.7109375" style="68" customWidth="1"/>
    <col min="7936" max="7936" width="4" style="68" bestFit="1" customWidth="1"/>
    <col min="7937" max="7937" width="14.5703125" style="68" customWidth="1"/>
    <col min="7938" max="7938" width="11.140625" style="68" customWidth="1"/>
    <col min="7939" max="7939" width="8.7109375" style="68" customWidth="1"/>
    <col min="7940" max="7940" width="9.7109375" style="68" bestFit="1" customWidth="1"/>
    <col min="7941" max="7941" width="10.85546875" style="68" customWidth="1"/>
    <col min="7942" max="7942" width="10.42578125" style="68" customWidth="1"/>
    <col min="7943" max="7943" width="9.7109375" style="68" bestFit="1" customWidth="1"/>
    <col min="7944" max="7946" width="9.28515625" style="68" bestFit="1" customWidth="1"/>
    <col min="7947" max="7947" width="10.7109375" style="68" bestFit="1" customWidth="1"/>
    <col min="7948" max="7948" width="11.28515625" style="68" customWidth="1"/>
    <col min="7949" max="7949" width="12.5703125" style="68" customWidth="1"/>
    <col min="7950" max="7950" width="13.5703125" style="68" customWidth="1"/>
    <col min="7951" max="7951" width="13" style="68" customWidth="1"/>
    <col min="7952" max="8190" width="9.140625" style="68"/>
    <col min="8191" max="8191" width="3.7109375" style="68" customWidth="1"/>
    <col min="8192" max="8192" width="4" style="68" bestFit="1" customWidth="1"/>
    <col min="8193" max="8193" width="14.5703125" style="68" customWidth="1"/>
    <col min="8194" max="8194" width="11.140625" style="68" customWidth="1"/>
    <col min="8195" max="8195" width="8.7109375" style="68" customWidth="1"/>
    <col min="8196" max="8196" width="9.7109375" style="68" bestFit="1" customWidth="1"/>
    <col min="8197" max="8197" width="10.85546875" style="68" customWidth="1"/>
    <col min="8198" max="8198" width="10.42578125" style="68" customWidth="1"/>
    <col min="8199" max="8199" width="9.7109375" style="68" bestFit="1" customWidth="1"/>
    <col min="8200" max="8202" width="9.28515625" style="68" bestFit="1" customWidth="1"/>
    <col min="8203" max="8203" width="10.7109375" style="68" bestFit="1" customWidth="1"/>
    <col min="8204" max="8204" width="11.28515625" style="68" customWidth="1"/>
    <col min="8205" max="8205" width="12.5703125" style="68" customWidth="1"/>
    <col min="8206" max="8206" width="13.5703125" style="68" customWidth="1"/>
    <col min="8207" max="8207" width="13" style="68" customWidth="1"/>
    <col min="8208" max="8446" width="9.140625" style="68"/>
    <col min="8447" max="8447" width="3.7109375" style="68" customWidth="1"/>
    <col min="8448" max="8448" width="4" style="68" bestFit="1" customWidth="1"/>
    <col min="8449" max="8449" width="14.5703125" style="68" customWidth="1"/>
    <col min="8450" max="8450" width="11.140625" style="68" customWidth="1"/>
    <col min="8451" max="8451" width="8.7109375" style="68" customWidth="1"/>
    <col min="8452" max="8452" width="9.7109375" style="68" bestFit="1" customWidth="1"/>
    <col min="8453" max="8453" width="10.85546875" style="68" customWidth="1"/>
    <col min="8454" max="8454" width="10.42578125" style="68" customWidth="1"/>
    <col min="8455" max="8455" width="9.7109375" style="68" bestFit="1" customWidth="1"/>
    <col min="8456" max="8458" width="9.28515625" style="68" bestFit="1" customWidth="1"/>
    <col min="8459" max="8459" width="10.7109375" style="68" bestFit="1" customWidth="1"/>
    <col min="8460" max="8460" width="11.28515625" style="68" customWidth="1"/>
    <col min="8461" max="8461" width="12.5703125" style="68" customWidth="1"/>
    <col min="8462" max="8462" width="13.5703125" style="68" customWidth="1"/>
    <col min="8463" max="8463" width="13" style="68" customWidth="1"/>
    <col min="8464" max="8702" width="9.140625" style="68"/>
    <col min="8703" max="8703" width="3.7109375" style="68" customWidth="1"/>
    <col min="8704" max="8704" width="4" style="68" bestFit="1" customWidth="1"/>
    <col min="8705" max="8705" width="14.5703125" style="68" customWidth="1"/>
    <col min="8706" max="8706" width="11.140625" style="68" customWidth="1"/>
    <col min="8707" max="8707" width="8.7109375" style="68" customWidth="1"/>
    <col min="8708" max="8708" width="9.7109375" style="68" bestFit="1" customWidth="1"/>
    <col min="8709" max="8709" width="10.85546875" style="68" customWidth="1"/>
    <col min="8710" max="8710" width="10.42578125" style="68" customWidth="1"/>
    <col min="8711" max="8711" width="9.7109375" style="68" bestFit="1" customWidth="1"/>
    <col min="8712" max="8714" width="9.28515625" style="68" bestFit="1" customWidth="1"/>
    <col min="8715" max="8715" width="10.7109375" style="68" bestFit="1" customWidth="1"/>
    <col min="8716" max="8716" width="11.28515625" style="68" customWidth="1"/>
    <col min="8717" max="8717" width="12.5703125" style="68" customWidth="1"/>
    <col min="8718" max="8718" width="13.5703125" style="68" customWidth="1"/>
    <col min="8719" max="8719" width="13" style="68" customWidth="1"/>
    <col min="8720" max="8958" width="9.140625" style="68"/>
    <col min="8959" max="8959" width="3.7109375" style="68" customWidth="1"/>
    <col min="8960" max="8960" width="4" style="68" bestFit="1" customWidth="1"/>
    <col min="8961" max="8961" width="14.5703125" style="68" customWidth="1"/>
    <col min="8962" max="8962" width="11.140625" style="68" customWidth="1"/>
    <col min="8963" max="8963" width="8.7109375" style="68" customWidth="1"/>
    <col min="8964" max="8964" width="9.7109375" style="68" bestFit="1" customWidth="1"/>
    <col min="8965" max="8965" width="10.85546875" style="68" customWidth="1"/>
    <col min="8966" max="8966" width="10.42578125" style="68" customWidth="1"/>
    <col min="8967" max="8967" width="9.7109375" style="68" bestFit="1" customWidth="1"/>
    <col min="8968" max="8970" width="9.28515625" style="68" bestFit="1" customWidth="1"/>
    <col min="8971" max="8971" width="10.7109375" style="68" bestFit="1" customWidth="1"/>
    <col min="8972" max="8972" width="11.28515625" style="68" customWidth="1"/>
    <col min="8973" max="8973" width="12.5703125" style="68" customWidth="1"/>
    <col min="8974" max="8974" width="13.5703125" style="68" customWidth="1"/>
    <col min="8975" max="8975" width="13" style="68" customWidth="1"/>
    <col min="8976" max="9214" width="9.140625" style="68"/>
    <col min="9215" max="9215" width="3.7109375" style="68" customWidth="1"/>
    <col min="9216" max="9216" width="4" style="68" bestFit="1" customWidth="1"/>
    <col min="9217" max="9217" width="14.5703125" style="68" customWidth="1"/>
    <col min="9218" max="9218" width="11.140625" style="68" customWidth="1"/>
    <col min="9219" max="9219" width="8.7109375" style="68" customWidth="1"/>
    <col min="9220" max="9220" width="9.7109375" style="68" bestFit="1" customWidth="1"/>
    <col min="9221" max="9221" width="10.85546875" style="68" customWidth="1"/>
    <col min="9222" max="9222" width="10.42578125" style="68" customWidth="1"/>
    <col min="9223" max="9223" width="9.7109375" style="68" bestFit="1" customWidth="1"/>
    <col min="9224" max="9226" width="9.28515625" style="68" bestFit="1" customWidth="1"/>
    <col min="9227" max="9227" width="10.7109375" style="68" bestFit="1" customWidth="1"/>
    <col min="9228" max="9228" width="11.28515625" style="68" customWidth="1"/>
    <col min="9229" max="9229" width="12.5703125" style="68" customWidth="1"/>
    <col min="9230" max="9230" width="13.5703125" style="68" customWidth="1"/>
    <col min="9231" max="9231" width="13" style="68" customWidth="1"/>
    <col min="9232" max="9470" width="9.140625" style="68"/>
    <col min="9471" max="9471" width="3.7109375" style="68" customWidth="1"/>
    <col min="9472" max="9472" width="4" style="68" bestFit="1" customWidth="1"/>
    <col min="9473" max="9473" width="14.5703125" style="68" customWidth="1"/>
    <col min="9474" max="9474" width="11.140625" style="68" customWidth="1"/>
    <col min="9475" max="9475" width="8.7109375" style="68" customWidth="1"/>
    <col min="9476" max="9476" width="9.7109375" style="68" bestFit="1" customWidth="1"/>
    <col min="9477" max="9477" width="10.85546875" style="68" customWidth="1"/>
    <col min="9478" max="9478" width="10.42578125" style="68" customWidth="1"/>
    <col min="9479" max="9479" width="9.7109375" style="68" bestFit="1" customWidth="1"/>
    <col min="9480" max="9482" width="9.28515625" style="68" bestFit="1" customWidth="1"/>
    <col min="9483" max="9483" width="10.7109375" style="68" bestFit="1" customWidth="1"/>
    <col min="9484" max="9484" width="11.28515625" style="68" customWidth="1"/>
    <col min="9485" max="9485" width="12.5703125" style="68" customWidth="1"/>
    <col min="9486" max="9486" width="13.5703125" style="68" customWidth="1"/>
    <col min="9487" max="9487" width="13" style="68" customWidth="1"/>
    <col min="9488" max="9726" width="9.140625" style="68"/>
    <col min="9727" max="9727" width="3.7109375" style="68" customWidth="1"/>
    <col min="9728" max="9728" width="4" style="68" bestFit="1" customWidth="1"/>
    <col min="9729" max="9729" width="14.5703125" style="68" customWidth="1"/>
    <col min="9730" max="9730" width="11.140625" style="68" customWidth="1"/>
    <col min="9731" max="9731" width="8.7109375" style="68" customWidth="1"/>
    <col min="9732" max="9732" width="9.7109375" style="68" bestFit="1" customWidth="1"/>
    <col min="9733" max="9733" width="10.85546875" style="68" customWidth="1"/>
    <col min="9734" max="9734" width="10.42578125" style="68" customWidth="1"/>
    <col min="9735" max="9735" width="9.7109375" style="68" bestFit="1" customWidth="1"/>
    <col min="9736" max="9738" width="9.28515625" style="68" bestFit="1" customWidth="1"/>
    <col min="9739" max="9739" width="10.7109375" style="68" bestFit="1" customWidth="1"/>
    <col min="9740" max="9740" width="11.28515625" style="68" customWidth="1"/>
    <col min="9741" max="9741" width="12.5703125" style="68" customWidth="1"/>
    <col min="9742" max="9742" width="13.5703125" style="68" customWidth="1"/>
    <col min="9743" max="9743" width="13" style="68" customWidth="1"/>
    <col min="9744" max="9982" width="9.140625" style="68"/>
    <col min="9983" max="9983" width="3.7109375" style="68" customWidth="1"/>
    <col min="9984" max="9984" width="4" style="68" bestFit="1" customWidth="1"/>
    <col min="9985" max="9985" width="14.5703125" style="68" customWidth="1"/>
    <col min="9986" max="9986" width="11.140625" style="68" customWidth="1"/>
    <col min="9987" max="9987" width="8.7109375" style="68" customWidth="1"/>
    <col min="9988" max="9988" width="9.7109375" style="68" bestFit="1" customWidth="1"/>
    <col min="9989" max="9989" width="10.85546875" style="68" customWidth="1"/>
    <col min="9990" max="9990" width="10.42578125" style="68" customWidth="1"/>
    <col min="9991" max="9991" width="9.7109375" style="68" bestFit="1" customWidth="1"/>
    <col min="9992" max="9994" width="9.28515625" style="68" bestFit="1" customWidth="1"/>
    <col min="9995" max="9995" width="10.7109375" style="68" bestFit="1" customWidth="1"/>
    <col min="9996" max="9996" width="11.28515625" style="68" customWidth="1"/>
    <col min="9997" max="9997" width="12.5703125" style="68" customWidth="1"/>
    <col min="9998" max="9998" width="13.5703125" style="68" customWidth="1"/>
    <col min="9999" max="9999" width="13" style="68" customWidth="1"/>
    <col min="10000" max="10238" width="9.140625" style="68"/>
    <col min="10239" max="10239" width="3.7109375" style="68" customWidth="1"/>
    <col min="10240" max="10240" width="4" style="68" bestFit="1" customWidth="1"/>
    <col min="10241" max="10241" width="14.5703125" style="68" customWidth="1"/>
    <col min="10242" max="10242" width="11.140625" style="68" customWidth="1"/>
    <col min="10243" max="10243" width="8.7109375" style="68" customWidth="1"/>
    <col min="10244" max="10244" width="9.7109375" style="68" bestFit="1" customWidth="1"/>
    <col min="10245" max="10245" width="10.85546875" style="68" customWidth="1"/>
    <col min="10246" max="10246" width="10.42578125" style="68" customWidth="1"/>
    <col min="10247" max="10247" width="9.7109375" style="68" bestFit="1" customWidth="1"/>
    <col min="10248" max="10250" width="9.28515625" style="68" bestFit="1" customWidth="1"/>
    <col min="10251" max="10251" width="10.7109375" style="68" bestFit="1" customWidth="1"/>
    <col min="10252" max="10252" width="11.28515625" style="68" customWidth="1"/>
    <col min="10253" max="10253" width="12.5703125" style="68" customWidth="1"/>
    <col min="10254" max="10254" width="13.5703125" style="68" customWidth="1"/>
    <col min="10255" max="10255" width="13" style="68" customWidth="1"/>
    <col min="10256" max="10494" width="9.140625" style="68"/>
    <col min="10495" max="10495" width="3.7109375" style="68" customWidth="1"/>
    <col min="10496" max="10496" width="4" style="68" bestFit="1" customWidth="1"/>
    <col min="10497" max="10497" width="14.5703125" style="68" customWidth="1"/>
    <col min="10498" max="10498" width="11.140625" style="68" customWidth="1"/>
    <col min="10499" max="10499" width="8.7109375" style="68" customWidth="1"/>
    <col min="10500" max="10500" width="9.7109375" style="68" bestFit="1" customWidth="1"/>
    <col min="10501" max="10501" width="10.85546875" style="68" customWidth="1"/>
    <col min="10502" max="10502" width="10.42578125" style="68" customWidth="1"/>
    <col min="10503" max="10503" width="9.7109375" style="68" bestFit="1" customWidth="1"/>
    <col min="10504" max="10506" width="9.28515625" style="68" bestFit="1" customWidth="1"/>
    <col min="10507" max="10507" width="10.7109375" style="68" bestFit="1" customWidth="1"/>
    <col min="10508" max="10508" width="11.28515625" style="68" customWidth="1"/>
    <col min="10509" max="10509" width="12.5703125" style="68" customWidth="1"/>
    <col min="10510" max="10510" width="13.5703125" style="68" customWidth="1"/>
    <col min="10511" max="10511" width="13" style="68" customWidth="1"/>
    <col min="10512" max="10750" width="9.140625" style="68"/>
    <col min="10751" max="10751" width="3.7109375" style="68" customWidth="1"/>
    <col min="10752" max="10752" width="4" style="68" bestFit="1" customWidth="1"/>
    <col min="10753" max="10753" width="14.5703125" style="68" customWidth="1"/>
    <col min="10754" max="10754" width="11.140625" style="68" customWidth="1"/>
    <col min="10755" max="10755" width="8.7109375" style="68" customWidth="1"/>
    <col min="10756" max="10756" width="9.7109375" style="68" bestFit="1" customWidth="1"/>
    <col min="10757" max="10757" width="10.85546875" style="68" customWidth="1"/>
    <col min="10758" max="10758" width="10.42578125" style="68" customWidth="1"/>
    <col min="10759" max="10759" width="9.7109375" style="68" bestFit="1" customWidth="1"/>
    <col min="10760" max="10762" width="9.28515625" style="68" bestFit="1" customWidth="1"/>
    <col min="10763" max="10763" width="10.7109375" style="68" bestFit="1" customWidth="1"/>
    <col min="10764" max="10764" width="11.28515625" style="68" customWidth="1"/>
    <col min="10765" max="10765" width="12.5703125" style="68" customWidth="1"/>
    <col min="10766" max="10766" width="13.5703125" style="68" customWidth="1"/>
    <col min="10767" max="10767" width="13" style="68" customWidth="1"/>
    <col min="10768" max="11006" width="9.140625" style="68"/>
    <col min="11007" max="11007" width="3.7109375" style="68" customWidth="1"/>
    <col min="11008" max="11008" width="4" style="68" bestFit="1" customWidth="1"/>
    <col min="11009" max="11009" width="14.5703125" style="68" customWidth="1"/>
    <col min="11010" max="11010" width="11.140625" style="68" customWidth="1"/>
    <col min="11011" max="11011" width="8.7109375" style="68" customWidth="1"/>
    <col min="11012" max="11012" width="9.7109375" style="68" bestFit="1" customWidth="1"/>
    <col min="11013" max="11013" width="10.85546875" style="68" customWidth="1"/>
    <col min="11014" max="11014" width="10.42578125" style="68" customWidth="1"/>
    <col min="11015" max="11015" width="9.7109375" style="68" bestFit="1" customWidth="1"/>
    <col min="11016" max="11018" width="9.28515625" style="68" bestFit="1" customWidth="1"/>
    <col min="11019" max="11019" width="10.7109375" style="68" bestFit="1" customWidth="1"/>
    <col min="11020" max="11020" width="11.28515625" style="68" customWidth="1"/>
    <col min="11021" max="11021" width="12.5703125" style="68" customWidth="1"/>
    <col min="11022" max="11022" width="13.5703125" style="68" customWidth="1"/>
    <col min="11023" max="11023" width="13" style="68" customWidth="1"/>
    <col min="11024" max="11262" width="9.140625" style="68"/>
    <col min="11263" max="11263" width="3.7109375" style="68" customWidth="1"/>
    <col min="11264" max="11264" width="4" style="68" bestFit="1" customWidth="1"/>
    <col min="11265" max="11265" width="14.5703125" style="68" customWidth="1"/>
    <col min="11266" max="11266" width="11.140625" style="68" customWidth="1"/>
    <col min="11267" max="11267" width="8.7109375" style="68" customWidth="1"/>
    <col min="11268" max="11268" width="9.7109375" style="68" bestFit="1" customWidth="1"/>
    <col min="11269" max="11269" width="10.85546875" style="68" customWidth="1"/>
    <col min="11270" max="11270" width="10.42578125" style="68" customWidth="1"/>
    <col min="11271" max="11271" width="9.7109375" style="68" bestFit="1" customWidth="1"/>
    <col min="11272" max="11274" width="9.28515625" style="68" bestFit="1" customWidth="1"/>
    <col min="11275" max="11275" width="10.7109375" style="68" bestFit="1" customWidth="1"/>
    <col min="11276" max="11276" width="11.28515625" style="68" customWidth="1"/>
    <col min="11277" max="11277" width="12.5703125" style="68" customWidth="1"/>
    <col min="11278" max="11278" width="13.5703125" style="68" customWidth="1"/>
    <col min="11279" max="11279" width="13" style="68" customWidth="1"/>
    <col min="11280" max="11518" width="9.140625" style="68"/>
    <col min="11519" max="11519" width="3.7109375" style="68" customWidth="1"/>
    <col min="11520" max="11520" width="4" style="68" bestFit="1" customWidth="1"/>
    <col min="11521" max="11521" width="14.5703125" style="68" customWidth="1"/>
    <col min="11522" max="11522" width="11.140625" style="68" customWidth="1"/>
    <col min="11523" max="11523" width="8.7109375" style="68" customWidth="1"/>
    <col min="11524" max="11524" width="9.7109375" style="68" bestFit="1" customWidth="1"/>
    <col min="11525" max="11525" width="10.85546875" style="68" customWidth="1"/>
    <col min="11526" max="11526" width="10.42578125" style="68" customWidth="1"/>
    <col min="11527" max="11527" width="9.7109375" style="68" bestFit="1" customWidth="1"/>
    <col min="11528" max="11530" width="9.28515625" style="68" bestFit="1" customWidth="1"/>
    <col min="11531" max="11531" width="10.7109375" style="68" bestFit="1" customWidth="1"/>
    <col min="11532" max="11532" width="11.28515625" style="68" customWidth="1"/>
    <col min="11533" max="11533" width="12.5703125" style="68" customWidth="1"/>
    <col min="11534" max="11534" width="13.5703125" style="68" customWidth="1"/>
    <col min="11535" max="11535" width="13" style="68" customWidth="1"/>
    <col min="11536" max="11774" width="9.140625" style="68"/>
    <col min="11775" max="11775" width="3.7109375" style="68" customWidth="1"/>
    <col min="11776" max="11776" width="4" style="68" bestFit="1" customWidth="1"/>
    <col min="11777" max="11777" width="14.5703125" style="68" customWidth="1"/>
    <col min="11778" max="11778" width="11.140625" style="68" customWidth="1"/>
    <col min="11779" max="11779" width="8.7109375" style="68" customWidth="1"/>
    <col min="11780" max="11780" width="9.7109375" style="68" bestFit="1" customWidth="1"/>
    <col min="11781" max="11781" width="10.85546875" style="68" customWidth="1"/>
    <col min="11782" max="11782" width="10.42578125" style="68" customWidth="1"/>
    <col min="11783" max="11783" width="9.7109375" style="68" bestFit="1" customWidth="1"/>
    <col min="11784" max="11786" width="9.28515625" style="68" bestFit="1" customWidth="1"/>
    <col min="11787" max="11787" width="10.7109375" style="68" bestFit="1" customWidth="1"/>
    <col min="11788" max="11788" width="11.28515625" style="68" customWidth="1"/>
    <col min="11789" max="11789" width="12.5703125" style="68" customWidth="1"/>
    <col min="11790" max="11790" width="13.5703125" style="68" customWidth="1"/>
    <col min="11791" max="11791" width="13" style="68" customWidth="1"/>
    <col min="11792" max="12030" width="9.140625" style="68"/>
    <col min="12031" max="12031" width="3.7109375" style="68" customWidth="1"/>
    <col min="12032" max="12032" width="4" style="68" bestFit="1" customWidth="1"/>
    <col min="12033" max="12033" width="14.5703125" style="68" customWidth="1"/>
    <col min="12034" max="12034" width="11.140625" style="68" customWidth="1"/>
    <col min="12035" max="12035" width="8.7109375" style="68" customWidth="1"/>
    <col min="12036" max="12036" width="9.7109375" style="68" bestFit="1" customWidth="1"/>
    <col min="12037" max="12037" width="10.85546875" style="68" customWidth="1"/>
    <col min="12038" max="12038" width="10.42578125" style="68" customWidth="1"/>
    <col min="12039" max="12039" width="9.7109375" style="68" bestFit="1" customWidth="1"/>
    <col min="12040" max="12042" width="9.28515625" style="68" bestFit="1" customWidth="1"/>
    <col min="12043" max="12043" width="10.7109375" style="68" bestFit="1" customWidth="1"/>
    <col min="12044" max="12044" width="11.28515625" style="68" customWidth="1"/>
    <col min="12045" max="12045" width="12.5703125" style="68" customWidth="1"/>
    <col min="12046" max="12046" width="13.5703125" style="68" customWidth="1"/>
    <col min="12047" max="12047" width="13" style="68" customWidth="1"/>
    <col min="12048" max="12286" width="9.140625" style="68"/>
    <col min="12287" max="12287" width="3.7109375" style="68" customWidth="1"/>
    <col min="12288" max="12288" width="4" style="68" bestFit="1" customWidth="1"/>
    <col min="12289" max="12289" width="14.5703125" style="68" customWidth="1"/>
    <col min="12290" max="12290" width="11.140625" style="68" customWidth="1"/>
    <col min="12291" max="12291" width="8.7109375" style="68" customWidth="1"/>
    <col min="12292" max="12292" width="9.7109375" style="68" bestFit="1" customWidth="1"/>
    <col min="12293" max="12293" width="10.85546875" style="68" customWidth="1"/>
    <col min="12294" max="12294" width="10.42578125" style="68" customWidth="1"/>
    <col min="12295" max="12295" width="9.7109375" style="68" bestFit="1" customWidth="1"/>
    <col min="12296" max="12298" width="9.28515625" style="68" bestFit="1" customWidth="1"/>
    <col min="12299" max="12299" width="10.7109375" style="68" bestFit="1" customWidth="1"/>
    <col min="12300" max="12300" width="11.28515625" style="68" customWidth="1"/>
    <col min="12301" max="12301" width="12.5703125" style="68" customWidth="1"/>
    <col min="12302" max="12302" width="13.5703125" style="68" customWidth="1"/>
    <col min="12303" max="12303" width="13" style="68" customWidth="1"/>
    <col min="12304" max="12542" width="9.140625" style="68"/>
    <col min="12543" max="12543" width="3.7109375" style="68" customWidth="1"/>
    <col min="12544" max="12544" width="4" style="68" bestFit="1" customWidth="1"/>
    <col min="12545" max="12545" width="14.5703125" style="68" customWidth="1"/>
    <col min="12546" max="12546" width="11.140625" style="68" customWidth="1"/>
    <col min="12547" max="12547" width="8.7109375" style="68" customWidth="1"/>
    <col min="12548" max="12548" width="9.7109375" style="68" bestFit="1" customWidth="1"/>
    <col min="12549" max="12549" width="10.85546875" style="68" customWidth="1"/>
    <col min="12550" max="12550" width="10.42578125" style="68" customWidth="1"/>
    <col min="12551" max="12551" width="9.7109375" style="68" bestFit="1" customWidth="1"/>
    <col min="12552" max="12554" width="9.28515625" style="68" bestFit="1" customWidth="1"/>
    <col min="12555" max="12555" width="10.7109375" style="68" bestFit="1" customWidth="1"/>
    <col min="12556" max="12556" width="11.28515625" style="68" customWidth="1"/>
    <col min="12557" max="12557" width="12.5703125" style="68" customWidth="1"/>
    <col min="12558" max="12558" width="13.5703125" style="68" customWidth="1"/>
    <col min="12559" max="12559" width="13" style="68" customWidth="1"/>
    <col min="12560" max="12798" width="9.140625" style="68"/>
    <col min="12799" max="12799" width="3.7109375" style="68" customWidth="1"/>
    <col min="12800" max="12800" width="4" style="68" bestFit="1" customWidth="1"/>
    <col min="12801" max="12801" width="14.5703125" style="68" customWidth="1"/>
    <col min="12802" max="12802" width="11.140625" style="68" customWidth="1"/>
    <col min="12803" max="12803" width="8.7109375" style="68" customWidth="1"/>
    <col min="12804" max="12804" width="9.7109375" style="68" bestFit="1" customWidth="1"/>
    <col min="12805" max="12805" width="10.85546875" style="68" customWidth="1"/>
    <col min="12806" max="12806" width="10.42578125" style="68" customWidth="1"/>
    <col min="12807" max="12807" width="9.7109375" style="68" bestFit="1" customWidth="1"/>
    <col min="12808" max="12810" width="9.28515625" style="68" bestFit="1" customWidth="1"/>
    <col min="12811" max="12811" width="10.7109375" style="68" bestFit="1" customWidth="1"/>
    <col min="12812" max="12812" width="11.28515625" style="68" customWidth="1"/>
    <col min="12813" max="12813" width="12.5703125" style="68" customWidth="1"/>
    <col min="12814" max="12814" width="13.5703125" style="68" customWidth="1"/>
    <col min="12815" max="12815" width="13" style="68" customWidth="1"/>
    <col min="12816" max="13054" width="9.140625" style="68"/>
    <col min="13055" max="13055" width="3.7109375" style="68" customWidth="1"/>
    <col min="13056" max="13056" width="4" style="68" bestFit="1" customWidth="1"/>
    <col min="13057" max="13057" width="14.5703125" style="68" customWidth="1"/>
    <col min="13058" max="13058" width="11.140625" style="68" customWidth="1"/>
    <col min="13059" max="13059" width="8.7109375" style="68" customWidth="1"/>
    <col min="13060" max="13060" width="9.7109375" style="68" bestFit="1" customWidth="1"/>
    <col min="13061" max="13061" width="10.85546875" style="68" customWidth="1"/>
    <col min="13062" max="13062" width="10.42578125" style="68" customWidth="1"/>
    <col min="13063" max="13063" width="9.7109375" style="68" bestFit="1" customWidth="1"/>
    <col min="13064" max="13066" width="9.28515625" style="68" bestFit="1" customWidth="1"/>
    <col min="13067" max="13067" width="10.7109375" style="68" bestFit="1" customWidth="1"/>
    <col min="13068" max="13068" width="11.28515625" style="68" customWidth="1"/>
    <col min="13069" max="13069" width="12.5703125" style="68" customWidth="1"/>
    <col min="13070" max="13070" width="13.5703125" style="68" customWidth="1"/>
    <col min="13071" max="13071" width="13" style="68" customWidth="1"/>
    <col min="13072" max="13310" width="9.140625" style="68"/>
    <col min="13311" max="13311" width="3.7109375" style="68" customWidth="1"/>
    <col min="13312" max="13312" width="4" style="68" bestFit="1" customWidth="1"/>
    <col min="13313" max="13313" width="14.5703125" style="68" customWidth="1"/>
    <col min="13314" max="13314" width="11.140625" style="68" customWidth="1"/>
    <col min="13315" max="13315" width="8.7109375" style="68" customWidth="1"/>
    <col min="13316" max="13316" width="9.7109375" style="68" bestFit="1" customWidth="1"/>
    <col min="13317" max="13317" width="10.85546875" style="68" customWidth="1"/>
    <col min="13318" max="13318" width="10.42578125" style="68" customWidth="1"/>
    <col min="13319" max="13319" width="9.7109375" style="68" bestFit="1" customWidth="1"/>
    <col min="13320" max="13322" width="9.28515625" style="68" bestFit="1" customWidth="1"/>
    <col min="13323" max="13323" width="10.7109375" style="68" bestFit="1" customWidth="1"/>
    <col min="13324" max="13324" width="11.28515625" style="68" customWidth="1"/>
    <col min="13325" max="13325" width="12.5703125" style="68" customWidth="1"/>
    <col min="13326" max="13326" width="13.5703125" style="68" customWidth="1"/>
    <col min="13327" max="13327" width="13" style="68" customWidth="1"/>
    <col min="13328" max="13566" width="9.140625" style="68"/>
    <col min="13567" max="13567" width="3.7109375" style="68" customWidth="1"/>
    <col min="13568" max="13568" width="4" style="68" bestFit="1" customWidth="1"/>
    <col min="13569" max="13569" width="14.5703125" style="68" customWidth="1"/>
    <col min="13570" max="13570" width="11.140625" style="68" customWidth="1"/>
    <col min="13571" max="13571" width="8.7109375" style="68" customWidth="1"/>
    <col min="13572" max="13572" width="9.7109375" style="68" bestFit="1" customWidth="1"/>
    <col min="13573" max="13573" width="10.85546875" style="68" customWidth="1"/>
    <col min="13574" max="13574" width="10.42578125" style="68" customWidth="1"/>
    <col min="13575" max="13575" width="9.7109375" style="68" bestFit="1" customWidth="1"/>
    <col min="13576" max="13578" width="9.28515625" style="68" bestFit="1" customWidth="1"/>
    <col min="13579" max="13579" width="10.7109375" style="68" bestFit="1" customWidth="1"/>
    <col min="13580" max="13580" width="11.28515625" style="68" customWidth="1"/>
    <col min="13581" max="13581" width="12.5703125" style="68" customWidth="1"/>
    <col min="13582" max="13582" width="13.5703125" style="68" customWidth="1"/>
    <col min="13583" max="13583" width="13" style="68" customWidth="1"/>
    <col min="13584" max="13822" width="9.140625" style="68"/>
    <col min="13823" max="13823" width="3.7109375" style="68" customWidth="1"/>
    <col min="13824" max="13824" width="4" style="68" bestFit="1" customWidth="1"/>
    <col min="13825" max="13825" width="14.5703125" style="68" customWidth="1"/>
    <col min="13826" max="13826" width="11.140625" style="68" customWidth="1"/>
    <col min="13827" max="13827" width="8.7109375" style="68" customWidth="1"/>
    <col min="13828" max="13828" width="9.7109375" style="68" bestFit="1" customWidth="1"/>
    <col min="13829" max="13829" width="10.85546875" style="68" customWidth="1"/>
    <col min="13830" max="13830" width="10.42578125" style="68" customWidth="1"/>
    <col min="13831" max="13831" width="9.7109375" style="68" bestFit="1" customWidth="1"/>
    <col min="13832" max="13834" width="9.28515625" style="68" bestFit="1" customWidth="1"/>
    <col min="13835" max="13835" width="10.7109375" style="68" bestFit="1" customWidth="1"/>
    <col min="13836" max="13836" width="11.28515625" style="68" customWidth="1"/>
    <col min="13837" max="13837" width="12.5703125" style="68" customWidth="1"/>
    <col min="13838" max="13838" width="13.5703125" style="68" customWidth="1"/>
    <col min="13839" max="13839" width="13" style="68" customWidth="1"/>
    <col min="13840" max="14078" width="9.140625" style="68"/>
    <col min="14079" max="14079" width="3.7109375" style="68" customWidth="1"/>
    <col min="14080" max="14080" width="4" style="68" bestFit="1" customWidth="1"/>
    <col min="14081" max="14081" width="14.5703125" style="68" customWidth="1"/>
    <col min="14082" max="14082" width="11.140625" style="68" customWidth="1"/>
    <col min="14083" max="14083" width="8.7109375" style="68" customWidth="1"/>
    <col min="14084" max="14084" width="9.7109375" style="68" bestFit="1" customWidth="1"/>
    <col min="14085" max="14085" width="10.85546875" style="68" customWidth="1"/>
    <col min="14086" max="14086" width="10.42578125" style="68" customWidth="1"/>
    <col min="14087" max="14087" width="9.7109375" style="68" bestFit="1" customWidth="1"/>
    <col min="14088" max="14090" width="9.28515625" style="68" bestFit="1" customWidth="1"/>
    <col min="14091" max="14091" width="10.7109375" style="68" bestFit="1" customWidth="1"/>
    <col min="14092" max="14092" width="11.28515625" style="68" customWidth="1"/>
    <col min="14093" max="14093" width="12.5703125" style="68" customWidth="1"/>
    <col min="14094" max="14094" width="13.5703125" style="68" customWidth="1"/>
    <col min="14095" max="14095" width="13" style="68" customWidth="1"/>
    <col min="14096" max="14334" width="9.140625" style="68"/>
    <col min="14335" max="14335" width="3.7109375" style="68" customWidth="1"/>
    <col min="14336" max="14336" width="4" style="68" bestFit="1" customWidth="1"/>
    <col min="14337" max="14337" width="14.5703125" style="68" customWidth="1"/>
    <col min="14338" max="14338" width="11.140625" style="68" customWidth="1"/>
    <col min="14339" max="14339" width="8.7109375" style="68" customWidth="1"/>
    <col min="14340" max="14340" width="9.7109375" style="68" bestFit="1" customWidth="1"/>
    <col min="14341" max="14341" width="10.85546875" style="68" customWidth="1"/>
    <col min="14342" max="14342" width="10.42578125" style="68" customWidth="1"/>
    <col min="14343" max="14343" width="9.7109375" style="68" bestFit="1" customWidth="1"/>
    <col min="14344" max="14346" width="9.28515625" style="68" bestFit="1" customWidth="1"/>
    <col min="14347" max="14347" width="10.7109375" style="68" bestFit="1" customWidth="1"/>
    <col min="14348" max="14348" width="11.28515625" style="68" customWidth="1"/>
    <col min="14349" max="14349" width="12.5703125" style="68" customWidth="1"/>
    <col min="14350" max="14350" width="13.5703125" style="68" customWidth="1"/>
    <col min="14351" max="14351" width="13" style="68" customWidth="1"/>
    <col min="14352" max="14590" width="9.140625" style="68"/>
    <col min="14591" max="14591" width="3.7109375" style="68" customWidth="1"/>
    <col min="14592" max="14592" width="4" style="68" bestFit="1" customWidth="1"/>
    <col min="14593" max="14593" width="14.5703125" style="68" customWidth="1"/>
    <col min="14594" max="14594" width="11.140625" style="68" customWidth="1"/>
    <col min="14595" max="14595" width="8.7109375" style="68" customWidth="1"/>
    <col min="14596" max="14596" width="9.7109375" style="68" bestFit="1" customWidth="1"/>
    <col min="14597" max="14597" width="10.85546875" style="68" customWidth="1"/>
    <col min="14598" max="14598" width="10.42578125" style="68" customWidth="1"/>
    <col min="14599" max="14599" width="9.7109375" style="68" bestFit="1" customWidth="1"/>
    <col min="14600" max="14602" width="9.28515625" style="68" bestFit="1" customWidth="1"/>
    <col min="14603" max="14603" width="10.7109375" style="68" bestFit="1" customWidth="1"/>
    <col min="14604" max="14604" width="11.28515625" style="68" customWidth="1"/>
    <col min="14605" max="14605" width="12.5703125" style="68" customWidth="1"/>
    <col min="14606" max="14606" width="13.5703125" style="68" customWidth="1"/>
    <col min="14607" max="14607" width="13" style="68" customWidth="1"/>
    <col min="14608" max="14846" width="9.140625" style="68"/>
    <col min="14847" max="14847" width="3.7109375" style="68" customWidth="1"/>
    <col min="14848" max="14848" width="4" style="68" bestFit="1" customWidth="1"/>
    <col min="14849" max="14849" width="14.5703125" style="68" customWidth="1"/>
    <col min="14850" max="14850" width="11.140625" style="68" customWidth="1"/>
    <col min="14851" max="14851" width="8.7109375" style="68" customWidth="1"/>
    <col min="14852" max="14852" width="9.7109375" style="68" bestFit="1" customWidth="1"/>
    <col min="14853" max="14853" width="10.85546875" style="68" customWidth="1"/>
    <col min="14854" max="14854" width="10.42578125" style="68" customWidth="1"/>
    <col min="14855" max="14855" width="9.7109375" style="68" bestFit="1" customWidth="1"/>
    <col min="14856" max="14858" width="9.28515625" style="68" bestFit="1" customWidth="1"/>
    <col min="14859" max="14859" width="10.7109375" style="68" bestFit="1" customWidth="1"/>
    <col min="14860" max="14860" width="11.28515625" style="68" customWidth="1"/>
    <col min="14861" max="14861" width="12.5703125" style="68" customWidth="1"/>
    <col min="14862" max="14862" width="13.5703125" style="68" customWidth="1"/>
    <col min="14863" max="14863" width="13" style="68" customWidth="1"/>
    <col min="14864" max="15102" width="9.140625" style="68"/>
    <col min="15103" max="15103" width="3.7109375" style="68" customWidth="1"/>
    <col min="15104" max="15104" width="4" style="68" bestFit="1" customWidth="1"/>
    <col min="15105" max="15105" width="14.5703125" style="68" customWidth="1"/>
    <col min="15106" max="15106" width="11.140625" style="68" customWidth="1"/>
    <col min="15107" max="15107" width="8.7109375" style="68" customWidth="1"/>
    <col min="15108" max="15108" width="9.7109375" style="68" bestFit="1" customWidth="1"/>
    <col min="15109" max="15109" width="10.85546875" style="68" customWidth="1"/>
    <col min="15110" max="15110" width="10.42578125" style="68" customWidth="1"/>
    <col min="15111" max="15111" width="9.7109375" style="68" bestFit="1" customWidth="1"/>
    <col min="15112" max="15114" width="9.28515625" style="68" bestFit="1" customWidth="1"/>
    <col min="15115" max="15115" width="10.7109375" style="68" bestFit="1" customWidth="1"/>
    <col min="15116" max="15116" width="11.28515625" style="68" customWidth="1"/>
    <col min="15117" max="15117" width="12.5703125" style="68" customWidth="1"/>
    <col min="15118" max="15118" width="13.5703125" style="68" customWidth="1"/>
    <col min="15119" max="15119" width="13" style="68" customWidth="1"/>
    <col min="15120" max="15358" width="9.140625" style="68"/>
    <col min="15359" max="15359" width="3.7109375" style="68" customWidth="1"/>
    <col min="15360" max="15360" width="4" style="68" bestFit="1" customWidth="1"/>
    <col min="15361" max="15361" width="14.5703125" style="68" customWidth="1"/>
    <col min="15362" max="15362" width="11.140625" style="68" customWidth="1"/>
    <col min="15363" max="15363" width="8.7109375" style="68" customWidth="1"/>
    <col min="15364" max="15364" width="9.7109375" style="68" bestFit="1" customWidth="1"/>
    <col min="15365" max="15365" width="10.85546875" style="68" customWidth="1"/>
    <col min="15366" max="15366" width="10.42578125" style="68" customWidth="1"/>
    <col min="15367" max="15367" width="9.7109375" style="68" bestFit="1" customWidth="1"/>
    <col min="15368" max="15370" width="9.28515625" style="68" bestFit="1" customWidth="1"/>
    <col min="15371" max="15371" width="10.7109375" style="68" bestFit="1" customWidth="1"/>
    <col min="15372" max="15372" width="11.28515625" style="68" customWidth="1"/>
    <col min="15373" max="15373" width="12.5703125" style="68" customWidth="1"/>
    <col min="15374" max="15374" width="13.5703125" style="68" customWidth="1"/>
    <col min="15375" max="15375" width="13" style="68" customWidth="1"/>
    <col min="15376" max="15614" width="9.140625" style="68"/>
    <col min="15615" max="15615" width="3.7109375" style="68" customWidth="1"/>
    <col min="15616" max="15616" width="4" style="68" bestFit="1" customWidth="1"/>
    <col min="15617" max="15617" width="14.5703125" style="68" customWidth="1"/>
    <col min="15618" max="15618" width="11.140625" style="68" customWidth="1"/>
    <col min="15619" max="15619" width="8.7109375" style="68" customWidth="1"/>
    <col min="15620" max="15620" width="9.7109375" style="68" bestFit="1" customWidth="1"/>
    <col min="15621" max="15621" width="10.85546875" style="68" customWidth="1"/>
    <col min="15622" max="15622" width="10.42578125" style="68" customWidth="1"/>
    <col min="15623" max="15623" width="9.7109375" style="68" bestFit="1" customWidth="1"/>
    <col min="15624" max="15626" width="9.28515625" style="68" bestFit="1" customWidth="1"/>
    <col min="15627" max="15627" width="10.7109375" style="68" bestFit="1" customWidth="1"/>
    <col min="15628" max="15628" width="11.28515625" style="68" customWidth="1"/>
    <col min="15629" max="15629" width="12.5703125" style="68" customWidth="1"/>
    <col min="15630" max="15630" width="13.5703125" style="68" customWidth="1"/>
    <col min="15631" max="15631" width="13" style="68" customWidth="1"/>
    <col min="15632" max="15870" width="9.140625" style="68"/>
    <col min="15871" max="15871" width="3.7109375" style="68" customWidth="1"/>
    <col min="15872" max="15872" width="4" style="68" bestFit="1" customWidth="1"/>
    <col min="15873" max="15873" width="14.5703125" style="68" customWidth="1"/>
    <col min="15874" max="15874" width="11.140625" style="68" customWidth="1"/>
    <col min="15875" max="15875" width="8.7109375" style="68" customWidth="1"/>
    <col min="15876" max="15876" width="9.7109375" style="68" bestFit="1" customWidth="1"/>
    <col min="15877" max="15877" width="10.85546875" style="68" customWidth="1"/>
    <col min="15878" max="15878" width="10.42578125" style="68" customWidth="1"/>
    <col min="15879" max="15879" width="9.7109375" style="68" bestFit="1" customWidth="1"/>
    <col min="15880" max="15882" width="9.28515625" style="68" bestFit="1" customWidth="1"/>
    <col min="15883" max="15883" width="10.7109375" style="68" bestFit="1" customWidth="1"/>
    <col min="15884" max="15884" width="11.28515625" style="68" customWidth="1"/>
    <col min="15885" max="15885" width="12.5703125" style="68" customWidth="1"/>
    <col min="15886" max="15886" width="13.5703125" style="68" customWidth="1"/>
    <col min="15887" max="15887" width="13" style="68" customWidth="1"/>
    <col min="15888" max="16126" width="9.140625" style="68"/>
    <col min="16127" max="16127" width="3.7109375" style="68" customWidth="1"/>
    <col min="16128" max="16128" width="4" style="68" bestFit="1" customWidth="1"/>
    <col min="16129" max="16129" width="14.5703125" style="68" customWidth="1"/>
    <col min="16130" max="16130" width="11.140625" style="68" customWidth="1"/>
    <col min="16131" max="16131" width="8.7109375" style="68" customWidth="1"/>
    <col min="16132" max="16132" width="9.7109375" style="68" bestFit="1" customWidth="1"/>
    <col min="16133" max="16133" width="10.85546875" style="68" customWidth="1"/>
    <col min="16134" max="16134" width="10.42578125" style="68" customWidth="1"/>
    <col min="16135" max="16135" width="9.7109375" style="68" bestFit="1" customWidth="1"/>
    <col min="16136" max="16138" width="9.28515625" style="68" bestFit="1" customWidth="1"/>
    <col min="16139" max="16139" width="10.7109375" style="68" bestFit="1" customWidth="1"/>
    <col min="16140" max="16140" width="11.28515625" style="68" customWidth="1"/>
    <col min="16141" max="16141" width="12.5703125" style="68" customWidth="1"/>
    <col min="16142" max="16142" width="13.5703125" style="68" customWidth="1"/>
    <col min="16143" max="16143" width="13" style="68" customWidth="1"/>
    <col min="16144" max="16384" width="9.140625" style="68"/>
  </cols>
  <sheetData>
    <row r="2" spans="2:19" ht="27.6" customHeight="1">
      <c r="B2" s="557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9"/>
    </row>
    <row r="3" spans="2:19" s="70" customFormat="1" ht="22.15" customHeight="1" thickBot="1">
      <c r="B3" s="560" t="s">
        <v>245</v>
      </c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2"/>
      <c r="R3" s="67"/>
    </row>
    <row r="4" spans="2:19" s="70" customFormat="1" ht="24.6" customHeight="1" thickBot="1">
      <c r="B4" s="645" t="s">
        <v>246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7"/>
      <c r="P4" s="136" t="s">
        <v>247</v>
      </c>
      <c r="Q4" s="154" t="s">
        <v>351</v>
      </c>
      <c r="R4" s="67"/>
    </row>
    <row r="5" spans="2:19" s="70" customFormat="1">
      <c r="B5" s="138" t="s">
        <v>249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19" ht="13.9" customHeight="1">
      <c r="B6" s="648" t="s">
        <v>250</v>
      </c>
      <c r="C6" s="508" t="s">
        <v>251</v>
      </c>
      <c r="D6" s="508" t="s">
        <v>252</v>
      </c>
      <c r="E6" s="508" t="s">
        <v>253</v>
      </c>
      <c r="F6" s="508" t="s">
        <v>254</v>
      </c>
      <c r="G6" s="508"/>
      <c r="H6" s="508"/>
      <c r="I6" s="508" t="s">
        <v>255</v>
      </c>
      <c r="J6" s="508"/>
      <c r="K6" s="508"/>
      <c r="L6" s="508" t="s">
        <v>256</v>
      </c>
      <c r="M6" s="508" t="s">
        <v>311</v>
      </c>
      <c r="N6" s="508" t="s">
        <v>258</v>
      </c>
      <c r="O6" s="510"/>
      <c r="P6" s="508" t="s">
        <v>259</v>
      </c>
      <c r="Q6" s="513"/>
    </row>
    <row r="7" spans="2:19" ht="15.75" thickBot="1">
      <c r="B7" s="649"/>
      <c r="C7" s="509"/>
      <c r="D7" s="509"/>
      <c r="E7" s="509"/>
      <c r="F7" s="142" t="s">
        <v>260</v>
      </c>
      <c r="G7" s="142" t="s">
        <v>27</v>
      </c>
      <c r="H7" s="142" t="s">
        <v>28</v>
      </c>
      <c r="I7" s="142" t="s">
        <v>260</v>
      </c>
      <c r="J7" s="142" t="s">
        <v>27</v>
      </c>
      <c r="K7" s="142" t="s">
        <v>28</v>
      </c>
      <c r="L7" s="509"/>
      <c r="M7" s="509"/>
      <c r="N7" s="509"/>
      <c r="O7" s="511"/>
      <c r="P7" s="509"/>
      <c r="Q7" s="514"/>
    </row>
    <row r="8" spans="2:19" ht="14.45" customHeight="1">
      <c r="B8" s="72"/>
      <c r="C8" s="518" t="s">
        <v>261</v>
      </c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20"/>
      <c r="R8" s="20"/>
      <c r="S8" s="68" t="s">
        <v>262</v>
      </c>
    </row>
    <row r="9" spans="2:19">
      <c r="B9" s="89">
        <v>1</v>
      </c>
      <c r="C9" s="474" t="s">
        <v>263</v>
      </c>
      <c r="D9" s="475"/>
      <c r="E9" s="74">
        <f>'30'!L9</f>
        <v>24697.4941599513</v>
      </c>
      <c r="F9" s="74">
        <f>Production2!D33</f>
        <v>0</v>
      </c>
      <c r="G9" s="74">
        <f>F9+'30'!G9</f>
        <v>85521.940000000017</v>
      </c>
      <c r="H9" s="74">
        <f>F9+'30'!H9</f>
        <v>242389.22000000003</v>
      </c>
      <c r="I9" s="74">
        <f>Production2!E33</f>
        <v>0</v>
      </c>
      <c r="J9" s="74">
        <f>I9+'30'!J9</f>
        <v>67049</v>
      </c>
      <c r="K9" s="74">
        <f>I9+'30'!K9</f>
        <v>207080</v>
      </c>
      <c r="L9" s="74">
        <f>E9+F9-I9-I21</f>
        <v>24697.4941599513</v>
      </c>
      <c r="M9" s="75">
        <f>I9</f>
        <v>0</v>
      </c>
      <c r="N9" s="75" t="e">
        <f>(I9/I13)*100</f>
        <v>#DIV/0!</v>
      </c>
      <c r="O9" s="515"/>
      <c r="P9" s="285">
        <v>10</v>
      </c>
      <c r="Q9" s="261">
        <f>'Raw mill moisture content'!L35</f>
        <v>9.9999999999999908E-2</v>
      </c>
    </row>
    <row r="10" spans="2:19" ht="13.9" customHeight="1">
      <c r="B10" s="79">
        <v>2</v>
      </c>
      <c r="C10" s="516" t="s">
        <v>75</v>
      </c>
      <c r="D10" s="516"/>
      <c r="E10" s="77">
        <f>'Mines (2)'!L33</f>
        <v>3819.2799999999997</v>
      </c>
      <c r="F10" s="77">
        <f>'Mines (2)'!M33</f>
        <v>0</v>
      </c>
      <c r="G10" s="74">
        <f>F10+'30'!G10</f>
        <v>2130.84</v>
      </c>
      <c r="H10" s="74">
        <f>F10+'30'!H10</f>
        <v>7400.2400000000007</v>
      </c>
      <c r="I10" s="77">
        <f>'Mines (2)'!N33</f>
        <v>0</v>
      </c>
      <c r="J10" s="74">
        <f>I10+'30'!J10</f>
        <v>1223</v>
      </c>
      <c r="K10" s="74">
        <f>I10+'30'!K10</f>
        <v>3705</v>
      </c>
      <c r="L10" s="77">
        <f t="shared" ref="L10:L16" si="0">E10+F10-I10</f>
        <v>3819.2799999999997</v>
      </c>
      <c r="M10" s="75">
        <f t="shared" ref="M10:M12" si="1">I10</f>
        <v>0</v>
      </c>
      <c r="N10" s="75" t="e">
        <f>(I10/I13)*100</f>
        <v>#DIV/0!</v>
      </c>
      <c r="O10" s="515"/>
      <c r="P10" s="53">
        <v>10</v>
      </c>
      <c r="Q10" s="262">
        <f>'Raw mill moisture content'!M35</f>
        <v>9.9999999999999964E-2</v>
      </c>
    </row>
    <row r="11" spans="2:19">
      <c r="B11" s="79">
        <v>3</v>
      </c>
      <c r="C11" s="516" t="s">
        <v>77</v>
      </c>
      <c r="D11" s="516"/>
      <c r="E11" s="77">
        <f>Clinker!C33</f>
        <v>1148.3200000000002</v>
      </c>
      <c r="F11" s="77">
        <f>Clinker!D33</f>
        <v>0</v>
      </c>
      <c r="G11" s="74">
        <f>F11+'30'!G11</f>
        <v>254.39999999999998</v>
      </c>
      <c r="H11" s="74">
        <f>F11+'30'!H11</f>
        <v>671.68000000000006</v>
      </c>
      <c r="I11" s="77">
        <f>Clinker!E33</f>
        <v>0</v>
      </c>
      <c r="J11" s="74">
        <f>I11+'30'!J11</f>
        <v>1754</v>
      </c>
      <c r="K11" s="74">
        <f>I11+'30'!K11</f>
        <v>4889</v>
      </c>
      <c r="L11" s="77">
        <f t="shared" si="0"/>
        <v>1148.3200000000002</v>
      </c>
      <c r="M11" s="75">
        <f t="shared" si="1"/>
        <v>0</v>
      </c>
      <c r="N11" s="75" t="e">
        <f>(I11/I13)*100</f>
        <v>#DIV/0!</v>
      </c>
      <c r="O11" s="515"/>
      <c r="P11" s="53">
        <v>7</v>
      </c>
      <c r="Q11" s="262">
        <f>'Raw mill moisture content'!N35</f>
        <v>6.9999999999999854E-2</v>
      </c>
    </row>
    <row r="12" spans="2:19" ht="13.9" customHeight="1">
      <c r="B12" s="79">
        <v>4</v>
      </c>
      <c r="C12" s="516" t="s">
        <v>264</v>
      </c>
      <c r="D12" s="516"/>
      <c r="E12" s="77">
        <f>'Mines (2)'!Q33</f>
        <v>3.999999999996362E-2</v>
      </c>
      <c r="F12" s="77">
        <f>'Mines (2)'!R33</f>
        <v>0</v>
      </c>
      <c r="G12" s="75">
        <f>F12+'30'!G12</f>
        <v>0</v>
      </c>
      <c r="H12" s="74">
        <f>F12+'30'!H12</f>
        <v>137.76</v>
      </c>
      <c r="I12" s="77">
        <f>'Mines (2)'!S33</f>
        <v>0</v>
      </c>
      <c r="J12" s="74">
        <f>I12+'30'!J12</f>
        <v>0</v>
      </c>
      <c r="K12" s="74">
        <f>I12+'30'!K12</f>
        <v>738</v>
      </c>
      <c r="L12" s="77">
        <f t="shared" si="0"/>
        <v>3.999999999996362E-2</v>
      </c>
      <c r="M12" s="75">
        <f t="shared" si="1"/>
        <v>0</v>
      </c>
      <c r="N12" s="75" t="e">
        <f>(I12/I13)*100</f>
        <v>#DIV/0!</v>
      </c>
      <c r="O12" s="515"/>
      <c r="P12" s="53">
        <v>10</v>
      </c>
      <c r="Q12" s="262" t="e">
        <f>'Raw mill moisture content'!O35</f>
        <v>#DIV/0!</v>
      </c>
    </row>
    <row r="13" spans="2:19" ht="13.9" customHeight="1">
      <c r="B13" s="79" t="s">
        <v>262</v>
      </c>
      <c r="C13" s="521" t="s">
        <v>265</v>
      </c>
      <c r="D13" s="521"/>
      <c r="E13" s="127">
        <f t="shared" ref="E13:K13" si="2">SUM(E9:E12)</f>
        <v>29665.1341599513</v>
      </c>
      <c r="F13" s="127">
        <f t="shared" si="2"/>
        <v>0</v>
      </c>
      <c r="G13" s="127">
        <f t="shared" si="2"/>
        <v>87907.180000000008</v>
      </c>
      <c r="H13" s="127">
        <f t="shared" si="2"/>
        <v>250598.90000000002</v>
      </c>
      <c r="I13" s="127">
        <f t="shared" si="2"/>
        <v>0</v>
      </c>
      <c r="J13" s="127">
        <f t="shared" si="2"/>
        <v>70026</v>
      </c>
      <c r="K13" s="127">
        <f t="shared" si="2"/>
        <v>216412</v>
      </c>
      <c r="L13" s="127">
        <f t="shared" si="0"/>
        <v>29665.1341599513</v>
      </c>
      <c r="M13" s="128">
        <f>SUM(M9:M12)</f>
        <v>0</v>
      </c>
      <c r="N13" s="128">
        <v>99.999999999999986</v>
      </c>
      <c r="O13" s="515"/>
      <c r="P13" s="522"/>
      <c r="Q13" s="523"/>
    </row>
    <row r="14" spans="2:19">
      <c r="B14" s="512">
        <v>6</v>
      </c>
      <c r="C14" s="517" t="s">
        <v>266</v>
      </c>
      <c r="D14" s="80" t="s">
        <v>63</v>
      </c>
      <c r="E14" s="77">
        <f>Clinker!EB33</f>
        <v>3307.2069999999903</v>
      </c>
      <c r="F14" s="77">
        <f>Clinker!EC33</f>
        <v>0</v>
      </c>
      <c r="G14" s="77">
        <f>F14+'30'!G16</f>
        <v>5784.6800000000012</v>
      </c>
      <c r="H14" s="77">
        <f>F14+'30'!H16</f>
        <v>6589.920000000001</v>
      </c>
      <c r="I14" s="77">
        <f>Clinker!ED33</f>
        <v>0</v>
      </c>
      <c r="J14" s="77">
        <f>I14+'30'!J16</f>
        <v>7095.5499999999984</v>
      </c>
      <c r="K14" s="77">
        <f>I14+'30'!K16</f>
        <v>21812.859999999997</v>
      </c>
      <c r="L14" s="77">
        <f>E14+F14-I14-Clinker!N33-Clinker!Z33-Clinker!AS33-Clinker!AX33-Clinker!BC33-Clinker!BW33-Clinker!BH33-Clinker!BM33-Clinker!BR33-Clinker!CV33-Clinker!DP33</f>
        <v>3307.2069999999903</v>
      </c>
      <c r="M14" s="81"/>
      <c r="N14" s="81"/>
      <c r="O14" s="515"/>
      <c r="P14" s="82">
        <v>10</v>
      </c>
      <c r="Q14" s="264">
        <f>'Raw mill moisture content'!S35</f>
        <v>0.10000000000000013</v>
      </c>
      <c r="R14" s="83"/>
    </row>
    <row r="15" spans="2:19">
      <c r="B15" s="512"/>
      <c r="C15" s="517"/>
      <c r="D15" s="80" t="s">
        <v>62</v>
      </c>
      <c r="E15" s="77">
        <f>Clinker!EF33</f>
        <v>3534.0199999999936</v>
      </c>
      <c r="F15" s="77">
        <f>Clinker!EG33</f>
        <v>0</v>
      </c>
      <c r="G15" s="77">
        <f>F15+'30'!G17</f>
        <v>3763.3000000000006</v>
      </c>
      <c r="H15" s="77">
        <f>F15+'30'!H17</f>
        <v>5904.2499999999991</v>
      </c>
      <c r="I15" s="77">
        <f>Clinker!EH33</f>
        <v>0</v>
      </c>
      <c r="J15" s="77">
        <f>I15+'30'!J17</f>
        <v>4288</v>
      </c>
      <c r="K15" s="77">
        <f>I15+'30'!K17</f>
        <v>12460</v>
      </c>
      <c r="L15" s="77">
        <f>E15+F15-Clinker!AE33-Clinker!AJ33-Clinker!CL33-Clinker!CQ33-Clinker!CG33</f>
        <v>3534.0199999999936</v>
      </c>
      <c r="M15" s="81"/>
      <c r="N15" s="81"/>
      <c r="O15" s="515"/>
      <c r="P15" s="82"/>
      <c r="Q15" s="82"/>
      <c r="R15" s="83"/>
    </row>
    <row r="16" spans="2:19">
      <c r="B16" s="512"/>
      <c r="C16" s="476"/>
      <c r="D16" s="124" t="s">
        <v>162</v>
      </c>
      <c r="E16" s="125">
        <f>E14+E15</f>
        <v>6841.2269999999844</v>
      </c>
      <c r="F16" s="125">
        <f>F14+F15</f>
        <v>0</v>
      </c>
      <c r="G16" s="125">
        <f t="shared" ref="G16:K16" si="3">G14+G15</f>
        <v>9547.9800000000014</v>
      </c>
      <c r="H16" s="125">
        <f t="shared" si="3"/>
        <v>12494.17</v>
      </c>
      <c r="I16" s="125">
        <f>I14+I15</f>
        <v>0</v>
      </c>
      <c r="J16" s="125">
        <f>J14+J15</f>
        <v>11383.55</v>
      </c>
      <c r="K16" s="125">
        <f t="shared" si="3"/>
        <v>34272.86</v>
      </c>
      <c r="L16" s="125">
        <f t="shared" si="0"/>
        <v>6841.2269999999844</v>
      </c>
      <c r="M16" s="126"/>
      <c r="N16" s="126"/>
      <c r="O16" s="515"/>
      <c r="P16" s="84"/>
      <c r="Q16" s="131"/>
      <c r="R16" s="83"/>
    </row>
    <row r="17" spans="2:18" ht="14.45" customHeight="1">
      <c r="B17" s="72"/>
      <c r="C17" s="529" t="s">
        <v>267</v>
      </c>
      <c r="D17" s="530"/>
      <c r="E17" s="530"/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30"/>
      <c r="Q17" s="531"/>
      <c r="R17" s="20"/>
    </row>
    <row r="18" spans="2:18">
      <c r="B18" s="512">
        <v>7</v>
      </c>
      <c r="C18" s="477" t="s">
        <v>268</v>
      </c>
      <c r="D18" s="85" t="s">
        <v>269</v>
      </c>
      <c r="E18" s="74">
        <f>Clinker!EJ33</f>
        <v>9946.2770610879707</v>
      </c>
      <c r="F18" s="74">
        <f>Clinker!EK33</f>
        <v>0</v>
      </c>
      <c r="G18" s="74">
        <f>F18+'30'!G20</f>
        <v>40798</v>
      </c>
      <c r="H18" s="74">
        <f>F18+'30'!H20</f>
        <v>126324</v>
      </c>
      <c r="I18" s="74">
        <f>Clinker!EL33</f>
        <v>0</v>
      </c>
      <c r="J18" s="75">
        <f>I18+'30'!J20</f>
        <v>56797.53202467371</v>
      </c>
      <c r="K18" s="74">
        <f>I18+'30'!K20</f>
        <v>119659.26303853875</v>
      </c>
      <c r="L18" s="74">
        <f>E18+F18-I18-I20</f>
        <v>9946.2770610879707</v>
      </c>
      <c r="M18" s="75" t="e">
        <f>((I18+I19)/(J40+J46))*100</f>
        <v>#DIV/0!</v>
      </c>
      <c r="N18" s="525"/>
      <c r="O18" s="527"/>
      <c r="P18" s="535"/>
      <c r="Q18" s="536"/>
      <c r="R18" s="20"/>
    </row>
    <row r="19" spans="2:18" ht="45">
      <c r="B19" s="512"/>
      <c r="C19" s="477"/>
      <c r="D19" s="85" t="s">
        <v>70</v>
      </c>
      <c r="E19" s="74">
        <f>Clinker!EO33</f>
        <v>89.258008000135931</v>
      </c>
      <c r="F19" s="74">
        <f>Clinker!EP33</f>
        <v>0</v>
      </c>
      <c r="G19" s="74">
        <f>F19+'30'!G21</f>
        <v>0</v>
      </c>
      <c r="H19" s="74">
        <f>F19+'30'!H21</f>
        <v>13390.660000000003</v>
      </c>
      <c r="I19" s="75">
        <f>Clinker!EQ33</f>
        <v>0</v>
      </c>
      <c r="J19" s="75">
        <f>I19+'30'!J21</f>
        <v>5216.8510000000006</v>
      </c>
      <c r="K19" s="74">
        <f>I19+'30'!K21</f>
        <v>22150.950999999997</v>
      </c>
      <c r="L19" s="74">
        <f>E19+F19-I19</f>
        <v>89.258008000135931</v>
      </c>
      <c r="M19" s="75"/>
      <c r="N19" s="525"/>
      <c r="O19" s="527"/>
      <c r="P19" s="535"/>
      <c r="Q19" s="536"/>
      <c r="R19" s="20"/>
    </row>
    <row r="20" spans="2:18" ht="30">
      <c r="B20" s="512"/>
      <c r="C20" s="524"/>
      <c r="D20" s="86" t="s">
        <v>270</v>
      </c>
      <c r="E20" s="77"/>
      <c r="F20" s="77">
        <v>0</v>
      </c>
      <c r="G20" s="74">
        <f>F20+'30'!G22</f>
        <v>0</v>
      </c>
      <c r="H20" s="74">
        <f>F20+'30'!H22</f>
        <v>0</v>
      </c>
      <c r="I20" s="77">
        <f>Clinker!EN33</f>
        <v>0</v>
      </c>
      <c r="J20" s="74">
        <f>I20+'30'!J22</f>
        <v>0</v>
      </c>
      <c r="K20" s="74">
        <f>I20+'30'!K22</f>
        <v>0</v>
      </c>
      <c r="L20" s="74"/>
      <c r="M20" s="78"/>
      <c r="N20" s="526"/>
      <c r="O20" s="527"/>
      <c r="P20" s="570"/>
      <c r="Q20" s="571"/>
      <c r="R20" s="20"/>
    </row>
    <row r="21" spans="2:18">
      <c r="B21" s="89">
        <v>8</v>
      </c>
      <c r="C21" s="474" t="s">
        <v>263</v>
      </c>
      <c r="D21" s="475"/>
      <c r="E21" s="77">
        <f>Cement!P33</f>
        <v>0</v>
      </c>
      <c r="F21" s="77">
        <f>Cement!Q33</f>
        <v>0</v>
      </c>
      <c r="G21" s="74">
        <f>F21+'30'!G23</f>
        <v>0</v>
      </c>
      <c r="H21" s="74">
        <f>F21+'30'!H23</f>
        <v>0</v>
      </c>
      <c r="I21" s="77">
        <f>Cement!S33</f>
        <v>0</v>
      </c>
      <c r="J21" s="75">
        <f>I21+'30'!J23</f>
        <v>13243.246102379868</v>
      </c>
      <c r="K21" s="74">
        <f>I21+'30'!K23</f>
        <v>33716.597537232548</v>
      </c>
      <c r="L21" s="74"/>
      <c r="M21" s="78" t="e">
        <f>(I21/(J40+J46))*100</f>
        <v>#DIV/0!</v>
      </c>
      <c r="N21" s="78"/>
      <c r="O21" s="527"/>
      <c r="P21" s="87">
        <v>10</v>
      </c>
      <c r="Q21" s="572"/>
      <c r="R21" s="20"/>
    </row>
    <row r="22" spans="2:18">
      <c r="B22" s="89">
        <v>9</v>
      </c>
      <c r="C22" s="517" t="s">
        <v>271</v>
      </c>
      <c r="D22" s="517"/>
      <c r="E22" s="77">
        <f>Cement!C33</f>
        <v>3193.2820013296368</v>
      </c>
      <c r="F22" s="77">
        <f>Cement!D33</f>
        <v>0</v>
      </c>
      <c r="G22" s="74">
        <f>F22+'30'!G24</f>
        <v>3089.4599999999996</v>
      </c>
      <c r="H22" s="74">
        <f>F22+'30'!H24</f>
        <v>5216.08</v>
      </c>
      <c r="I22" s="77">
        <f>Cement!F33</f>
        <v>0</v>
      </c>
      <c r="J22" s="74">
        <f>I22+'30'!J24</f>
        <v>4104.5085359950026</v>
      </c>
      <c r="K22" s="74">
        <f>I22+'30'!K24</f>
        <v>9468.1780578201469</v>
      </c>
      <c r="L22" s="74">
        <f t="shared" ref="L22:L24" si="4">E22+F22-I22</f>
        <v>3193.2820013296368</v>
      </c>
      <c r="M22" s="78" t="e">
        <f>(I22/(J40+J46))*100</f>
        <v>#DIV/0!</v>
      </c>
      <c r="N22" s="78"/>
      <c r="O22" s="527"/>
      <c r="P22" s="87">
        <v>5</v>
      </c>
      <c r="Q22" s="573"/>
      <c r="R22" s="20"/>
    </row>
    <row r="23" spans="2:18">
      <c r="B23" s="512">
        <v>10</v>
      </c>
      <c r="C23" s="476" t="s">
        <v>272</v>
      </c>
      <c r="D23" s="76" t="s">
        <v>82</v>
      </c>
      <c r="E23" s="77">
        <f>Cement!H33</f>
        <v>0.23999999999796273</v>
      </c>
      <c r="F23" s="77">
        <f>Cement!I33</f>
        <v>0</v>
      </c>
      <c r="G23" s="74">
        <f>F23+'30'!G25</f>
        <v>0</v>
      </c>
      <c r="H23" s="74">
        <f>F23+'30'!H25</f>
        <v>0</v>
      </c>
      <c r="I23" s="77">
        <f>Cement!J33</f>
        <v>0</v>
      </c>
      <c r="J23" s="74">
        <f>I23+'30'!J25</f>
        <v>0</v>
      </c>
      <c r="K23" s="74">
        <f>I23+'30'!K25</f>
        <v>0</v>
      </c>
      <c r="L23" s="74">
        <f t="shared" si="4"/>
        <v>0.23999999999796273</v>
      </c>
      <c r="M23" s="532"/>
      <c r="N23" s="532"/>
      <c r="O23" s="527"/>
      <c r="P23" s="533"/>
      <c r="Q23" s="534"/>
      <c r="R23" s="83"/>
    </row>
    <row r="24" spans="2:18">
      <c r="B24" s="512"/>
      <c r="C24" s="524"/>
      <c r="D24" s="76" t="s">
        <v>273</v>
      </c>
      <c r="E24" s="77">
        <f>Cement!L33</f>
        <v>0</v>
      </c>
      <c r="F24" s="77">
        <f>Cement!M33</f>
        <v>0</v>
      </c>
      <c r="G24" s="74">
        <f>F24+'30'!G26</f>
        <v>0</v>
      </c>
      <c r="H24" s="74">
        <f>F24+'30'!H26</f>
        <v>0</v>
      </c>
      <c r="I24" s="77">
        <f>Cement!N33</f>
        <v>0</v>
      </c>
      <c r="J24" s="74">
        <f>I24+'30'!J26</f>
        <v>0</v>
      </c>
      <c r="K24" s="74">
        <f>I24+'30'!K26</f>
        <v>0</v>
      </c>
      <c r="L24" s="74">
        <f t="shared" si="4"/>
        <v>0</v>
      </c>
      <c r="M24" s="532"/>
      <c r="N24" s="532"/>
      <c r="O24" s="527"/>
      <c r="P24" s="535"/>
      <c r="Q24" s="536"/>
      <c r="R24" s="83"/>
    </row>
    <row r="25" spans="2:18" ht="14.45" customHeight="1" thickBot="1">
      <c r="B25" s="90" t="s">
        <v>262</v>
      </c>
      <c r="C25" s="539" t="s">
        <v>274</v>
      </c>
      <c r="D25" s="539"/>
      <c r="E25" s="122">
        <f>E18+E19+E21+E22+E23+E24</f>
        <v>13229.057070417741</v>
      </c>
      <c r="F25" s="122">
        <f t="shared" ref="F25:L25" si="5">F18+F19+F21+F22+F23+F24</f>
        <v>0</v>
      </c>
      <c r="G25" s="122">
        <f t="shared" si="5"/>
        <v>43887.46</v>
      </c>
      <c r="H25" s="122">
        <f t="shared" si="5"/>
        <v>144930.74</v>
      </c>
      <c r="I25" s="122">
        <f t="shared" si="5"/>
        <v>0</v>
      </c>
      <c r="J25" s="122">
        <f t="shared" si="5"/>
        <v>79362.137663048576</v>
      </c>
      <c r="K25" s="122">
        <f t="shared" si="5"/>
        <v>184994.98963359147</v>
      </c>
      <c r="L25" s="122">
        <f t="shared" si="5"/>
        <v>13229.057070417741</v>
      </c>
      <c r="M25" s="540"/>
      <c r="N25" s="540"/>
      <c r="O25" s="528"/>
      <c r="P25" s="537"/>
      <c r="Q25" s="538"/>
      <c r="R25" s="83"/>
    </row>
    <row r="26" spans="2:18" ht="14.45" customHeight="1" thickBot="1">
      <c r="B26" s="479"/>
      <c r="C26" s="480"/>
      <c r="D26" s="480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1"/>
      <c r="R26" s="83"/>
    </row>
    <row r="27" spans="2:18">
      <c r="B27" s="482" t="s">
        <v>275</v>
      </c>
      <c r="C27" s="483"/>
      <c r="D27" s="483"/>
      <c r="E27" s="483"/>
      <c r="F27" s="483"/>
      <c r="G27" s="483"/>
      <c r="H27" s="483"/>
      <c r="I27" s="483"/>
      <c r="J27" s="483"/>
      <c r="K27" s="483"/>
      <c r="L27" s="483"/>
      <c r="M27" s="483"/>
      <c r="N27" s="483"/>
      <c r="O27" s="483"/>
      <c r="P27" s="483"/>
      <c r="Q27" s="484"/>
      <c r="R27" s="83"/>
    </row>
    <row r="28" spans="2:18" s="70" customFormat="1" ht="13.9" customHeight="1">
      <c r="B28" s="485" t="s">
        <v>250</v>
      </c>
      <c r="C28" s="487" t="s">
        <v>276</v>
      </c>
      <c r="D28" s="488"/>
      <c r="E28" s="134" t="s">
        <v>277</v>
      </c>
      <c r="F28" s="491" t="s">
        <v>278</v>
      </c>
      <c r="G28" s="492"/>
      <c r="H28" s="493"/>
      <c r="I28" s="494" t="s">
        <v>279</v>
      </c>
      <c r="J28" s="496" t="s">
        <v>80</v>
      </c>
      <c r="K28" s="497"/>
      <c r="L28" s="498"/>
      <c r="M28" s="496" t="s">
        <v>79</v>
      </c>
      <c r="N28" s="497"/>
      <c r="O28" s="498"/>
      <c r="P28" s="494" t="s">
        <v>256</v>
      </c>
      <c r="Q28" s="499" t="s">
        <v>113</v>
      </c>
      <c r="R28" s="67"/>
    </row>
    <row r="29" spans="2:18" s="70" customFormat="1" ht="15.75" thickBot="1">
      <c r="B29" s="486"/>
      <c r="C29" s="489"/>
      <c r="D29" s="490"/>
      <c r="E29" s="143" t="s">
        <v>280</v>
      </c>
      <c r="F29" s="144" t="s">
        <v>260</v>
      </c>
      <c r="G29" s="144" t="s">
        <v>27</v>
      </c>
      <c r="H29" s="144" t="s">
        <v>28</v>
      </c>
      <c r="I29" s="495"/>
      <c r="J29" s="144" t="s">
        <v>260</v>
      </c>
      <c r="K29" s="144" t="s">
        <v>27</v>
      </c>
      <c r="L29" s="144" t="s">
        <v>28</v>
      </c>
      <c r="M29" s="144" t="s">
        <v>260</v>
      </c>
      <c r="N29" s="144" t="s">
        <v>27</v>
      </c>
      <c r="O29" s="144" t="s">
        <v>28</v>
      </c>
      <c r="P29" s="495"/>
      <c r="Q29" s="500"/>
      <c r="R29" s="67"/>
    </row>
    <row r="30" spans="2:18">
      <c r="B30" s="91">
        <v>1</v>
      </c>
      <c r="C30" s="567" t="s">
        <v>281</v>
      </c>
      <c r="D30" s="568"/>
      <c r="E30" s="92">
        <v>250</v>
      </c>
      <c r="F30" s="75">
        <v>21.98</v>
      </c>
      <c r="G30" s="75">
        <f>F30+'30'!G32</f>
        <v>573.53000000000009</v>
      </c>
      <c r="H30" s="75">
        <f>F30+'30'!H32</f>
        <v>1542.66</v>
      </c>
      <c r="I30" s="74">
        <f>'Mines (2)'!C33+'Mines (2)'!H33+'Mines (2)'!V33+'Mines (2)'!Z33+'Mines (2)'!AD33</f>
        <v>24697.4941599513</v>
      </c>
      <c r="J30" s="74">
        <f>Production2!D33</f>
        <v>0</v>
      </c>
      <c r="K30" s="74">
        <f>J30+'30'!K32</f>
        <v>85521.940000000017</v>
      </c>
      <c r="L30" s="74">
        <f>J30+'30'!L32</f>
        <v>242389.22000000003</v>
      </c>
      <c r="M30" s="74">
        <f>I9+I21</f>
        <v>0</v>
      </c>
      <c r="N30" s="74">
        <f>M30+'30'!N32</f>
        <v>80292.246102379868</v>
      </c>
      <c r="O30" s="74">
        <f>M30+'30'!O32</f>
        <v>240796.5975372325</v>
      </c>
      <c r="P30" s="74">
        <f>I30+J30-M30</f>
        <v>24697.4941599513</v>
      </c>
      <c r="Q30" s="93">
        <f>J30/F30</f>
        <v>0</v>
      </c>
      <c r="R30" s="94"/>
    </row>
    <row r="31" spans="2:18">
      <c r="B31" s="79">
        <v>2</v>
      </c>
      <c r="C31" s="501" t="s">
        <v>352</v>
      </c>
      <c r="D31" s="502"/>
      <c r="E31" s="95">
        <v>120</v>
      </c>
      <c r="F31" s="78">
        <f>Production2!G33</f>
        <v>0</v>
      </c>
      <c r="G31" s="75">
        <f>F31+'30'!G33</f>
        <v>520.76</v>
      </c>
      <c r="H31" s="75">
        <f>F31+'30'!H33</f>
        <v>1590.2999999999993</v>
      </c>
      <c r="I31" s="541">
        <f>Production2!H33</f>
        <v>1290.9000168375183</v>
      </c>
      <c r="J31" s="77">
        <f>Production2!N33</f>
        <v>0</v>
      </c>
      <c r="K31" s="74">
        <f>J31+'30'!K33</f>
        <v>59888.959999999999</v>
      </c>
      <c r="L31" s="74">
        <f>J31+'30'!L33</f>
        <v>186174.55</v>
      </c>
      <c r="M31" s="541">
        <f>Production2!K33</f>
        <v>0</v>
      </c>
      <c r="N31" s="541">
        <f>M31+'30'!N33</f>
        <v>63236.900000000009</v>
      </c>
      <c r="O31" s="541">
        <f>M31+'30'!O33</f>
        <v>195802.19999999998</v>
      </c>
      <c r="P31" s="641">
        <f>I31+J32+J31-M31</f>
        <v>1290.9000168375183</v>
      </c>
      <c r="Q31" s="96" t="e">
        <f t="shared" ref="Q31:Q46" si="6">J31/F31</f>
        <v>#DIV/0!</v>
      </c>
      <c r="R31" s="94"/>
    </row>
    <row r="32" spans="2:18">
      <c r="B32" s="91">
        <v>3</v>
      </c>
      <c r="C32" s="501" t="s">
        <v>283</v>
      </c>
      <c r="D32" s="502"/>
      <c r="E32" s="95">
        <v>20</v>
      </c>
      <c r="F32" s="78">
        <f>Production2!P33</f>
        <v>0</v>
      </c>
      <c r="G32" s="75">
        <f>F32+'30'!G34</f>
        <v>382.97999999999996</v>
      </c>
      <c r="H32" s="75">
        <f>F32+'30'!H34</f>
        <v>998.65000000000009</v>
      </c>
      <c r="I32" s="473"/>
      <c r="J32" s="78">
        <f>Production2!Q33</f>
        <v>0</v>
      </c>
      <c r="K32" s="74">
        <f>J32+'30'!K34</f>
        <v>3371.2000000000003</v>
      </c>
      <c r="L32" s="74">
        <f>J32+'30'!L34</f>
        <v>8924.8200000000033</v>
      </c>
      <c r="M32" s="473"/>
      <c r="N32" s="473"/>
      <c r="O32" s="473"/>
      <c r="P32" s="642"/>
      <c r="Q32" s="96" t="e">
        <f>J32/F32</f>
        <v>#DIV/0!</v>
      </c>
      <c r="R32" s="94"/>
    </row>
    <row r="33" spans="2:19">
      <c r="B33" s="79">
        <v>4</v>
      </c>
      <c r="C33" s="501" t="s">
        <v>157</v>
      </c>
      <c r="D33" s="502"/>
      <c r="E33" s="95">
        <v>10</v>
      </c>
      <c r="F33" s="78">
        <f>Production2!S33</f>
        <v>0</v>
      </c>
      <c r="G33" s="75">
        <f>F33+'30'!G35</f>
        <v>474.84</v>
      </c>
      <c r="H33" s="75">
        <f>F33+'30'!H35</f>
        <v>1428.17</v>
      </c>
      <c r="I33" s="77">
        <f>Production2!T33</f>
        <v>51.109999999999786</v>
      </c>
      <c r="J33" s="77">
        <f>Production2!U33</f>
        <v>0</v>
      </c>
      <c r="K33" s="74">
        <f>J33+'30'!K35</f>
        <v>6386.0000000000009</v>
      </c>
      <c r="L33" s="74">
        <f>J33+'30'!L35</f>
        <v>19631.599999999995</v>
      </c>
      <c r="M33" s="77">
        <f>Production2!V33</f>
        <v>0</v>
      </c>
      <c r="N33" s="74">
        <f>M33+'30'!N35</f>
        <v>6377</v>
      </c>
      <c r="O33" s="74">
        <f>M33+'30'!O35</f>
        <v>19596</v>
      </c>
      <c r="P33" s="74">
        <f t="shared" ref="P33" si="7">I33+J33-M33</f>
        <v>51.109999999999786</v>
      </c>
      <c r="Q33" s="96" t="e">
        <f t="shared" si="6"/>
        <v>#DIV/0!</v>
      </c>
      <c r="R33" s="94"/>
    </row>
    <row r="34" spans="2:19">
      <c r="B34" s="91">
        <v>5</v>
      </c>
      <c r="C34" s="501" t="s">
        <v>63</v>
      </c>
      <c r="D34" s="502"/>
      <c r="E34" s="95">
        <v>50</v>
      </c>
      <c r="F34" s="78">
        <f>Production2!Y33</f>
        <v>0</v>
      </c>
      <c r="G34" s="75">
        <f>F34+'30'!G36</f>
        <v>661.91</v>
      </c>
      <c r="H34" s="75">
        <f>F34+'30'!H36</f>
        <v>1976.7199999999998</v>
      </c>
      <c r="I34" s="77">
        <f>Clinker!EJ33</f>
        <v>9946.2770610879707</v>
      </c>
      <c r="J34" s="77">
        <f>Clinker!EK33</f>
        <v>0</v>
      </c>
      <c r="K34" s="74">
        <f>J34+'30'!K36</f>
        <v>40798</v>
      </c>
      <c r="L34" s="74">
        <f>J34+'30'!L36</f>
        <v>126324</v>
      </c>
      <c r="M34" s="77">
        <f>Clinker!EL33</f>
        <v>0</v>
      </c>
      <c r="N34" s="74">
        <f>M34+'30'!N36</f>
        <v>56797.53202467371</v>
      </c>
      <c r="O34" s="74">
        <f>M34+'30'!O36</f>
        <v>119659.26303853875</v>
      </c>
      <c r="P34" s="74">
        <f>I34+J34-M34-I20</f>
        <v>9946.2770610879707</v>
      </c>
      <c r="Q34" s="96" t="e">
        <f t="shared" si="6"/>
        <v>#DIV/0!</v>
      </c>
      <c r="R34" s="94"/>
    </row>
    <row r="35" spans="2:19">
      <c r="B35" s="569">
        <v>6</v>
      </c>
      <c r="C35" s="476" t="s">
        <v>158</v>
      </c>
      <c r="D35" s="80" t="s">
        <v>285</v>
      </c>
      <c r="E35" s="97">
        <v>90</v>
      </c>
      <c r="F35" s="78">
        <f>Production2!AE33</f>
        <v>0</v>
      </c>
      <c r="G35" s="75">
        <f>F35+'30'!G37</f>
        <v>28.2</v>
      </c>
      <c r="H35" s="75">
        <f>F35+'30'!H37</f>
        <v>67.900000000000006</v>
      </c>
      <c r="I35" s="77">
        <f>Production2!BJ33</f>
        <v>78.049999999999926</v>
      </c>
      <c r="J35" s="77">
        <f>Production2!AF33</f>
        <v>0</v>
      </c>
      <c r="K35" s="74">
        <f>J35+'30'!K37</f>
        <v>1932</v>
      </c>
      <c r="L35" s="74">
        <f>J35+'30'!L37</f>
        <v>4566</v>
      </c>
      <c r="M35" s="77">
        <f>Production2!BL33</f>
        <v>0</v>
      </c>
      <c r="N35" s="74">
        <f>M35+'30'!N37</f>
        <v>4050</v>
      </c>
      <c r="O35" s="74">
        <f>M35+'30'!O37</f>
        <v>9088</v>
      </c>
      <c r="P35" s="74">
        <f>I35+J35+J41-M35-F59</f>
        <v>78.049999999999926</v>
      </c>
      <c r="Q35" s="96" t="e">
        <f t="shared" si="6"/>
        <v>#DIV/0!</v>
      </c>
      <c r="R35" s="94"/>
    </row>
    <row r="36" spans="2:19">
      <c r="B36" s="564"/>
      <c r="C36" s="477"/>
      <c r="D36" s="80" t="s">
        <v>286</v>
      </c>
      <c r="E36" s="97">
        <v>78</v>
      </c>
      <c r="F36" s="78">
        <f>Production2!AB33</f>
        <v>0</v>
      </c>
      <c r="G36" s="75">
        <f>F36+'30'!G38</f>
        <v>560.63</v>
      </c>
      <c r="H36" s="75">
        <f>F36+'30'!H38</f>
        <v>1059.0999999999999</v>
      </c>
      <c r="I36" s="77">
        <f>Production2!BF33</f>
        <v>20.337999999977455</v>
      </c>
      <c r="J36" s="77">
        <f>Production2!AC33</f>
        <v>0</v>
      </c>
      <c r="K36" s="74">
        <f>J36+'30'!K38</f>
        <v>36737</v>
      </c>
      <c r="L36" s="74">
        <f>J36+'30'!L38</f>
        <v>68067</v>
      </c>
      <c r="M36" s="77">
        <f>Production2!BH33</f>
        <v>0</v>
      </c>
      <c r="N36" s="74">
        <f>M36+'30'!N38</f>
        <v>66183.39</v>
      </c>
      <c r="O36" s="74">
        <f>M36+'30'!O38</f>
        <v>146926.21999999997</v>
      </c>
      <c r="P36" s="74">
        <f>I36+J36+J42-M36-F57</f>
        <v>20.337999999977455</v>
      </c>
      <c r="Q36" s="96" t="e">
        <f t="shared" si="6"/>
        <v>#DIV/0!</v>
      </c>
      <c r="R36" s="94"/>
    </row>
    <row r="37" spans="2:19">
      <c r="B37" s="564"/>
      <c r="C37" s="477"/>
      <c r="D37" s="80" t="s">
        <v>287</v>
      </c>
      <c r="E37" s="97">
        <v>78</v>
      </c>
      <c r="F37" s="78">
        <f>Production2!AH33</f>
        <v>0</v>
      </c>
      <c r="G37" s="75">
        <f>F37+'30'!G39</f>
        <v>0</v>
      </c>
      <c r="H37" s="75">
        <f>F37+'30'!H39</f>
        <v>0</v>
      </c>
      <c r="I37" s="77">
        <f>Production2!BN33</f>
        <v>9.0000000000849845E-2</v>
      </c>
      <c r="J37" s="77">
        <f>Production2!AI33</f>
        <v>0</v>
      </c>
      <c r="K37" s="74">
        <f>J37+'30'!K39</f>
        <v>0</v>
      </c>
      <c r="L37" s="74">
        <f>J37+'30'!L39</f>
        <v>0</v>
      </c>
      <c r="M37" s="77">
        <f>Production2!BP33</f>
        <v>0</v>
      </c>
      <c r="N37" s="74">
        <f>M37+'30'!N39</f>
        <v>0</v>
      </c>
      <c r="O37" s="74">
        <f>M37+'30'!O39</f>
        <v>-0.15</v>
      </c>
      <c r="P37" s="74">
        <f>I37+J37+J43-M37-F58</f>
        <v>9.0000000000849845E-2</v>
      </c>
      <c r="Q37" s="96" t="e">
        <f t="shared" si="6"/>
        <v>#DIV/0!</v>
      </c>
      <c r="R37" s="94"/>
    </row>
    <row r="38" spans="2:19">
      <c r="B38" s="564"/>
      <c r="C38" s="477"/>
      <c r="D38" s="194" t="s">
        <v>187</v>
      </c>
      <c r="E38" s="97">
        <v>65</v>
      </c>
      <c r="F38" s="84">
        <f>Production2!AK33</f>
        <v>0</v>
      </c>
      <c r="G38" s="75">
        <f>F38+'30'!G40</f>
        <v>3</v>
      </c>
      <c r="H38" s="75">
        <f>F38+'30'!H40</f>
        <v>8</v>
      </c>
      <c r="I38" s="195">
        <f>Production2!BR33</f>
        <v>22.350000000000023</v>
      </c>
      <c r="J38" s="195">
        <f>'Daily CEM-1'!F33</f>
        <v>0</v>
      </c>
      <c r="K38" s="74">
        <f>J38+'30'!K40</f>
        <v>185</v>
      </c>
      <c r="L38" s="74">
        <f>J38+'30'!L40</f>
        <v>485</v>
      </c>
      <c r="M38" s="77">
        <f>Production2!BT33</f>
        <v>0</v>
      </c>
      <c r="N38" s="74">
        <f>M38+'30'!N40</f>
        <v>2141</v>
      </c>
      <c r="O38" s="74">
        <f>M38+'30'!O40</f>
        <v>5173.5</v>
      </c>
      <c r="P38" s="74">
        <f>I38+J38+J44-M38-F60</f>
        <v>22.350000000000023</v>
      </c>
      <c r="Q38" s="96" t="e">
        <f t="shared" si="6"/>
        <v>#DIV/0!</v>
      </c>
      <c r="R38" s="94"/>
    </row>
    <row r="39" spans="2:19">
      <c r="B39" s="564"/>
      <c r="C39" s="477"/>
      <c r="D39" s="80" t="s">
        <v>288</v>
      </c>
      <c r="E39" s="97"/>
      <c r="F39" s="84">
        <f>Production2!AN33</f>
        <v>0</v>
      </c>
      <c r="G39" s="75">
        <f>F39+'30'!G41</f>
        <v>65.5</v>
      </c>
      <c r="H39" s="75">
        <f>F39+'30'!H41</f>
        <v>191.67</v>
      </c>
      <c r="I39" s="195">
        <f>Production2!BV33</f>
        <v>126.32000000000005</v>
      </c>
      <c r="J39" s="195">
        <f>Production2!AO33</f>
        <v>0</v>
      </c>
      <c r="K39" s="74">
        <f>J39+'30'!K41</f>
        <v>4484</v>
      </c>
      <c r="L39" s="74">
        <f>J39+'30'!L41</f>
        <v>12662</v>
      </c>
      <c r="M39" s="77">
        <f>Production2!BX33</f>
        <v>0</v>
      </c>
      <c r="N39" s="74">
        <f>M39+'30'!N41</f>
        <v>8899.9299999999985</v>
      </c>
      <c r="O39" s="74">
        <f>M39+'30'!O41</f>
        <v>22895.240000000005</v>
      </c>
      <c r="P39" s="74">
        <f>I39+J39+J45-M39-F61</f>
        <v>126.32000000000005</v>
      </c>
      <c r="Q39" s="96" t="e">
        <f t="shared" si="6"/>
        <v>#DIV/0!</v>
      </c>
      <c r="R39" s="94"/>
      <c r="S39" s="94"/>
    </row>
    <row r="40" spans="2:19" ht="15.75" thickBot="1">
      <c r="B40" s="565"/>
      <c r="C40" s="478"/>
      <c r="D40" s="120" t="s">
        <v>162</v>
      </c>
      <c r="E40" s="121">
        <v>70</v>
      </c>
      <c r="F40" s="132">
        <f>F35+F36+F37+F38+F39</f>
        <v>0</v>
      </c>
      <c r="G40" s="132">
        <f>G35+G36+G37+G38+G39</f>
        <v>657.33</v>
      </c>
      <c r="H40" s="132">
        <f t="shared" ref="H40" si="8">H35+H36+H37+H38+H39</f>
        <v>1326.67</v>
      </c>
      <c r="I40" s="122">
        <f>I35+I36+I37+I38+I39</f>
        <v>247.14799999997831</v>
      </c>
      <c r="J40" s="122">
        <f>J35+J36+J37+J38+J39</f>
        <v>0</v>
      </c>
      <c r="K40" s="122">
        <f>K35+K36+K37+K38+K39</f>
        <v>43338</v>
      </c>
      <c r="L40" s="122">
        <f t="shared" ref="L40" si="9">L35+L36+L37+L38+L39</f>
        <v>85780</v>
      </c>
      <c r="M40" s="122">
        <f>M35+M36+M37+M38+M39</f>
        <v>0</v>
      </c>
      <c r="N40" s="122">
        <f t="shared" ref="N40:O40" si="10">N35+N36+N37+N38+N39</f>
        <v>81274.319999999992</v>
      </c>
      <c r="O40" s="122">
        <f t="shared" si="10"/>
        <v>184082.81</v>
      </c>
      <c r="P40" s="122">
        <f>P35+P36+P37+P38+P39</f>
        <v>247.14799999997831</v>
      </c>
      <c r="Q40" s="132" t="e">
        <f>J40/F40</f>
        <v>#DIV/0!</v>
      </c>
      <c r="R40" s="94"/>
    </row>
    <row r="41" spans="2:19" ht="15" customHeight="1">
      <c r="B41" s="563">
        <v>7</v>
      </c>
      <c r="C41" s="566" t="s">
        <v>289</v>
      </c>
      <c r="D41" s="80" t="s">
        <v>285</v>
      </c>
      <c r="E41" s="97">
        <v>75</v>
      </c>
      <c r="F41" s="78">
        <f>Production2!AT33</f>
        <v>0</v>
      </c>
      <c r="G41" s="75">
        <f>F41+'30'!G43</f>
        <v>26.5</v>
      </c>
      <c r="H41" s="75">
        <f>F41+'30'!H43</f>
        <v>71.929999999999993</v>
      </c>
      <c r="I41" s="471"/>
      <c r="J41" s="77">
        <f>Production2!AU33</f>
        <v>0</v>
      </c>
      <c r="K41" s="74">
        <f>J41+'30'!K43</f>
        <v>1618</v>
      </c>
      <c r="L41" s="74">
        <f>J41+'30'!L43</f>
        <v>4368</v>
      </c>
      <c r="M41" s="542"/>
      <c r="N41" s="543"/>
      <c r="O41" s="543"/>
      <c r="P41" s="544"/>
      <c r="Q41" s="96" t="e">
        <f t="shared" si="6"/>
        <v>#DIV/0!</v>
      </c>
      <c r="R41" s="94"/>
    </row>
    <row r="42" spans="2:19">
      <c r="B42" s="564"/>
      <c r="C42" s="477"/>
      <c r="D42" s="80" t="s">
        <v>286</v>
      </c>
      <c r="E42" s="97">
        <v>70</v>
      </c>
      <c r="F42" s="78">
        <f>Production2!AQ33</f>
        <v>0</v>
      </c>
      <c r="G42" s="75">
        <f>F42+'30'!G44</f>
        <v>472.1</v>
      </c>
      <c r="H42" s="75">
        <f>F42+'30'!H44</f>
        <v>1322.51</v>
      </c>
      <c r="I42" s="472"/>
      <c r="J42" s="77">
        <f>Production2!AR33</f>
        <v>0</v>
      </c>
      <c r="K42" s="74">
        <f>J42+'30'!K44</f>
        <v>27650</v>
      </c>
      <c r="L42" s="74">
        <f>J42+'30'!L44</f>
        <v>77611</v>
      </c>
      <c r="M42" s="545"/>
      <c r="N42" s="546"/>
      <c r="O42" s="546"/>
      <c r="P42" s="547"/>
      <c r="Q42" s="96" t="e">
        <f t="shared" si="6"/>
        <v>#DIV/0!</v>
      </c>
      <c r="R42" s="94"/>
    </row>
    <row r="43" spans="2:19">
      <c r="B43" s="564"/>
      <c r="C43" s="477"/>
      <c r="D43" s="80" t="s">
        <v>287</v>
      </c>
      <c r="E43" s="97">
        <v>70</v>
      </c>
      <c r="F43" s="78">
        <f>Production2!AW33</f>
        <v>0</v>
      </c>
      <c r="G43" s="75">
        <f>F43+'30'!G45</f>
        <v>0</v>
      </c>
      <c r="H43" s="75">
        <f>F43+'30'!H45</f>
        <v>0</v>
      </c>
      <c r="I43" s="472"/>
      <c r="J43" s="77">
        <f>Production2!AX33</f>
        <v>0</v>
      </c>
      <c r="K43" s="74">
        <f>J43+'30'!K45</f>
        <v>0</v>
      </c>
      <c r="L43" s="74">
        <f>J43+'30'!L45</f>
        <v>0</v>
      </c>
      <c r="M43" s="545"/>
      <c r="N43" s="546"/>
      <c r="O43" s="546"/>
      <c r="P43" s="547"/>
      <c r="Q43" s="96" t="e">
        <f t="shared" si="6"/>
        <v>#DIV/0!</v>
      </c>
      <c r="R43" s="94"/>
    </row>
    <row r="44" spans="2:19">
      <c r="B44" s="564"/>
      <c r="C44" s="477"/>
      <c r="D44" s="194" t="s">
        <v>187</v>
      </c>
      <c r="E44" s="97">
        <v>60</v>
      </c>
      <c r="F44" s="84">
        <f>Production2!AZ33</f>
        <v>0</v>
      </c>
      <c r="G44" s="75">
        <f>F44+'30'!G46</f>
        <v>32.769999999999996</v>
      </c>
      <c r="H44" s="75">
        <f>F44+'30'!H46</f>
        <v>80.649999999999991</v>
      </c>
      <c r="I44" s="473"/>
      <c r="J44" s="195">
        <f>Production2!BA33</f>
        <v>0</v>
      </c>
      <c r="K44" s="74">
        <f>J44+'30'!K46</f>
        <v>1851</v>
      </c>
      <c r="L44" s="74">
        <f>J44+'30'!L46</f>
        <v>4498</v>
      </c>
      <c r="M44" s="548"/>
      <c r="N44" s="549"/>
      <c r="O44" s="549"/>
      <c r="P44" s="550"/>
      <c r="Q44" s="96" t="e">
        <f t="shared" si="6"/>
        <v>#DIV/0!</v>
      </c>
      <c r="R44" s="94"/>
    </row>
    <row r="45" spans="2:19">
      <c r="B45" s="564"/>
      <c r="C45" s="477"/>
      <c r="D45" s="80" t="s">
        <v>288</v>
      </c>
      <c r="E45" s="97"/>
      <c r="F45" s="84">
        <f>Production2!BC33</f>
        <v>0</v>
      </c>
      <c r="G45" s="75">
        <f>F45+'30'!G47</f>
        <v>55.7</v>
      </c>
      <c r="H45" s="75">
        <f>F45+'30'!H47</f>
        <v>164.37</v>
      </c>
      <c r="I45" s="425"/>
      <c r="J45" s="195">
        <f>Production2!BD33</f>
        <v>0</v>
      </c>
      <c r="K45" s="74">
        <f>J45+'30'!K47</f>
        <v>3375</v>
      </c>
      <c r="L45" s="74">
        <f>J45+'30'!L47</f>
        <v>9990</v>
      </c>
      <c r="M45" s="426"/>
      <c r="N45" s="109"/>
      <c r="O45" s="109"/>
      <c r="P45" s="427"/>
      <c r="Q45" s="96" t="e">
        <f t="shared" si="6"/>
        <v>#DIV/0!</v>
      </c>
      <c r="R45" s="94"/>
      <c r="S45" s="94"/>
    </row>
    <row r="46" spans="2:19" ht="15.75" thickBot="1">
      <c r="B46" s="565"/>
      <c r="C46" s="478"/>
      <c r="D46" s="120" t="s">
        <v>162</v>
      </c>
      <c r="E46" s="121">
        <v>70</v>
      </c>
      <c r="F46" s="132">
        <f>F41+F42+F43+F44+F45</f>
        <v>0</v>
      </c>
      <c r="G46" s="132">
        <f>G41+G42+G43+G44+G45</f>
        <v>587.07000000000005</v>
      </c>
      <c r="H46" s="132">
        <f t="shared" ref="H46" si="11">H41+H42+H43+H44+H45</f>
        <v>1639.46</v>
      </c>
      <c r="I46" s="122">
        <f t="shared" ref="I46" si="12">I41+I42+I43+I44</f>
        <v>0</v>
      </c>
      <c r="J46" s="122">
        <f>J41+J42+J43+J44+J45</f>
        <v>0</v>
      </c>
      <c r="K46" s="122">
        <f t="shared" ref="K46:L46" si="13">K41+K42+K43+K44+K45</f>
        <v>34494</v>
      </c>
      <c r="L46" s="122">
        <f t="shared" si="13"/>
        <v>96467</v>
      </c>
      <c r="M46" s="574"/>
      <c r="N46" s="575"/>
      <c r="O46" s="575"/>
      <c r="P46" s="576"/>
      <c r="Q46" s="123" t="e">
        <f t="shared" si="6"/>
        <v>#DIV/0!</v>
      </c>
      <c r="R46" s="94"/>
    </row>
    <row r="47" spans="2:19" ht="15.75" thickBot="1">
      <c r="B47" s="232"/>
      <c r="C47" s="757"/>
      <c r="D47" s="758"/>
      <c r="E47" s="758"/>
      <c r="F47" s="758"/>
      <c r="G47" s="758"/>
      <c r="H47" s="758"/>
      <c r="I47" s="758"/>
      <c r="J47" s="758"/>
      <c r="K47" s="758"/>
      <c r="L47" s="758"/>
      <c r="M47" s="758"/>
      <c r="N47" s="758"/>
      <c r="O47" s="758"/>
      <c r="P47" s="758"/>
      <c r="Q47" s="759"/>
      <c r="R47" s="94"/>
    </row>
    <row r="48" spans="2:19" s="70" customFormat="1" ht="15" customHeight="1">
      <c r="B48" s="590" t="s">
        <v>290</v>
      </c>
      <c r="C48" s="591"/>
      <c r="D48" s="591"/>
      <c r="E48" s="591"/>
      <c r="F48" s="591"/>
      <c r="G48" s="591"/>
      <c r="H48" s="591"/>
      <c r="I48" s="591"/>
      <c r="J48" s="591"/>
      <c r="K48" s="591"/>
      <c r="L48" s="591"/>
      <c r="M48" s="591"/>
      <c r="N48" s="592"/>
      <c r="O48" s="590" t="s">
        <v>291</v>
      </c>
      <c r="P48" s="591"/>
      <c r="Q48" s="592"/>
      <c r="R48" s="98"/>
    </row>
    <row r="49" spans="2:18" s="70" customFormat="1" ht="15.6" customHeight="1" thickBot="1">
      <c r="B49" s="187" t="s">
        <v>250</v>
      </c>
      <c r="C49" s="584" t="s">
        <v>251</v>
      </c>
      <c r="D49" s="584"/>
      <c r="E49" s="311" t="s">
        <v>153</v>
      </c>
      <c r="F49" s="312" t="s">
        <v>154</v>
      </c>
      <c r="G49" s="311" t="s">
        <v>155</v>
      </c>
      <c r="H49" s="311" t="s">
        <v>156</v>
      </c>
      <c r="I49" s="311" t="s">
        <v>157</v>
      </c>
      <c r="J49" s="311" t="s">
        <v>292</v>
      </c>
      <c r="K49" s="311" t="s">
        <v>159</v>
      </c>
      <c r="L49" s="311" t="s">
        <v>293</v>
      </c>
      <c r="M49" s="313" t="s">
        <v>294</v>
      </c>
      <c r="N49" s="311" t="s">
        <v>162</v>
      </c>
      <c r="O49" s="585" t="s">
        <v>251</v>
      </c>
      <c r="P49" s="585"/>
      <c r="Q49" s="148"/>
    </row>
    <row r="50" spans="2:18" ht="14.45" customHeight="1">
      <c r="B50" s="91">
        <v>1</v>
      </c>
      <c r="C50" s="586" t="s">
        <v>295</v>
      </c>
      <c r="D50" s="586"/>
      <c r="E50" s="99" t="e">
        <f>E53/J30</f>
        <v>#DIV/0!</v>
      </c>
      <c r="F50" s="99" t="e">
        <f>F53/(J31+J32)</f>
        <v>#DIV/0!</v>
      </c>
      <c r="G50" s="99">
        <v>0</v>
      </c>
      <c r="H50" s="99" t="e">
        <f>H53/J33</f>
        <v>#DIV/0!</v>
      </c>
      <c r="I50" s="99"/>
      <c r="J50" s="99"/>
      <c r="K50" s="99"/>
      <c r="L50" s="99"/>
      <c r="M50" s="100"/>
      <c r="N50" s="101">
        <v>1</v>
      </c>
      <c r="O50" s="587" t="s">
        <v>296</v>
      </c>
      <c r="P50" s="587"/>
      <c r="Q50" s="93" t="e">
        <f>(M33/J34)*100</f>
        <v>#DIV/0!</v>
      </c>
    </row>
    <row r="51" spans="2:18" ht="14.45" customHeight="1">
      <c r="B51" s="79">
        <v>2</v>
      </c>
      <c r="C51" s="516" t="s">
        <v>297</v>
      </c>
      <c r="D51" s="516"/>
      <c r="E51" s="102" t="e">
        <f>E50*(I9/J34)</f>
        <v>#DIV/0!</v>
      </c>
      <c r="F51" s="102" t="e">
        <f>F50*1.55</f>
        <v>#DIV/0!</v>
      </c>
      <c r="G51" s="102">
        <f>G50</f>
        <v>0</v>
      </c>
      <c r="H51" s="102" t="e">
        <f>H50</f>
        <v>#DIV/0!</v>
      </c>
      <c r="I51" s="102"/>
      <c r="J51" s="102"/>
      <c r="K51" s="102"/>
      <c r="L51" s="102"/>
      <c r="M51" s="96" t="e">
        <f>SUM(E51:H51)</f>
        <v>#DIV/0!</v>
      </c>
      <c r="N51" s="103">
        <v>2</v>
      </c>
      <c r="O51" s="516" t="s">
        <v>298</v>
      </c>
      <c r="P51" s="516"/>
      <c r="Q51" s="104">
        <v>5380</v>
      </c>
    </row>
    <row r="52" spans="2:18" ht="14.45" customHeight="1">
      <c r="B52" s="79">
        <v>3</v>
      </c>
      <c r="C52" s="588" t="s">
        <v>299</v>
      </c>
      <c r="D52" s="588"/>
      <c r="E52" s="102" t="e">
        <f>E51*M18/100</f>
        <v>#DIV/0!</v>
      </c>
      <c r="F52" s="102" t="e">
        <f>F51*M18/100</f>
        <v>#DIV/0!</v>
      </c>
      <c r="G52" s="102" t="e">
        <f>G51*M18/100</f>
        <v>#DIV/0!</v>
      </c>
      <c r="H52" s="102" t="e">
        <f>H51*M18/100</f>
        <v>#DIV/0!</v>
      </c>
      <c r="I52" s="102" t="e">
        <f>I53/(J40+J46)</f>
        <v>#DIV/0!</v>
      </c>
      <c r="J52" s="99" t="e">
        <f>J53/(J40+J46)</f>
        <v>#DIV/0!</v>
      </c>
      <c r="K52" s="99" t="e">
        <f>K53/M40</f>
        <v>#DIV/0!</v>
      </c>
      <c r="L52" s="99" t="e">
        <f>L53/(J40+J46)</f>
        <v>#DIV/0!</v>
      </c>
      <c r="M52" s="96" t="e">
        <f>SUM(E52:L52)</f>
        <v>#DIV/0!</v>
      </c>
      <c r="N52" s="103">
        <v>3</v>
      </c>
      <c r="O52" s="516" t="s">
        <v>300</v>
      </c>
      <c r="P52" s="516"/>
      <c r="Q52" s="104" t="e">
        <f>Q51*Q50/100</f>
        <v>#DIV/0!</v>
      </c>
    </row>
    <row r="53" spans="2:18" ht="15" customHeight="1" thickBot="1">
      <c r="B53" s="90" t="s">
        <v>262</v>
      </c>
      <c r="C53" s="589" t="s">
        <v>301</v>
      </c>
      <c r="D53" s="589"/>
      <c r="E53" s="118">
        <f>'Daily unit'!B33</f>
        <v>0</v>
      </c>
      <c r="F53" s="118">
        <f>'Daily unit'!C33</f>
        <v>0</v>
      </c>
      <c r="G53" s="118">
        <f>'Daily unit'!E33</f>
        <v>0</v>
      </c>
      <c r="H53" s="118">
        <f>'Daily unit'!F33</f>
        <v>0</v>
      </c>
      <c r="I53" s="118">
        <f>'Daily unit'!G33</f>
        <v>0</v>
      </c>
      <c r="J53" s="118">
        <f>'Daily unit'!H33</f>
        <v>0</v>
      </c>
      <c r="K53" s="118">
        <f>'Daily unit'!I33</f>
        <v>0</v>
      </c>
      <c r="L53" s="118">
        <f>'Daily unit'!J33</f>
        <v>0</v>
      </c>
      <c r="M53" s="119">
        <f>SUM(E53:L53)</f>
        <v>0</v>
      </c>
      <c r="N53" s="105"/>
      <c r="O53" s="106"/>
      <c r="P53" s="107"/>
      <c r="Q53" s="108"/>
    </row>
    <row r="54" spans="2:18" ht="15" customHeight="1" thickBot="1">
      <c r="B54" s="581"/>
      <c r="C54" s="582"/>
      <c r="D54" s="582"/>
      <c r="E54" s="582"/>
      <c r="F54" s="582"/>
      <c r="G54" s="582"/>
      <c r="H54" s="582"/>
      <c r="I54" s="582"/>
      <c r="J54" s="582"/>
      <c r="K54" s="582"/>
      <c r="L54" s="582"/>
      <c r="M54" s="582"/>
      <c r="N54" s="582"/>
      <c r="O54" s="582"/>
      <c r="P54" s="582"/>
      <c r="Q54" s="583"/>
    </row>
    <row r="55" spans="2:18" ht="14.45" customHeight="1" thickBot="1">
      <c r="B55" s="628" t="s">
        <v>302</v>
      </c>
      <c r="C55" s="629"/>
      <c r="D55" s="629"/>
      <c r="E55" s="629"/>
      <c r="F55" s="629"/>
      <c r="G55" s="629"/>
      <c r="H55" s="629"/>
      <c r="I55" s="551" t="s">
        <v>349</v>
      </c>
      <c r="J55" s="551"/>
      <c r="K55" s="551"/>
      <c r="L55" s="551"/>
      <c r="M55" s="551"/>
      <c r="N55" s="551"/>
      <c r="O55" s="551"/>
      <c r="P55" s="551"/>
      <c r="Q55" s="552"/>
      <c r="R55" s="109"/>
    </row>
    <row r="56" spans="2:18" s="110" customFormat="1" ht="14.45" customHeight="1">
      <c r="B56" s="149" t="s">
        <v>250</v>
      </c>
      <c r="C56" s="578" t="s">
        <v>304</v>
      </c>
      <c r="D56" s="578"/>
      <c r="E56" s="578"/>
      <c r="F56" s="150" t="s">
        <v>305</v>
      </c>
      <c r="G56" s="150" t="s">
        <v>27</v>
      </c>
      <c r="H56" s="183" t="s">
        <v>28</v>
      </c>
      <c r="I56" s="553"/>
      <c r="J56" s="553"/>
      <c r="K56" s="553"/>
      <c r="L56" s="553"/>
      <c r="M56" s="553"/>
      <c r="N56" s="553"/>
      <c r="O56" s="553"/>
      <c r="P56" s="553"/>
      <c r="Q56" s="554"/>
      <c r="R56" s="111"/>
    </row>
    <row r="57" spans="2:18" ht="14.45" customHeight="1">
      <c r="B57" s="700">
        <v>1</v>
      </c>
      <c r="C57" s="626" t="s">
        <v>306</v>
      </c>
      <c r="D57" s="661"/>
      <c r="E57" s="80">
        <v>42.5</v>
      </c>
      <c r="F57" s="53">
        <f>'Internal use cement'!F33</f>
        <v>0</v>
      </c>
      <c r="G57" s="78">
        <f>F57+'30'!G59</f>
        <v>0</v>
      </c>
      <c r="H57" s="78">
        <f>F57+'30'!H59</f>
        <v>10</v>
      </c>
      <c r="I57" s="553"/>
      <c r="J57" s="553"/>
      <c r="K57" s="553"/>
      <c r="L57" s="553"/>
      <c r="M57" s="553"/>
      <c r="N57" s="553"/>
      <c r="O57" s="553"/>
      <c r="P57" s="553"/>
      <c r="Q57" s="554"/>
      <c r="R57" s="109"/>
    </row>
    <row r="58" spans="2:18" ht="14.45" customHeight="1">
      <c r="B58" s="469"/>
      <c r="C58" s="466"/>
      <c r="D58" s="663"/>
      <c r="E58" s="80" t="s">
        <v>211</v>
      </c>
      <c r="F58" s="53">
        <f>'Internal use cement'!Q33</f>
        <v>0</v>
      </c>
      <c r="G58" s="78">
        <f>F58+'30'!G60</f>
        <v>0</v>
      </c>
      <c r="H58" s="78">
        <f>F58+'30'!H60</f>
        <v>2</v>
      </c>
      <c r="I58" s="553"/>
      <c r="J58" s="553"/>
      <c r="K58" s="553"/>
      <c r="L58" s="553"/>
      <c r="M58" s="553"/>
      <c r="N58" s="553"/>
      <c r="O58" s="553"/>
      <c r="P58" s="553"/>
      <c r="Q58" s="554"/>
      <c r="R58" s="109"/>
    </row>
    <row r="59" spans="2:18" ht="15" customHeight="1">
      <c r="B59" s="469"/>
      <c r="C59" s="466"/>
      <c r="D59" s="663"/>
      <c r="E59" s="80">
        <v>32.5</v>
      </c>
      <c r="F59" s="53">
        <f>'Internal use cement'!Y33</f>
        <v>0</v>
      </c>
      <c r="G59" s="78">
        <f>F59+'30'!G61</f>
        <v>0.25</v>
      </c>
      <c r="H59" s="78">
        <f>F59+'30'!H61</f>
        <v>0.25</v>
      </c>
      <c r="I59" s="553"/>
      <c r="J59" s="553"/>
      <c r="K59" s="553"/>
      <c r="L59" s="553"/>
      <c r="M59" s="553"/>
      <c r="N59" s="553"/>
      <c r="O59" s="553"/>
      <c r="P59" s="553"/>
      <c r="Q59" s="554"/>
      <c r="R59" s="109"/>
    </row>
    <row r="60" spans="2:18" ht="15" customHeight="1">
      <c r="B60" s="469"/>
      <c r="C60" s="466"/>
      <c r="D60" s="663"/>
      <c r="E60" s="80" t="s">
        <v>187</v>
      </c>
      <c r="F60" s="53">
        <f>'Internal use cement'!AJ33</f>
        <v>0</v>
      </c>
      <c r="G60" s="78">
        <f>F60+'30'!G62</f>
        <v>0.35</v>
      </c>
      <c r="H60" s="78">
        <f>F60+'30'!H62</f>
        <v>0.45</v>
      </c>
      <c r="I60" s="553"/>
      <c r="J60" s="553"/>
      <c r="K60" s="553"/>
      <c r="L60" s="553"/>
      <c r="M60" s="553"/>
      <c r="N60" s="553"/>
      <c r="O60" s="553"/>
      <c r="P60" s="553"/>
      <c r="Q60" s="554"/>
      <c r="R60" s="109"/>
    </row>
    <row r="61" spans="2:18" ht="15.75" thickBot="1">
      <c r="B61" s="470"/>
      <c r="C61" s="467"/>
      <c r="D61" s="665"/>
      <c r="E61" s="443" t="s">
        <v>307</v>
      </c>
      <c r="F61" s="444">
        <f>'Internal use cement'!AO33</f>
        <v>0</v>
      </c>
      <c r="G61" s="78">
        <f>F61+'30'!G63</f>
        <v>0.15</v>
      </c>
      <c r="H61" s="78">
        <f>F61+'30'!H63</f>
        <v>4.1500000000000004</v>
      </c>
      <c r="I61" s="555"/>
      <c r="J61" s="555"/>
      <c r="K61" s="555"/>
      <c r="L61" s="555"/>
      <c r="M61" s="555"/>
      <c r="N61" s="555"/>
      <c r="O61" s="555"/>
      <c r="P61" s="555"/>
      <c r="Q61" s="556"/>
      <c r="R61" s="115"/>
    </row>
    <row r="62" spans="2:18">
      <c r="R62" s="116"/>
    </row>
    <row r="63" spans="2:18">
      <c r="R63" s="94"/>
    </row>
    <row r="64" spans="2:18">
      <c r="R64" s="94"/>
    </row>
    <row r="65" spans="2:18">
      <c r="R65" s="94"/>
    </row>
    <row r="66" spans="2:18">
      <c r="R66" s="109"/>
    </row>
    <row r="67" spans="2:18">
      <c r="R67" s="94"/>
    </row>
    <row r="68" spans="2:18">
      <c r="R68" s="117"/>
    </row>
    <row r="69" spans="2:18">
      <c r="R69" s="117"/>
    </row>
    <row r="70" spans="2:18">
      <c r="R70" s="117"/>
    </row>
    <row r="71" spans="2:18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</sheetData>
  <mergeCells count="85">
    <mergeCell ref="B48:N48"/>
    <mergeCell ref="O48:Q48"/>
    <mergeCell ref="C32:D32"/>
    <mergeCell ref="I31:I32"/>
    <mergeCell ref="M31:M32"/>
    <mergeCell ref="N31:N32"/>
    <mergeCell ref="O31:O32"/>
    <mergeCell ref="B35:B40"/>
    <mergeCell ref="P31:P32"/>
    <mergeCell ref="B41:B46"/>
    <mergeCell ref="C41:C46"/>
    <mergeCell ref="I41:I44"/>
    <mergeCell ref="M41:P44"/>
    <mergeCell ref="M46:P46"/>
    <mergeCell ref="B26:Q26"/>
    <mergeCell ref="B27:Q27"/>
    <mergeCell ref="B28:B29"/>
    <mergeCell ref="C28:D29"/>
    <mergeCell ref="F28:H28"/>
    <mergeCell ref="I28:I29"/>
    <mergeCell ref="J28:L28"/>
    <mergeCell ref="M28:O28"/>
    <mergeCell ref="B2:Q2"/>
    <mergeCell ref="B55:H55"/>
    <mergeCell ref="C30:D30"/>
    <mergeCell ref="C31:D31"/>
    <mergeCell ref="C33:D33"/>
    <mergeCell ref="C34:D34"/>
    <mergeCell ref="C47:Q47"/>
    <mergeCell ref="C35:C40"/>
    <mergeCell ref="P28:P29"/>
    <mergeCell ref="Q28:Q29"/>
    <mergeCell ref="C17:Q17"/>
    <mergeCell ref="B18:B20"/>
    <mergeCell ref="C18:C20"/>
    <mergeCell ref="N18:N20"/>
    <mergeCell ref="O18:O25"/>
    <mergeCell ref="P18:Q20"/>
    <mergeCell ref="C56:E56"/>
    <mergeCell ref="B54:Q54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I55:Q61"/>
    <mergeCell ref="C57:D61"/>
    <mergeCell ref="B57:B61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P13:Q13"/>
    <mergeCell ref="C9:D9"/>
    <mergeCell ref="C8:Q8"/>
    <mergeCell ref="C11:D11"/>
    <mergeCell ref="C12:D12"/>
    <mergeCell ref="C13:D13"/>
    <mergeCell ref="O9:O16"/>
    <mergeCell ref="C10:D10"/>
  </mergeCells>
  <pageMargins left="0" right="0" top="0.75" bottom="0.75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Plant Production</cp:lastModifiedBy>
  <cp:revision/>
  <dcterms:created xsi:type="dcterms:W3CDTF">2015-06-05T18:17:20Z</dcterms:created>
  <dcterms:modified xsi:type="dcterms:W3CDTF">2026-07-05T07:47:48Z</dcterms:modified>
  <cp:category/>
  <cp:contentStatus/>
</cp:coreProperties>
</file>